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460" windowHeight="2400" activeTab="1"/>
  </bookViews>
  <sheets>
    <sheet name="Instructions" sheetId="7" r:id="rId1"/>
    <sheet name="Overview" sheetId="2" r:id="rId2"/>
    <sheet name="UPCs" sheetId="1" r:id="rId3"/>
    <sheet name="UPCs - Alpha" sheetId="8" r:id="rId4"/>
    <sheet name="Facility Data" sheetId="5" r:id="rId5"/>
    <sheet name="Account Data" sheetId="4" r:id="rId6"/>
    <sheet name="New Items" sheetId="3" r:id="rId7"/>
    <sheet name="Discontinued" sheetId="9" r:id="rId8"/>
    <sheet name="Item Data" sheetId="6" r:id="rId9"/>
    <sheet name="Pricing Plans" sheetId="16" r:id="rId10"/>
    <sheet name="Sheet1" sheetId="17" r:id="rId11"/>
  </sheets>
  <definedNames>
    <definedName name="_xlnm._FilterDatabase" localSheetId="1" hidden="1">Overview!$N$8:$N$206</definedName>
    <definedName name="_xlnm._FilterDatabase" localSheetId="2" hidden="1">UPCs!$M$2:$U$1360</definedName>
    <definedName name="_xlnm._FilterDatabase" localSheetId="3" hidden="1">'UPCs - Alpha'!$M$2:$U$1362</definedName>
    <definedName name="DynPrint">OFFSET(Overview!$A$1,0,0,COUNTA(Overview!$A:$A)+3,VALUE(Overview!$O$206))</definedName>
    <definedName name="Facility_Names">Facility[#Headers]</definedName>
    <definedName name="_xlnm.Print_Area" localSheetId="1">DynPrint</definedName>
    <definedName name="_xlnm.Print_Area" localSheetId="2">UPCs!$C:$L</definedName>
    <definedName name="_xlnm.Print_Area" localSheetId="3">'UPCs - Alpha'!$C:$L</definedName>
    <definedName name="Promo_Plans">'Pricing Plans'!$A$2:$A$5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22" i="8" l="1"/>
  <c r="T522" i="8"/>
  <c r="Q522" i="8"/>
  <c r="S522" i="8" s="1"/>
  <c r="P522" i="8"/>
  <c r="R522" i="8" s="1"/>
  <c r="K522" i="8"/>
  <c r="J522" i="8"/>
  <c r="L522" i="8" s="1"/>
  <c r="I522" i="8"/>
  <c r="O522" i="8" s="1"/>
  <c r="G522" i="8"/>
  <c r="U403" i="8"/>
  <c r="T403" i="8"/>
  <c r="Q403" i="8"/>
  <c r="P403" i="8"/>
  <c r="K403" i="8"/>
  <c r="I403" i="8"/>
  <c r="J403" i="8" s="1"/>
  <c r="G403" i="8"/>
  <c r="U365" i="8"/>
  <c r="T365" i="8"/>
  <c r="Q365" i="8"/>
  <c r="P365" i="8"/>
  <c r="K365" i="8"/>
  <c r="I365" i="8"/>
  <c r="J365" i="8" s="1"/>
  <c r="G365" i="8"/>
  <c r="U301" i="8"/>
  <c r="T301" i="8"/>
  <c r="Q301" i="8"/>
  <c r="P301" i="8"/>
  <c r="K301" i="8"/>
  <c r="I301" i="8"/>
  <c r="O301" i="8" s="1"/>
  <c r="G301" i="8"/>
  <c r="G278" i="8"/>
  <c r="I278" i="8"/>
  <c r="J278" i="8" s="1"/>
  <c r="K278" i="8"/>
  <c r="P278" i="8"/>
  <c r="Q278" i="8"/>
  <c r="T278" i="8"/>
  <c r="U278" i="8"/>
  <c r="U175" i="8"/>
  <c r="T175" i="8"/>
  <c r="Q175" i="8"/>
  <c r="P175" i="8"/>
  <c r="K175" i="8"/>
  <c r="I175" i="8"/>
  <c r="O175" i="8" s="1"/>
  <c r="G175" i="8"/>
  <c r="U174" i="8"/>
  <c r="T174" i="8"/>
  <c r="Q174" i="8"/>
  <c r="P174" i="8"/>
  <c r="K174" i="8"/>
  <c r="I174" i="8"/>
  <c r="J174" i="8" s="1"/>
  <c r="G174" i="8"/>
  <c r="U241" i="8"/>
  <c r="T241" i="8"/>
  <c r="Q241" i="8"/>
  <c r="P241" i="8"/>
  <c r="K241" i="8"/>
  <c r="I241" i="8"/>
  <c r="J241" i="8" s="1"/>
  <c r="G241" i="8"/>
  <c r="H522" i="8" l="1"/>
  <c r="R403" i="8"/>
  <c r="H403" i="8"/>
  <c r="S403" i="8"/>
  <c r="L403" i="8"/>
  <c r="S365" i="8"/>
  <c r="O403" i="8"/>
  <c r="H365" i="8"/>
  <c r="R365" i="8"/>
  <c r="L365" i="8"/>
  <c r="H301" i="8"/>
  <c r="S301" i="8"/>
  <c r="O365" i="8"/>
  <c r="R301" i="8"/>
  <c r="H174" i="8"/>
  <c r="S174" i="8"/>
  <c r="J301" i="8"/>
  <c r="L301" i="8" s="1"/>
  <c r="R174" i="8"/>
  <c r="O278" i="8"/>
  <c r="H278" i="8"/>
  <c r="R278" i="8"/>
  <c r="S278" i="8"/>
  <c r="S175" i="8"/>
  <c r="L278" i="8"/>
  <c r="R175" i="8"/>
  <c r="H175" i="8"/>
  <c r="J175" i="8"/>
  <c r="L175" i="8" s="1"/>
  <c r="L174" i="8"/>
  <c r="H241" i="8"/>
  <c r="S241" i="8"/>
  <c r="O174" i="8"/>
  <c r="R241" i="8"/>
  <c r="L241" i="8"/>
  <c r="O241" i="8"/>
  <c r="U120" i="8"/>
  <c r="T120" i="8"/>
  <c r="Q120" i="8"/>
  <c r="P120" i="8"/>
  <c r="K120" i="8"/>
  <c r="I120" i="8"/>
  <c r="J120" i="8" s="1"/>
  <c r="G120" i="8"/>
  <c r="U145" i="8"/>
  <c r="T145" i="8"/>
  <c r="Q145" i="8"/>
  <c r="P145" i="8"/>
  <c r="K145" i="8"/>
  <c r="I145" i="8"/>
  <c r="O145" i="8" s="1"/>
  <c r="G145" i="8"/>
  <c r="U77" i="8"/>
  <c r="T77" i="8"/>
  <c r="Q77" i="8"/>
  <c r="P77" i="8"/>
  <c r="K77" i="8"/>
  <c r="I77" i="8"/>
  <c r="J77" i="8" s="1"/>
  <c r="G77" i="8"/>
  <c r="R120" i="8" l="1"/>
  <c r="H120" i="8"/>
  <c r="S120" i="8"/>
  <c r="R77" i="8"/>
  <c r="H77" i="8"/>
  <c r="S77" i="8"/>
  <c r="L120" i="8"/>
  <c r="H145" i="8"/>
  <c r="S145" i="8"/>
  <c r="O120" i="8"/>
  <c r="R145" i="8"/>
  <c r="J145" i="8"/>
  <c r="L145" i="8" s="1"/>
  <c r="L77" i="8"/>
  <c r="O77" i="8"/>
  <c r="U18" i="8"/>
  <c r="T18" i="8"/>
  <c r="Q18" i="8"/>
  <c r="P18" i="8"/>
  <c r="K18" i="8"/>
  <c r="I18" i="8"/>
  <c r="O18" i="8" s="1"/>
  <c r="G18" i="8"/>
  <c r="U17" i="8"/>
  <c r="T17" i="8"/>
  <c r="Q17" i="8"/>
  <c r="P17" i="8"/>
  <c r="K17" i="8"/>
  <c r="I17" i="8"/>
  <c r="J17" i="8" s="1"/>
  <c r="G17" i="8"/>
  <c r="U11" i="1"/>
  <c r="T11" i="1"/>
  <c r="Q11" i="1"/>
  <c r="P11" i="1"/>
  <c r="K11" i="1"/>
  <c r="I11" i="1"/>
  <c r="O11" i="1" s="1"/>
  <c r="G11" i="1"/>
  <c r="U6" i="8"/>
  <c r="T6" i="8"/>
  <c r="Q6" i="8"/>
  <c r="P6" i="8"/>
  <c r="K6" i="8"/>
  <c r="I6" i="8"/>
  <c r="O6" i="8" s="1"/>
  <c r="G6" i="8"/>
  <c r="G7" i="8"/>
  <c r="I7" i="8"/>
  <c r="O7" i="8" s="1"/>
  <c r="K7" i="8"/>
  <c r="P7" i="8"/>
  <c r="Q7" i="8"/>
  <c r="T7" i="8"/>
  <c r="U7" i="8"/>
  <c r="U5" i="8"/>
  <c r="T5" i="8"/>
  <c r="Q5" i="8"/>
  <c r="P5" i="8"/>
  <c r="K5" i="8"/>
  <c r="I5" i="8"/>
  <c r="J5" i="8" s="1"/>
  <c r="G5" i="8"/>
  <c r="U13" i="8"/>
  <c r="T13" i="8"/>
  <c r="Q13" i="8"/>
  <c r="P13" i="8"/>
  <c r="K13" i="8"/>
  <c r="I13" i="8"/>
  <c r="O13" i="8" s="1"/>
  <c r="G13" i="8"/>
  <c r="U5" i="1"/>
  <c r="T5" i="1"/>
  <c r="Q5" i="1"/>
  <c r="P5" i="1"/>
  <c r="K5" i="1"/>
  <c r="I5" i="1"/>
  <c r="O5" i="1" s="1"/>
  <c r="G5" i="1"/>
  <c r="H11" i="1" l="1"/>
  <c r="H17" i="8"/>
  <c r="R18" i="8"/>
  <c r="S18" i="8"/>
  <c r="H13" i="8"/>
  <c r="J18" i="8"/>
  <c r="L18" i="8" s="1"/>
  <c r="H5" i="8"/>
  <c r="J7" i="8"/>
  <c r="L7" i="8" s="1"/>
  <c r="H18" i="8"/>
  <c r="S17" i="8"/>
  <c r="J11" i="1"/>
  <c r="L11" i="1" s="1"/>
  <c r="R13" i="8"/>
  <c r="R11" i="1"/>
  <c r="S11" i="1"/>
  <c r="R17" i="8"/>
  <c r="L17" i="8"/>
  <c r="O17" i="8"/>
  <c r="S6" i="8"/>
  <c r="R6" i="8"/>
  <c r="S5" i="8"/>
  <c r="H6" i="8"/>
  <c r="J6" i="8"/>
  <c r="L6" i="8" s="1"/>
  <c r="R5" i="8"/>
  <c r="H7" i="8"/>
  <c r="S7" i="8"/>
  <c r="R7" i="8"/>
  <c r="R5" i="1"/>
  <c r="H5" i="1"/>
  <c r="S5" i="1"/>
  <c r="J13" i="8"/>
  <c r="L13" i="8" s="1"/>
  <c r="L5" i="8"/>
  <c r="O5" i="8"/>
  <c r="S13" i="8"/>
  <c r="J5" i="1"/>
  <c r="L5" i="1" s="1"/>
  <c r="E23" i="2" l="1"/>
  <c r="H23" i="2"/>
  <c r="K23" i="2"/>
  <c r="M23" i="2"/>
  <c r="U268" i="1" l="1"/>
  <c r="T268" i="1"/>
  <c r="Q268" i="1"/>
  <c r="P268" i="1"/>
  <c r="G268" i="1"/>
  <c r="U263" i="1"/>
  <c r="T263" i="1"/>
  <c r="Q263" i="1"/>
  <c r="P263" i="1"/>
  <c r="G263" i="1"/>
  <c r="U261" i="1"/>
  <c r="T261" i="1"/>
  <c r="Q261" i="1"/>
  <c r="P261" i="1"/>
  <c r="G261" i="1"/>
  <c r="U248" i="1"/>
  <c r="T248" i="1"/>
  <c r="Q248" i="1"/>
  <c r="P248" i="1"/>
  <c r="G248" i="1"/>
  <c r="U244" i="1"/>
  <c r="T244" i="1"/>
  <c r="Q244" i="1"/>
  <c r="P244" i="1"/>
  <c r="G244" i="1"/>
  <c r="U241" i="1"/>
  <c r="T241" i="1"/>
  <c r="Q241" i="1"/>
  <c r="P241" i="1"/>
  <c r="G241" i="1"/>
  <c r="U192" i="1"/>
  <c r="T192" i="1"/>
  <c r="Q192" i="1"/>
  <c r="P192" i="1"/>
  <c r="G192" i="1"/>
  <c r="U190" i="1"/>
  <c r="T190" i="1"/>
  <c r="Q190" i="1"/>
  <c r="P190" i="1"/>
  <c r="G190" i="1"/>
  <c r="U150" i="1"/>
  <c r="T150" i="1"/>
  <c r="Q150" i="1"/>
  <c r="P150" i="1"/>
  <c r="G150" i="1"/>
  <c r="U140" i="1"/>
  <c r="T140" i="1"/>
  <c r="Q140" i="1"/>
  <c r="P140" i="1"/>
  <c r="G140" i="1"/>
  <c r="U137" i="1"/>
  <c r="T137" i="1"/>
  <c r="Q137" i="1"/>
  <c r="P137" i="1"/>
  <c r="G137" i="1"/>
  <c r="U134" i="1"/>
  <c r="T134" i="1"/>
  <c r="Q134" i="1"/>
  <c r="P134" i="1"/>
  <c r="G134" i="1"/>
  <c r="U121" i="1"/>
  <c r="T121" i="1"/>
  <c r="Q121" i="1"/>
  <c r="P121" i="1"/>
  <c r="G121" i="1"/>
  <c r="U114" i="1"/>
  <c r="T114" i="1"/>
  <c r="Q114" i="1"/>
  <c r="P114" i="1"/>
  <c r="G114" i="1"/>
  <c r="U112" i="1"/>
  <c r="T112" i="1"/>
  <c r="Q112" i="1"/>
  <c r="P112" i="1"/>
  <c r="G112" i="1"/>
  <c r="U106" i="1"/>
  <c r="T106" i="1"/>
  <c r="Q106" i="1"/>
  <c r="P106" i="1"/>
  <c r="G106" i="1"/>
  <c r="U102" i="1"/>
  <c r="T102" i="1"/>
  <c r="Q102" i="1"/>
  <c r="P102" i="1"/>
  <c r="G102" i="1"/>
  <c r="U101" i="1"/>
  <c r="T101" i="1"/>
  <c r="Q101" i="1"/>
  <c r="P101" i="1"/>
  <c r="G101" i="1"/>
  <c r="U100" i="1"/>
  <c r="T100" i="1"/>
  <c r="Q100" i="1"/>
  <c r="P100" i="1"/>
  <c r="G100" i="1"/>
  <c r="U51" i="1"/>
  <c r="T51" i="1"/>
  <c r="Q51" i="1"/>
  <c r="P51" i="1"/>
  <c r="G51" i="1"/>
  <c r="U47" i="1"/>
  <c r="T47" i="1"/>
  <c r="Q47" i="1"/>
  <c r="P47" i="1"/>
  <c r="G47" i="1"/>
  <c r="U43" i="1"/>
  <c r="T43" i="1"/>
  <c r="Q43" i="1"/>
  <c r="P43" i="1"/>
  <c r="G43" i="1"/>
  <c r="U29" i="1"/>
  <c r="T29" i="1"/>
  <c r="Q29" i="1"/>
  <c r="P29" i="1"/>
  <c r="G29" i="1"/>
  <c r="U25" i="1"/>
  <c r="T25" i="1"/>
  <c r="Q25" i="1"/>
  <c r="P25" i="1"/>
  <c r="G25" i="1"/>
  <c r="U14" i="1"/>
  <c r="T14" i="1"/>
  <c r="Q14" i="1"/>
  <c r="P14" i="1"/>
  <c r="G14" i="1"/>
  <c r="U10" i="1"/>
  <c r="T10" i="1"/>
  <c r="Q10" i="1"/>
  <c r="P10" i="1"/>
  <c r="G10" i="1"/>
  <c r="U8" i="1"/>
  <c r="T8" i="1"/>
  <c r="Q8" i="1"/>
  <c r="P8" i="1"/>
  <c r="G8" i="1"/>
  <c r="U87" i="1"/>
  <c r="T87" i="1"/>
  <c r="Q87" i="1"/>
  <c r="P87" i="1"/>
  <c r="G87" i="1"/>
  <c r="U288" i="1"/>
  <c r="T288" i="1"/>
  <c r="Q288" i="1"/>
  <c r="P288" i="1"/>
  <c r="G288" i="1"/>
  <c r="U291" i="1"/>
  <c r="T291" i="1"/>
  <c r="Q291" i="1"/>
  <c r="P291" i="1"/>
  <c r="G291" i="1"/>
  <c r="U438" i="1"/>
  <c r="T438" i="1"/>
  <c r="Q438" i="1"/>
  <c r="P438" i="1"/>
  <c r="G438" i="1"/>
  <c r="U89" i="1"/>
  <c r="T89" i="1"/>
  <c r="Q89" i="1"/>
  <c r="P89" i="1"/>
  <c r="G89" i="1"/>
  <c r="U285" i="1"/>
  <c r="T285" i="1"/>
  <c r="Q285" i="1"/>
  <c r="P285" i="1"/>
  <c r="G285" i="1"/>
  <c r="U435" i="1"/>
  <c r="T435" i="1"/>
  <c r="Q435" i="1"/>
  <c r="P435" i="1"/>
  <c r="G435" i="1"/>
  <c r="U255" i="1"/>
  <c r="T255" i="1"/>
  <c r="Q255" i="1"/>
  <c r="P255" i="1"/>
  <c r="G255" i="1"/>
  <c r="U82" i="1"/>
  <c r="T82" i="1"/>
  <c r="Q82" i="1"/>
  <c r="P82" i="1"/>
  <c r="G82" i="1"/>
  <c r="R268" i="1" l="1"/>
  <c r="S268" i="1"/>
  <c r="S263" i="1"/>
  <c r="R263" i="1"/>
  <c r="S261" i="1"/>
  <c r="R261" i="1"/>
  <c r="R248" i="1"/>
  <c r="S244" i="1"/>
  <c r="S248" i="1"/>
  <c r="R192" i="1"/>
  <c r="R244" i="1"/>
  <c r="S241" i="1"/>
  <c r="R241" i="1"/>
  <c r="S192" i="1"/>
  <c r="S140" i="1"/>
  <c r="S150" i="1"/>
  <c r="S190" i="1"/>
  <c r="R190" i="1"/>
  <c r="S137" i="1"/>
  <c r="R150" i="1"/>
  <c r="R140" i="1"/>
  <c r="R137" i="1"/>
  <c r="S134" i="1"/>
  <c r="S121" i="1"/>
  <c r="R134" i="1"/>
  <c r="R121" i="1"/>
  <c r="R112" i="1"/>
  <c r="R114" i="1"/>
  <c r="S114" i="1"/>
  <c r="S112" i="1"/>
  <c r="S102" i="1"/>
  <c r="S106" i="1"/>
  <c r="R106" i="1"/>
  <c r="R102" i="1"/>
  <c r="R101" i="1"/>
  <c r="S100" i="1"/>
  <c r="S101" i="1"/>
  <c r="S51" i="1"/>
  <c r="R100" i="1"/>
  <c r="R51" i="1"/>
  <c r="S47" i="1"/>
  <c r="R47" i="1"/>
  <c r="R43" i="1"/>
  <c r="S43" i="1"/>
  <c r="S29" i="1"/>
  <c r="R29" i="1"/>
  <c r="R25" i="1"/>
  <c r="S25" i="1"/>
  <c r="R14" i="1"/>
  <c r="S14" i="1"/>
  <c r="S8" i="1"/>
  <c r="R10" i="1"/>
  <c r="S10" i="1"/>
  <c r="R8" i="1"/>
  <c r="R87" i="1"/>
  <c r="S87" i="1"/>
  <c r="R291" i="1"/>
  <c r="S288" i="1"/>
  <c r="S291" i="1"/>
  <c r="R288" i="1"/>
  <c r="R89" i="1"/>
  <c r="S438" i="1"/>
  <c r="S89" i="1"/>
  <c r="R438" i="1"/>
  <c r="R285" i="1"/>
  <c r="S285" i="1"/>
  <c r="R435" i="1"/>
  <c r="R255" i="1"/>
  <c r="S435" i="1"/>
  <c r="R82" i="1"/>
  <c r="S255" i="1"/>
  <c r="S82" i="1"/>
  <c r="U1115" i="8"/>
  <c r="T1115" i="8"/>
  <c r="Q1115" i="8"/>
  <c r="G1115" i="8"/>
  <c r="S1115" i="8" l="1"/>
  <c r="U922" i="1"/>
  <c r="T922" i="1"/>
  <c r="Q922" i="1"/>
  <c r="G922" i="1"/>
  <c r="S922" i="1" l="1"/>
  <c r="M200" i="2"/>
  <c r="M196" i="2"/>
  <c r="M12" i="2"/>
  <c r="K12" i="2"/>
  <c r="M140" i="2" l="1"/>
  <c r="K140" i="2"/>
  <c r="K13" i="2" l="1"/>
  <c r="K14" i="2"/>
  <c r="K16" i="2"/>
  <c r="K17" i="2"/>
  <c r="K18" i="2"/>
  <c r="K19" i="2"/>
  <c r="K20" i="2"/>
  <c r="K21" i="2"/>
  <c r="K22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2" i="2"/>
  <c r="K43" i="2"/>
  <c r="K44" i="2"/>
  <c r="K45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72" i="2"/>
  <c r="K73" i="2"/>
  <c r="K74" i="2"/>
  <c r="K75" i="2"/>
  <c r="K76" i="2"/>
  <c r="K77" i="2"/>
  <c r="K78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9" i="2"/>
  <c r="K120" i="2"/>
  <c r="K121" i="2"/>
  <c r="K122" i="2"/>
  <c r="K123" i="2"/>
  <c r="K124" i="2"/>
  <c r="K127" i="2"/>
  <c r="K128" i="2"/>
  <c r="K129" i="2"/>
  <c r="K130" i="2"/>
  <c r="K131" i="2"/>
  <c r="K132" i="2"/>
  <c r="K133" i="2"/>
  <c r="K134" i="2"/>
  <c r="K135" i="2"/>
  <c r="K138" i="2"/>
  <c r="K139" i="2"/>
  <c r="K141" i="2"/>
  <c r="K142" i="2"/>
  <c r="K145" i="2"/>
  <c r="K146" i="2"/>
  <c r="K147" i="2"/>
  <c r="K148" i="2"/>
  <c r="K149" i="2"/>
  <c r="K150" i="2"/>
  <c r="K153" i="2"/>
  <c r="K154" i="2"/>
  <c r="K155" i="2"/>
  <c r="K156" i="2"/>
  <c r="K157" i="2"/>
  <c r="K160" i="2"/>
  <c r="K161" i="2"/>
  <c r="K162" i="2"/>
  <c r="K163" i="2"/>
  <c r="K164" i="2"/>
  <c r="K165" i="2"/>
  <c r="K166" i="2"/>
  <c r="K167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M13" i="2"/>
  <c r="M14" i="2"/>
  <c r="M15" i="2"/>
  <c r="M16" i="2"/>
  <c r="M17" i="2"/>
  <c r="M18" i="2"/>
  <c r="M19" i="2"/>
  <c r="M20" i="2"/>
  <c r="M21" i="2"/>
  <c r="M22" i="2"/>
  <c r="M24" i="2"/>
  <c r="M25" i="2"/>
  <c r="M26" i="2"/>
  <c r="M27" i="2"/>
  <c r="M29" i="2"/>
  <c r="M30" i="2"/>
  <c r="M31" i="2"/>
  <c r="M32" i="2"/>
  <c r="M33" i="2"/>
  <c r="M34" i="2"/>
  <c r="M35" i="2"/>
  <c r="M36" i="2"/>
  <c r="M37" i="2"/>
  <c r="M38" i="2"/>
  <c r="M39" i="2"/>
  <c r="M42" i="2"/>
  <c r="M43" i="2"/>
  <c r="M44" i="2"/>
  <c r="M45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72" i="2"/>
  <c r="M73" i="2"/>
  <c r="M74" i="2"/>
  <c r="M75" i="2"/>
  <c r="M76" i="2"/>
  <c r="M77" i="2"/>
  <c r="M78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9" i="2"/>
  <c r="M120" i="2"/>
  <c r="M121" i="2"/>
  <c r="M122" i="2"/>
  <c r="M123" i="2"/>
  <c r="M124" i="2"/>
  <c r="M127" i="2"/>
  <c r="M128" i="2"/>
  <c r="M129" i="2"/>
  <c r="M130" i="2"/>
  <c r="M131" i="2"/>
  <c r="M132" i="2"/>
  <c r="M133" i="2"/>
  <c r="M134" i="2"/>
  <c r="M135" i="2"/>
  <c r="M138" i="2"/>
  <c r="M139" i="2"/>
  <c r="M141" i="2"/>
  <c r="M142" i="2"/>
  <c r="M145" i="2"/>
  <c r="M146" i="2"/>
  <c r="M147" i="2"/>
  <c r="M148" i="2"/>
  <c r="M149" i="2"/>
  <c r="M150" i="2"/>
  <c r="M153" i="2"/>
  <c r="M154" i="2"/>
  <c r="M155" i="2"/>
  <c r="M156" i="2"/>
  <c r="M157" i="2"/>
  <c r="M160" i="2"/>
  <c r="M161" i="2"/>
  <c r="M162" i="2"/>
  <c r="M163" i="2"/>
  <c r="M164" i="2"/>
  <c r="M165" i="2"/>
  <c r="M166" i="2"/>
  <c r="M167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7" i="2"/>
  <c r="M198" i="2"/>
  <c r="M199" i="2"/>
  <c r="M201" i="2"/>
  <c r="M202" i="2"/>
  <c r="M11" i="2"/>
  <c r="K11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7" i="2"/>
  <c r="H166" i="2"/>
  <c r="H165" i="2"/>
  <c r="H164" i="2"/>
  <c r="H163" i="2"/>
  <c r="H162" i="2"/>
  <c r="H161" i="2"/>
  <c r="H160" i="2"/>
  <c r="H157" i="2"/>
  <c r="H156" i="2"/>
  <c r="H155" i="2"/>
  <c r="H154" i="2"/>
  <c r="H153" i="2"/>
  <c r="H150" i="2"/>
  <c r="H149" i="2"/>
  <c r="H148" i="2"/>
  <c r="H147" i="2"/>
  <c r="H146" i="2"/>
  <c r="H145" i="2"/>
  <c r="H142" i="2"/>
  <c r="H141" i="2"/>
  <c r="H140" i="2"/>
  <c r="H139" i="2"/>
  <c r="H138" i="2"/>
  <c r="H135" i="2"/>
  <c r="H134" i="2"/>
  <c r="H133" i="2"/>
  <c r="H132" i="2"/>
  <c r="H131" i="2"/>
  <c r="H130" i="2"/>
  <c r="H129" i="2"/>
  <c r="H128" i="2"/>
  <c r="H127" i="2"/>
  <c r="H124" i="2"/>
  <c r="H123" i="2"/>
  <c r="H122" i="2"/>
  <c r="H121" i="2"/>
  <c r="H120" i="2"/>
  <c r="H119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78" i="2"/>
  <c r="H77" i="2"/>
  <c r="H76" i="2"/>
  <c r="H75" i="2"/>
  <c r="H74" i="2"/>
  <c r="H73" i="2"/>
  <c r="H72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5" i="2"/>
  <c r="H44" i="2"/>
  <c r="H43" i="2"/>
  <c r="H42" i="2"/>
  <c r="H12" i="2"/>
  <c r="H13" i="2"/>
  <c r="H14" i="2"/>
  <c r="H15" i="2"/>
  <c r="H16" i="2"/>
  <c r="H17" i="2"/>
  <c r="H18" i="2"/>
  <c r="H19" i="2"/>
  <c r="H20" i="2"/>
  <c r="H21" i="2"/>
  <c r="H22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11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1" i="2"/>
  <c r="B2" i="2"/>
  <c r="E12" i="2"/>
  <c r="E13" i="2"/>
  <c r="E14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2" i="2"/>
  <c r="E43" i="2"/>
  <c r="E44" i="2"/>
  <c r="E45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72" i="2"/>
  <c r="E73" i="2"/>
  <c r="E74" i="2"/>
  <c r="E75" i="2"/>
  <c r="E76" i="2"/>
  <c r="E77" i="2"/>
  <c r="E78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9" i="2"/>
  <c r="E120" i="2"/>
  <c r="E121" i="2"/>
  <c r="E122" i="2"/>
  <c r="E123" i="2"/>
  <c r="E124" i="2"/>
  <c r="E127" i="2"/>
  <c r="E128" i="2"/>
  <c r="E129" i="2"/>
  <c r="E130" i="2"/>
  <c r="E131" i="2"/>
  <c r="E132" i="2"/>
  <c r="E133" i="2"/>
  <c r="E134" i="2"/>
  <c r="E135" i="2"/>
  <c r="E138" i="2"/>
  <c r="E139" i="2"/>
  <c r="E140" i="2"/>
  <c r="E141" i="2"/>
  <c r="E142" i="2"/>
  <c r="E145" i="2"/>
  <c r="E146" i="2"/>
  <c r="E147" i="2"/>
  <c r="E148" i="2"/>
  <c r="E149" i="2"/>
  <c r="E150" i="2"/>
  <c r="E153" i="2"/>
  <c r="E154" i="2"/>
  <c r="E155" i="2"/>
  <c r="E156" i="2"/>
  <c r="E157" i="2"/>
  <c r="E160" i="2"/>
  <c r="E161" i="2"/>
  <c r="E162" i="2"/>
  <c r="E163" i="2"/>
  <c r="E164" i="2"/>
  <c r="E165" i="2"/>
  <c r="E166" i="2"/>
  <c r="E167" i="2"/>
  <c r="E170" i="2"/>
  <c r="E171" i="2"/>
  <c r="E172" i="2"/>
  <c r="E173" i="2"/>
  <c r="E174" i="2"/>
  <c r="E175" i="2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A857" i="5"/>
  <c r="A858" i="5"/>
  <c r="A859" i="5"/>
  <c r="A860" i="5"/>
  <c r="A861" i="5"/>
  <c r="A862" i="5"/>
  <c r="A863" i="5"/>
  <c r="A864" i="5"/>
  <c r="A865" i="5"/>
  <c r="A866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A1210" i="5"/>
  <c r="A1211" i="5"/>
  <c r="A1212" i="5"/>
  <c r="A1213" i="5"/>
  <c r="A1214" i="5"/>
  <c r="A1215" i="5"/>
  <c r="A1216" i="5"/>
  <c r="A1217" i="5"/>
  <c r="A1218" i="5"/>
  <c r="A1219" i="5"/>
  <c r="A1220" i="5"/>
  <c r="A1221" i="5"/>
  <c r="A1222" i="5"/>
  <c r="A1223" i="5"/>
  <c r="A1224" i="5"/>
  <c r="A1225" i="5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A1282" i="5"/>
  <c r="A1283" i="5"/>
  <c r="A1284" i="5"/>
  <c r="A1285" i="5"/>
  <c r="A1286" i="5"/>
  <c r="A1287" i="5"/>
  <c r="A1288" i="5"/>
  <c r="A1289" i="5"/>
  <c r="A1290" i="5"/>
  <c r="A1291" i="5"/>
  <c r="A1292" i="5"/>
  <c r="A1293" i="5"/>
  <c r="A1294" i="5"/>
  <c r="A1295" i="5"/>
  <c r="A1296" i="5"/>
  <c r="A1297" i="5"/>
  <c r="A1298" i="5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A1443" i="5"/>
  <c r="A1444" i="5"/>
  <c r="A1445" i="5"/>
  <c r="A1446" i="5"/>
  <c r="A1447" i="5"/>
  <c r="A1448" i="5"/>
  <c r="A1449" i="5"/>
  <c r="A1450" i="5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A1483" i="5"/>
  <c r="A1484" i="5"/>
  <c r="A1485" i="5"/>
  <c r="A1486" i="5"/>
  <c r="A1487" i="5"/>
  <c r="A1488" i="5"/>
  <c r="A1489" i="5"/>
  <c r="A1490" i="5"/>
  <c r="A1491" i="5"/>
  <c r="A1492" i="5"/>
  <c r="A1493" i="5"/>
  <c r="A1494" i="5"/>
  <c r="A1495" i="5"/>
  <c r="A1496" i="5"/>
  <c r="A1497" i="5"/>
  <c r="A1498" i="5"/>
  <c r="A1499" i="5"/>
  <c r="A1500" i="5"/>
  <c r="T1360" i="8"/>
  <c r="T1359" i="8"/>
  <c r="T1358" i="8"/>
  <c r="T1357" i="8"/>
  <c r="T1356" i="8"/>
  <c r="T1355" i="8"/>
  <c r="T1354" i="8"/>
  <c r="T1352" i="8"/>
  <c r="T1351" i="8"/>
  <c r="T1350" i="8"/>
  <c r="T1349" i="8"/>
  <c r="T1348" i="8"/>
  <c r="T1347" i="8"/>
  <c r="T1346" i="8"/>
  <c r="T1345" i="8"/>
  <c r="T1344" i="8"/>
  <c r="T1343" i="8"/>
  <c r="T1341" i="8"/>
  <c r="T1340" i="8"/>
  <c r="T1339" i="8"/>
  <c r="T1338" i="8"/>
  <c r="T1336" i="8"/>
  <c r="T1335" i="8"/>
  <c r="T1334" i="8"/>
  <c r="T1333" i="8"/>
  <c r="T1332" i="8"/>
  <c r="T1331" i="8"/>
  <c r="T1330" i="8"/>
  <c r="T1329" i="8"/>
  <c r="T1328" i="8"/>
  <c r="T1327" i="8"/>
  <c r="T1326" i="8"/>
  <c r="T1324" i="8"/>
  <c r="T1323" i="8"/>
  <c r="T1322" i="8"/>
  <c r="T1321" i="8"/>
  <c r="T1320" i="8"/>
  <c r="T1318" i="8"/>
  <c r="T1317" i="8"/>
  <c r="T1316" i="8"/>
  <c r="T1315" i="8"/>
  <c r="T1314" i="8"/>
  <c r="T1313" i="8"/>
  <c r="T1312" i="8"/>
  <c r="T1311" i="8"/>
  <c r="T1309" i="8"/>
  <c r="T1308" i="8"/>
  <c r="T1307" i="8"/>
  <c r="T1306" i="8"/>
  <c r="T1305" i="8"/>
  <c r="T1304" i="8"/>
  <c r="T1303" i="8"/>
  <c r="T1302" i="8"/>
  <c r="T1301" i="8"/>
  <c r="T1300" i="8"/>
  <c r="T1298" i="8"/>
  <c r="T1297" i="8"/>
  <c r="T1296" i="8"/>
  <c r="T1294" i="8"/>
  <c r="T1293" i="8"/>
  <c r="T1292" i="8"/>
  <c r="T1290" i="8"/>
  <c r="T1289" i="8"/>
  <c r="T1288" i="8"/>
  <c r="T1287" i="8"/>
  <c r="T1286" i="8"/>
  <c r="T1284" i="8"/>
  <c r="T1283" i="8"/>
  <c r="T1282" i="8"/>
  <c r="T1281" i="8"/>
  <c r="T1280" i="8"/>
  <c r="T1279" i="8"/>
  <c r="T1278" i="8"/>
  <c r="T1277" i="8"/>
  <c r="T1276" i="8"/>
  <c r="T1275" i="8"/>
  <c r="T1273" i="8"/>
  <c r="T1272" i="8"/>
  <c r="T1271" i="8"/>
  <c r="T1270" i="8"/>
  <c r="T1269" i="8"/>
  <c r="T1268" i="8"/>
  <c r="T1267" i="8"/>
  <c r="T1266" i="8"/>
  <c r="T1265" i="8"/>
  <c r="T1264" i="8"/>
  <c r="T1262" i="8"/>
  <c r="T1260" i="8"/>
  <c r="T1259" i="8"/>
  <c r="T1258" i="8"/>
  <c r="T1257" i="8"/>
  <c r="T1256" i="8"/>
  <c r="T1255" i="8"/>
  <c r="T1254" i="8"/>
  <c r="T1253" i="8"/>
  <c r="T1252" i="8"/>
  <c r="T1251" i="8"/>
  <c r="T1250" i="8"/>
  <c r="T1249" i="8"/>
  <c r="T1248" i="8"/>
  <c r="T1247" i="8"/>
  <c r="T1245" i="8"/>
  <c r="T1244" i="8"/>
  <c r="T1243" i="8"/>
  <c r="T1242" i="8"/>
  <c r="T1241" i="8"/>
  <c r="T1240" i="8"/>
  <c r="T1239" i="8"/>
  <c r="T1238" i="8"/>
  <c r="T1237" i="8"/>
  <c r="T1236" i="8"/>
  <c r="T1235" i="8"/>
  <c r="T1234" i="8"/>
  <c r="T1232" i="8"/>
  <c r="T1231" i="8"/>
  <c r="T1230" i="8"/>
  <c r="T1229" i="8"/>
  <c r="T1228" i="8"/>
  <c r="T1227" i="8"/>
  <c r="T1226" i="8"/>
  <c r="T1225" i="8"/>
  <c r="T1224" i="8"/>
  <c r="T1223" i="8"/>
  <c r="T1222" i="8"/>
  <c r="T1221" i="8"/>
  <c r="T1219" i="8"/>
  <c r="T1218" i="8"/>
  <c r="T1217" i="8"/>
  <c r="T1216" i="8"/>
  <c r="T1215" i="8"/>
  <c r="T1214" i="8"/>
  <c r="T1213" i="8"/>
  <c r="T1212" i="8"/>
  <c r="T1211" i="8"/>
  <c r="T1210" i="8"/>
  <c r="T1209" i="8"/>
  <c r="T1208" i="8"/>
  <c r="T1207" i="8"/>
  <c r="T1206" i="8"/>
  <c r="T1204" i="8"/>
  <c r="T1203" i="8"/>
  <c r="T1202" i="8"/>
  <c r="T1201" i="8"/>
  <c r="T1200" i="8"/>
  <c r="T1199" i="8"/>
  <c r="T1198" i="8"/>
  <c r="T1197" i="8"/>
  <c r="T1196" i="8"/>
  <c r="T1195" i="8"/>
  <c r="T1194" i="8"/>
  <c r="T1193" i="8"/>
  <c r="T1192" i="8"/>
  <c r="T1191" i="8"/>
  <c r="T1190" i="8"/>
  <c r="T1189" i="8"/>
  <c r="T1188" i="8"/>
  <c r="T1187" i="8"/>
  <c r="T1186" i="8"/>
  <c r="T1185" i="8"/>
  <c r="T1184" i="8"/>
  <c r="T1183" i="8"/>
  <c r="T1181" i="8"/>
  <c r="T1180" i="8"/>
  <c r="T1179" i="8"/>
  <c r="T1178" i="8"/>
  <c r="T1177" i="8"/>
  <c r="T1176" i="8"/>
  <c r="T1175" i="8"/>
  <c r="T1174" i="8"/>
  <c r="T1173" i="8"/>
  <c r="T1172" i="8"/>
  <c r="T1171" i="8"/>
  <c r="T1170" i="8"/>
  <c r="T1169" i="8"/>
  <c r="T1168" i="8"/>
  <c r="T1167" i="8"/>
  <c r="T1166" i="8"/>
  <c r="T1165" i="8"/>
  <c r="T1164" i="8"/>
  <c r="T1163" i="8"/>
  <c r="T1162" i="8"/>
  <c r="T1161" i="8"/>
  <c r="T1160" i="8"/>
  <c r="T1159" i="8"/>
  <c r="T1158" i="8"/>
  <c r="T1157" i="8"/>
  <c r="T1156" i="8"/>
  <c r="T1155" i="8"/>
  <c r="T1154" i="8"/>
  <c r="T1153" i="8"/>
  <c r="T1152" i="8"/>
  <c r="T1151" i="8"/>
  <c r="T1150" i="8"/>
  <c r="T1149" i="8"/>
  <c r="T1148" i="8"/>
  <c r="T1147" i="8"/>
  <c r="T1146" i="8"/>
  <c r="T1145" i="8"/>
  <c r="T1144" i="8"/>
  <c r="T1143" i="8"/>
  <c r="T1142" i="8"/>
  <c r="T1141" i="8"/>
  <c r="T1140" i="8"/>
  <c r="T1139" i="8"/>
  <c r="T1138" i="8"/>
  <c r="T1136" i="8"/>
  <c r="T1135" i="8"/>
  <c r="T1134" i="8"/>
  <c r="T1133" i="8"/>
  <c r="T1132" i="8"/>
  <c r="T1131" i="8"/>
  <c r="T1130" i="8"/>
  <c r="T1129" i="8"/>
  <c r="T1128" i="8"/>
  <c r="T1127" i="8"/>
  <c r="T1126" i="8"/>
  <c r="T1125" i="8"/>
  <c r="T1124" i="8"/>
  <c r="T1123" i="8"/>
  <c r="T1122" i="8"/>
  <c r="T1121" i="8"/>
  <c r="T1120" i="8"/>
  <c r="T1119" i="8"/>
  <c r="T1118" i="8"/>
  <c r="T1117" i="8"/>
  <c r="T1116" i="8"/>
  <c r="T1114" i="8"/>
  <c r="T1113" i="8"/>
  <c r="T1111" i="8"/>
  <c r="T1110" i="8"/>
  <c r="T1109" i="8"/>
  <c r="T1108" i="8"/>
  <c r="T1107" i="8"/>
  <c r="T1106" i="8"/>
  <c r="T1105" i="8"/>
  <c r="T1104" i="8"/>
  <c r="T1103" i="8"/>
  <c r="T1102" i="8"/>
  <c r="T1101" i="8"/>
  <c r="T1100" i="8"/>
  <c r="T1099" i="8"/>
  <c r="T1097" i="8"/>
  <c r="T1096" i="8"/>
  <c r="T1095" i="8"/>
  <c r="T1093" i="8"/>
  <c r="T1092" i="8"/>
  <c r="T1091" i="8"/>
  <c r="T1090" i="8"/>
  <c r="T1088" i="8"/>
  <c r="T1087" i="8"/>
  <c r="T1086" i="8"/>
  <c r="T1085" i="8"/>
  <c r="T1084" i="8"/>
  <c r="T1082" i="8"/>
  <c r="T1081" i="8"/>
  <c r="T1080" i="8"/>
  <c r="T1079" i="8"/>
  <c r="T1077" i="8"/>
  <c r="T1076" i="8"/>
  <c r="T1075" i="8"/>
  <c r="T1074" i="8"/>
  <c r="T1073" i="8"/>
  <c r="T1071" i="8"/>
  <c r="T1070" i="8"/>
  <c r="T1069" i="8"/>
  <c r="T1068" i="8"/>
  <c r="T1067" i="8"/>
  <c r="T1066" i="8"/>
  <c r="T1064" i="8"/>
  <c r="T1063" i="8"/>
  <c r="T1062" i="8"/>
  <c r="T1061" i="8"/>
  <c r="T1060" i="8"/>
  <c r="T1059" i="8"/>
  <c r="T1058" i="8"/>
  <c r="T1056" i="8"/>
  <c r="T1055" i="8"/>
  <c r="T1054" i="8"/>
  <c r="T1053" i="8"/>
  <c r="T1051" i="8"/>
  <c r="T1050" i="8"/>
  <c r="T1049" i="8"/>
  <c r="T1048" i="8"/>
  <c r="T1047" i="8"/>
  <c r="T1046" i="8"/>
  <c r="T1045" i="8"/>
  <c r="T1044" i="8"/>
  <c r="T1042" i="8"/>
  <c r="T1041" i="8"/>
  <c r="T1040" i="8"/>
  <c r="T1039" i="8"/>
  <c r="T1038" i="8"/>
  <c r="T1037" i="8"/>
  <c r="T1036" i="8"/>
  <c r="T1034" i="8"/>
  <c r="T1033" i="8"/>
  <c r="T1032" i="8"/>
  <c r="T1031" i="8"/>
  <c r="T1030" i="8"/>
  <c r="T1028" i="8"/>
  <c r="T1027" i="8"/>
  <c r="T1026" i="8"/>
  <c r="T1025" i="8"/>
  <c r="T1024" i="8"/>
  <c r="T1023" i="8"/>
  <c r="T1022" i="8"/>
  <c r="T1021" i="8"/>
  <c r="T1020" i="8"/>
  <c r="T1018" i="8"/>
  <c r="T1017" i="8"/>
  <c r="T1016" i="8"/>
  <c r="T1015" i="8"/>
  <c r="T1013" i="8"/>
  <c r="T1012" i="8"/>
  <c r="T1011" i="8"/>
  <c r="T1010" i="8"/>
  <c r="T1008" i="8"/>
  <c r="T1007" i="8"/>
  <c r="T1006" i="8"/>
  <c r="T1005" i="8"/>
  <c r="T1004" i="8"/>
  <c r="T1002" i="8"/>
  <c r="T1001" i="8"/>
  <c r="T1000" i="8"/>
  <c r="T999" i="8"/>
  <c r="T998" i="8"/>
  <c r="T997" i="8"/>
  <c r="T996" i="8"/>
  <c r="T995" i="8"/>
  <c r="T993" i="8"/>
  <c r="T992" i="8"/>
  <c r="T990" i="8"/>
  <c r="T989" i="8"/>
  <c r="T988" i="8"/>
  <c r="T987" i="8"/>
  <c r="T986" i="8"/>
  <c r="T985" i="8"/>
  <c r="T984" i="8"/>
  <c r="T983" i="8"/>
  <c r="T982" i="8"/>
  <c r="T981" i="8"/>
  <c r="T980" i="8"/>
  <c r="T979" i="8"/>
  <c r="T978" i="8"/>
  <c r="T977" i="8"/>
  <c r="T976" i="8"/>
  <c r="T975" i="8"/>
  <c r="T973" i="8"/>
  <c r="T972" i="8"/>
  <c r="T971" i="8"/>
  <c r="T970" i="8"/>
  <c r="T968" i="8"/>
  <c r="T967" i="8"/>
  <c r="T966" i="8"/>
  <c r="T965" i="8"/>
  <c r="T964" i="8"/>
  <c r="T963" i="8"/>
  <c r="T962" i="8"/>
  <c r="T961" i="8"/>
  <c r="T960" i="8"/>
  <c r="T958" i="8"/>
  <c r="T957" i="8"/>
  <c r="T956" i="8"/>
  <c r="T955" i="8"/>
  <c r="T954" i="8"/>
  <c r="T953" i="8"/>
  <c r="T952" i="8"/>
  <c r="T951" i="8"/>
  <c r="T950" i="8"/>
  <c r="T949" i="8"/>
  <c r="T948" i="8"/>
  <c r="T947" i="8"/>
  <c r="T946" i="8"/>
  <c r="T944" i="8"/>
  <c r="T943" i="8"/>
  <c r="T942" i="8"/>
  <c r="T941" i="8"/>
  <c r="T940" i="8"/>
  <c r="T939" i="8"/>
  <c r="T937" i="8"/>
  <c r="T936" i="8"/>
  <c r="T935" i="8"/>
  <c r="T934" i="8"/>
  <c r="T932" i="8"/>
  <c r="T931" i="8"/>
  <c r="T930" i="8"/>
  <c r="T928" i="8"/>
  <c r="T927" i="8"/>
  <c r="T926" i="8"/>
  <c r="T924" i="8"/>
  <c r="T923" i="8"/>
  <c r="T922" i="8"/>
  <c r="T921" i="8"/>
  <c r="T920" i="8"/>
  <c r="T919" i="8"/>
  <c r="T918" i="8"/>
  <c r="T916" i="8"/>
  <c r="T915" i="8"/>
  <c r="T914" i="8"/>
  <c r="T912" i="8"/>
  <c r="T911" i="8"/>
  <c r="T909" i="8"/>
  <c r="T908" i="8"/>
  <c r="T907" i="8"/>
  <c r="T906" i="8"/>
  <c r="T905" i="8"/>
  <c r="T904" i="8"/>
  <c r="T903" i="8"/>
  <c r="T902" i="8"/>
  <c r="T900" i="8"/>
  <c r="T899" i="8"/>
  <c r="T898" i="8"/>
  <c r="T897" i="8"/>
  <c r="T896" i="8"/>
  <c r="T894" i="8"/>
  <c r="T893" i="8"/>
  <c r="T892" i="8"/>
  <c r="T891" i="8"/>
  <c r="T890" i="8"/>
  <c r="T888" i="8"/>
  <c r="T887" i="8"/>
  <c r="T886" i="8"/>
  <c r="T885" i="8"/>
  <c r="T884" i="8"/>
  <c r="T883" i="8"/>
  <c r="T881" i="8"/>
  <c r="T880" i="8"/>
  <c r="T879" i="8"/>
  <c r="T878" i="8"/>
  <c r="T877" i="8"/>
  <c r="T876" i="8"/>
  <c r="T875" i="8"/>
  <c r="T874" i="8"/>
  <c r="T873" i="8"/>
  <c r="T872" i="8"/>
  <c r="T871" i="8"/>
  <c r="T870" i="8"/>
  <c r="T869" i="8"/>
  <c r="T868" i="8"/>
  <c r="T867" i="8"/>
  <c r="T866" i="8"/>
  <c r="T865" i="8"/>
  <c r="T864" i="8"/>
  <c r="T863" i="8"/>
  <c r="T862" i="8"/>
  <c r="T860" i="8"/>
  <c r="T859" i="8"/>
  <c r="T857" i="8"/>
  <c r="T856" i="8"/>
  <c r="T855" i="8"/>
  <c r="T854" i="8"/>
  <c r="T853" i="8"/>
  <c r="T852" i="8"/>
  <c r="T851" i="8"/>
  <c r="T850" i="8"/>
  <c r="T848" i="8"/>
  <c r="T847" i="8"/>
  <c r="T846" i="8"/>
  <c r="T845" i="8"/>
  <c r="T844" i="8"/>
  <c r="T843" i="8"/>
  <c r="T841" i="8"/>
  <c r="T840" i="8"/>
  <c r="T839" i="8"/>
  <c r="T838" i="8"/>
  <c r="T837" i="8"/>
  <c r="T836" i="8"/>
  <c r="T834" i="8"/>
  <c r="T833" i="8"/>
  <c r="T832" i="8"/>
  <c r="T831" i="8"/>
  <c r="T830" i="8"/>
  <c r="T829" i="8"/>
  <c r="T828" i="8"/>
  <c r="T827" i="8"/>
  <c r="T826" i="8"/>
  <c r="T825" i="8"/>
  <c r="T824" i="8"/>
  <c r="T823" i="8"/>
  <c r="T822" i="8"/>
  <c r="T821" i="8"/>
  <c r="T820" i="8"/>
  <c r="T819" i="8"/>
  <c r="T817" i="8"/>
  <c r="T816" i="8"/>
  <c r="T815" i="8"/>
  <c r="T813" i="8"/>
  <c r="T812" i="8"/>
  <c r="T811" i="8"/>
  <c r="T809" i="8"/>
  <c r="T808" i="8"/>
  <c r="T807" i="8"/>
  <c r="T805" i="8"/>
  <c r="T804" i="8"/>
  <c r="T803" i="8"/>
  <c r="T801" i="8"/>
  <c r="T800" i="8"/>
  <c r="T799" i="8"/>
  <c r="T798" i="8"/>
  <c r="T797" i="8"/>
  <c r="T795" i="8"/>
  <c r="T794" i="8"/>
  <c r="T793" i="8"/>
  <c r="T792" i="8"/>
  <c r="T790" i="8"/>
  <c r="T789" i="8"/>
  <c r="T788" i="8"/>
  <c r="T786" i="8"/>
  <c r="T785" i="8"/>
  <c r="T784" i="8"/>
  <c r="T783" i="8"/>
  <c r="T782" i="8"/>
  <c r="T780" i="8"/>
  <c r="T779" i="8"/>
  <c r="T778" i="8"/>
  <c r="T777" i="8"/>
  <c r="T775" i="8"/>
  <c r="T774" i="8"/>
  <c r="T773" i="8"/>
  <c r="T772" i="8"/>
  <c r="T771" i="8"/>
  <c r="T770" i="8"/>
  <c r="T769" i="8"/>
  <c r="T768" i="8"/>
  <c r="T767" i="8"/>
  <c r="T766" i="8"/>
  <c r="T764" i="8"/>
  <c r="T763" i="8"/>
  <c r="T762" i="8"/>
  <c r="T761" i="8"/>
  <c r="T760" i="8"/>
  <c r="T758" i="8"/>
  <c r="T757" i="8"/>
  <c r="T756" i="8"/>
  <c r="T755" i="8"/>
  <c r="T754" i="8"/>
  <c r="T752" i="8"/>
  <c r="T751" i="8"/>
  <c r="T750" i="8"/>
  <c r="T749" i="8"/>
  <c r="T748" i="8"/>
  <c r="T747" i="8"/>
  <c r="T745" i="8"/>
  <c r="T744" i="8"/>
  <c r="T743" i="8"/>
  <c r="T742" i="8"/>
  <c r="T741" i="8"/>
  <c r="T739" i="8"/>
  <c r="T738" i="8"/>
  <c r="T737" i="8"/>
  <c r="T736" i="8"/>
  <c r="T734" i="8"/>
  <c r="T733" i="8"/>
  <c r="T732" i="8"/>
  <c r="T730" i="8"/>
  <c r="T729" i="8"/>
  <c r="T728" i="8"/>
  <c r="T727" i="8"/>
  <c r="T726" i="8"/>
  <c r="T725" i="8"/>
  <c r="T724" i="8"/>
  <c r="T722" i="8"/>
  <c r="T721" i="8"/>
  <c r="T719" i="8"/>
  <c r="T718" i="8"/>
  <c r="T717" i="8"/>
  <c r="T716" i="8"/>
  <c r="T715" i="8"/>
  <c r="T714" i="8"/>
  <c r="T712" i="8"/>
  <c r="T711" i="8"/>
  <c r="T710" i="8"/>
  <c r="T709" i="8"/>
  <c r="T708" i="8"/>
  <c r="T707" i="8"/>
  <c r="T706" i="8"/>
  <c r="T705" i="8"/>
  <c r="T704" i="8"/>
  <c r="T703" i="8"/>
  <c r="T702" i="8"/>
  <c r="T701" i="8"/>
  <c r="T700" i="8"/>
  <c r="T699" i="8"/>
  <c r="T698" i="8"/>
  <c r="T696" i="8"/>
  <c r="T695" i="8"/>
  <c r="T694" i="8"/>
  <c r="T693" i="8"/>
  <c r="T692" i="8"/>
  <c r="T691" i="8"/>
  <c r="T690" i="8"/>
  <c r="T689" i="8"/>
  <c r="T688" i="8"/>
  <c r="T687" i="8"/>
  <c r="T685" i="8"/>
  <c r="T684" i="8"/>
  <c r="T683" i="8"/>
  <c r="T682" i="8"/>
  <c r="T681" i="8"/>
  <c r="T680" i="8"/>
  <c r="T679" i="8"/>
  <c r="T678" i="8"/>
  <c r="T677" i="8"/>
  <c r="T676" i="8"/>
  <c r="T675" i="8"/>
  <c r="T673" i="8"/>
  <c r="T672" i="8"/>
  <c r="T671" i="8"/>
  <c r="T670" i="8"/>
  <c r="T669" i="8"/>
  <c r="T668" i="8"/>
  <c r="T667" i="8"/>
  <c r="T666" i="8"/>
  <c r="T664" i="8"/>
  <c r="T663" i="8"/>
  <c r="T661" i="8"/>
  <c r="T660" i="8"/>
  <c r="T659" i="8"/>
  <c r="T658" i="8"/>
  <c r="T657" i="8"/>
  <c r="T656" i="8"/>
  <c r="T655" i="8"/>
  <c r="T654" i="8"/>
  <c r="T653" i="8"/>
  <c r="T652" i="8"/>
  <c r="T651" i="8"/>
  <c r="T650" i="8"/>
  <c r="T649" i="8"/>
  <c r="T648" i="8"/>
  <c r="T647" i="8"/>
  <c r="T646" i="8"/>
  <c r="T645" i="8"/>
  <c r="T644" i="8"/>
  <c r="T642" i="8"/>
  <c r="T641" i="8"/>
  <c r="T640" i="8"/>
  <c r="T639" i="8"/>
  <c r="T638" i="8"/>
  <c r="T637" i="8"/>
  <c r="T636" i="8"/>
  <c r="T635" i="8"/>
  <c r="T634" i="8"/>
  <c r="T633" i="8"/>
  <c r="T631" i="8"/>
  <c r="T630" i="8"/>
  <c r="T629" i="8"/>
  <c r="T628" i="8"/>
  <c r="T627" i="8"/>
  <c r="T626" i="8"/>
  <c r="T625" i="8"/>
  <c r="T624" i="8"/>
  <c r="T623" i="8"/>
  <c r="T622" i="8"/>
  <c r="T621" i="8"/>
  <c r="T620" i="8"/>
  <c r="T619" i="8"/>
  <c r="T618" i="8"/>
  <c r="T617" i="8"/>
  <c r="T616" i="8"/>
  <c r="T615" i="8"/>
  <c r="T614" i="8"/>
  <c r="T613" i="8"/>
  <c r="T612" i="8"/>
  <c r="T611" i="8"/>
  <c r="T610" i="8"/>
  <c r="T609" i="8"/>
  <c r="T608" i="8"/>
  <c r="T607" i="8"/>
  <c r="T606" i="8"/>
  <c r="T605" i="8"/>
  <c r="T604" i="8"/>
  <c r="T603" i="8"/>
  <c r="T602" i="8"/>
  <c r="T601" i="8"/>
  <c r="T600" i="8"/>
  <c r="T599" i="8"/>
  <c r="T598" i="8"/>
  <c r="T597" i="8"/>
  <c r="T596" i="8"/>
  <c r="T594" i="8"/>
  <c r="T593" i="8"/>
  <c r="T591" i="8"/>
  <c r="T590" i="8"/>
  <c r="T589" i="8"/>
  <c r="T588" i="8"/>
  <c r="T587" i="8"/>
  <c r="T586" i="8"/>
  <c r="T585" i="8"/>
  <c r="T584" i="8"/>
  <c r="T583" i="8"/>
  <c r="T582" i="8"/>
  <c r="T580" i="8"/>
  <c r="T579" i="8"/>
  <c r="T578" i="8"/>
  <c r="T577" i="8"/>
  <c r="T576" i="8"/>
  <c r="T575" i="8"/>
  <c r="T574" i="8"/>
  <c r="T573" i="8"/>
  <c r="T572" i="8"/>
  <c r="T571" i="8"/>
  <c r="T570" i="8"/>
  <c r="T568" i="8"/>
  <c r="T567" i="8"/>
  <c r="T566" i="8"/>
  <c r="T565" i="8"/>
  <c r="T564" i="8"/>
  <c r="T563" i="8"/>
  <c r="T562" i="8"/>
  <c r="T560" i="8"/>
  <c r="T559" i="8"/>
  <c r="T558" i="8"/>
  <c r="T557" i="8"/>
  <c r="T556" i="8"/>
  <c r="T555" i="8"/>
  <c r="T554" i="8"/>
  <c r="T553" i="8"/>
  <c r="T552" i="8"/>
  <c r="T551" i="8"/>
  <c r="T550" i="8"/>
  <c r="T549" i="8"/>
  <c r="T548" i="8"/>
  <c r="T547" i="8"/>
  <c r="T546" i="8"/>
  <c r="T545" i="8"/>
  <c r="T544" i="8"/>
  <c r="T543" i="8"/>
  <c r="T542" i="8"/>
  <c r="T541" i="8"/>
  <c r="T540" i="8"/>
  <c r="T539" i="8"/>
  <c r="T537" i="8"/>
  <c r="T536" i="8"/>
  <c r="T535" i="8"/>
  <c r="T534" i="8"/>
  <c r="T533" i="8"/>
  <c r="T532" i="8"/>
  <c r="T531" i="8"/>
  <c r="T530" i="8"/>
  <c r="T529" i="8"/>
  <c r="T528" i="8"/>
  <c r="T527" i="8"/>
  <c r="T526" i="8"/>
  <c r="T524" i="8"/>
  <c r="T523" i="8"/>
  <c r="T521" i="8"/>
  <c r="T520" i="8"/>
  <c r="T519" i="8"/>
  <c r="T518" i="8"/>
  <c r="T517" i="8"/>
  <c r="T515" i="8"/>
  <c r="T514" i="8"/>
  <c r="T513" i="8"/>
  <c r="T512" i="8"/>
  <c r="T511" i="8"/>
  <c r="T509" i="8"/>
  <c r="T508" i="8"/>
  <c r="T507" i="8"/>
  <c r="T506" i="8"/>
  <c r="T505" i="8"/>
  <c r="T504" i="8"/>
  <c r="T503" i="8"/>
  <c r="T502" i="8"/>
  <c r="T501" i="8"/>
  <c r="T500" i="8"/>
  <c r="T499" i="8"/>
  <c r="T498" i="8"/>
  <c r="T516" i="8"/>
  <c r="T497" i="8"/>
  <c r="T510" i="8"/>
  <c r="T496" i="8"/>
  <c r="T495" i="8"/>
  <c r="T494" i="8"/>
  <c r="T493" i="8"/>
  <c r="T492" i="8"/>
  <c r="T491" i="8"/>
  <c r="T490" i="8"/>
  <c r="T480" i="8"/>
  <c r="T478" i="8"/>
  <c r="T475" i="8"/>
  <c r="T470" i="8"/>
  <c r="T459" i="8"/>
  <c r="T456" i="8"/>
  <c r="T454" i="8"/>
  <c r="T489" i="8"/>
  <c r="T488" i="8"/>
  <c r="T487" i="8"/>
  <c r="T486" i="8"/>
  <c r="T485" i="8"/>
  <c r="T484" i="8"/>
  <c r="T483" i="8"/>
  <c r="T482" i="8"/>
  <c r="T481" i="8"/>
  <c r="T479" i="8"/>
  <c r="T477" i="8"/>
  <c r="T476" i="8"/>
  <c r="T474" i="8"/>
  <c r="T473" i="8"/>
  <c r="T472" i="8"/>
  <c r="T471" i="8"/>
  <c r="T469" i="8"/>
  <c r="T468" i="8"/>
  <c r="T467" i="8"/>
  <c r="T466" i="8"/>
  <c r="T465" i="8"/>
  <c r="T464" i="8"/>
  <c r="T463" i="8"/>
  <c r="T462" i="8"/>
  <c r="T461" i="8"/>
  <c r="T460" i="8"/>
  <c r="T458" i="8"/>
  <c r="T457" i="8"/>
  <c r="T455" i="8"/>
  <c r="T453" i="8"/>
  <c r="T452" i="8"/>
  <c r="T450" i="8"/>
  <c r="T449" i="8"/>
  <c r="T448" i="8"/>
  <c r="T447" i="8"/>
  <c r="T446" i="8"/>
  <c r="T445" i="8"/>
  <c r="T444" i="8"/>
  <c r="T442" i="8"/>
  <c r="T441" i="8"/>
  <c r="T440" i="8"/>
  <c r="T439" i="8"/>
  <c r="T438" i="8"/>
  <c r="T437" i="8"/>
  <c r="T436" i="8"/>
  <c r="T435" i="8"/>
  <c r="T434" i="8"/>
  <c r="T433" i="8"/>
  <c r="T432" i="8"/>
  <c r="T431" i="8"/>
  <c r="T430" i="8"/>
  <c r="T428" i="8"/>
  <c r="T427" i="8"/>
  <c r="T426" i="8"/>
  <c r="T425" i="8"/>
  <c r="T423" i="8"/>
  <c r="T422" i="8"/>
  <c r="T421" i="8"/>
  <c r="T420" i="8"/>
  <c r="T419" i="8"/>
  <c r="T418" i="8"/>
  <c r="T417" i="8"/>
  <c r="T424" i="8"/>
  <c r="T411" i="8"/>
  <c r="T408" i="8"/>
  <c r="T416" i="8"/>
  <c r="T415" i="8"/>
  <c r="T414" i="8"/>
  <c r="T413" i="8"/>
  <c r="T412" i="8"/>
  <c r="T410" i="8"/>
  <c r="T409" i="8"/>
  <c r="T407" i="8"/>
  <c r="T405" i="8"/>
  <c r="T404" i="8"/>
  <c r="T402" i="8"/>
  <c r="T401" i="8"/>
  <c r="T400" i="8"/>
  <c r="T399" i="8"/>
  <c r="T397" i="8"/>
  <c r="T396" i="8"/>
  <c r="T395" i="8"/>
  <c r="T394" i="8"/>
  <c r="T393" i="8"/>
  <c r="T392" i="8"/>
  <c r="T391" i="8"/>
  <c r="T390" i="8"/>
  <c r="T389" i="8"/>
  <c r="T398" i="8"/>
  <c r="T388" i="8"/>
  <c r="T387" i="8"/>
  <c r="T386" i="8"/>
  <c r="T385" i="8"/>
  <c r="T384" i="8"/>
  <c r="T383" i="8"/>
  <c r="T382" i="8"/>
  <c r="T381" i="8"/>
  <c r="T380" i="8"/>
  <c r="T379" i="8"/>
  <c r="T378" i="8"/>
  <c r="T377" i="8"/>
  <c r="T376" i="8"/>
  <c r="T375" i="8"/>
  <c r="T374" i="8"/>
  <c r="T373" i="8"/>
  <c r="T372" i="8"/>
  <c r="T371" i="8"/>
  <c r="T370" i="8"/>
  <c r="T369" i="8"/>
  <c r="T367" i="8"/>
  <c r="T366" i="8"/>
  <c r="T364" i="8"/>
  <c r="T363" i="8"/>
  <c r="T362" i="8"/>
  <c r="T361" i="8"/>
  <c r="T359" i="8"/>
  <c r="T358" i="8"/>
  <c r="T357" i="8"/>
  <c r="T356" i="8"/>
  <c r="T354" i="8"/>
  <c r="T353" i="8"/>
  <c r="T352" i="8"/>
  <c r="T351" i="8"/>
  <c r="T350" i="8"/>
  <c r="T349" i="8"/>
  <c r="T348" i="8"/>
  <c r="T347" i="8"/>
  <c r="T346" i="8"/>
  <c r="T345" i="8"/>
  <c r="T344" i="8"/>
  <c r="T343" i="8"/>
  <c r="T360" i="8"/>
  <c r="T342" i="8"/>
  <c r="T355" i="8"/>
  <c r="T341" i="8"/>
  <c r="T340" i="8"/>
  <c r="T339" i="8"/>
  <c r="T338" i="8"/>
  <c r="T329" i="8"/>
  <c r="T309" i="8"/>
  <c r="T306" i="8"/>
  <c r="T337" i="8"/>
  <c r="T336" i="8"/>
  <c r="T335" i="8"/>
  <c r="T334" i="8"/>
  <c r="T333" i="8"/>
  <c r="T332" i="8"/>
  <c r="T331" i="8"/>
  <c r="T330" i="8"/>
  <c r="T328" i="8"/>
  <c r="T327" i="8"/>
  <c r="T326" i="8"/>
  <c r="T325" i="8"/>
  <c r="T324" i="8"/>
  <c r="T323" i="8"/>
  <c r="T322" i="8"/>
  <c r="T321" i="8"/>
  <c r="T320" i="8"/>
  <c r="T319" i="8"/>
  <c r="T318" i="8"/>
  <c r="T317" i="8"/>
  <c r="T316" i="8"/>
  <c r="T315" i="8"/>
  <c r="T314" i="8"/>
  <c r="T313" i="8"/>
  <c r="T312" i="8"/>
  <c r="T311" i="8"/>
  <c r="T310" i="8"/>
  <c r="T308" i="8"/>
  <c r="T307" i="8"/>
  <c r="T305" i="8"/>
  <c r="T303" i="8"/>
  <c r="T300" i="8"/>
  <c r="T299" i="8"/>
  <c r="T298" i="8"/>
  <c r="T296" i="8"/>
  <c r="T295" i="8"/>
  <c r="T294" i="8"/>
  <c r="T293" i="8"/>
  <c r="T292" i="8"/>
  <c r="T302" i="8"/>
  <c r="T291" i="8"/>
  <c r="T297" i="8"/>
  <c r="T290" i="8"/>
  <c r="T289" i="8"/>
  <c r="T286" i="8"/>
  <c r="T280" i="8"/>
  <c r="T277" i="8"/>
  <c r="T288" i="8"/>
  <c r="T287" i="8"/>
  <c r="T285" i="8"/>
  <c r="T284" i="8"/>
  <c r="T283" i="8"/>
  <c r="T282" i="8"/>
  <c r="T281" i="8"/>
  <c r="T279" i="8"/>
  <c r="T276" i="8"/>
  <c r="T274" i="8"/>
  <c r="T273" i="8"/>
  <c r="T272" i="8"/>
  <c r="T271" i="8"/>
  <c r="T270" i="8"/>
  <c r="T269" i="8"/>
  <c r="T268" i="8"/>
  <c r="T267" i="8"/>
  <c r="T266" i="8"/>
  <c r="T264" i="8"/>
  <c r="T263" i="8"/>
  <c r="T262" i="8"/>
  <c r="T261" i="8"/>
  <c r="T259" i="8"/>
  <c r="T258" i="8"/>
  <c r="T257" i="8"/>
  <c r="T256" i="8"/>
  <c r="T255" i="8"/>
  <c r="T254" i="8"/>
  <c r="T253" i="8"/>
  <c r="T252" i="8"/>
  <c r="T251" i="8"/>
  <c r="T250" i="8"/>
  <c r="T249" i="8"/>
  <c r="T248" i="8"/>
  <c r="T246" i="8"/>
  <c r="T245" i="8"/>
  <c r="T243" i="8"/>
  <c r="T242" i="8"/>
  <c r="T240" i="8"/>
  <c r="T239" i="8"/>
  <c r="T238" i="8"/>
  <c r="T237" i="8"/>
  <c r="T236" i="8"/>
  <c r="T235" i="8"/>
  <c r="T234" i="8"/>
  <c r="T233" i="8"/>
  <c r="T229" i="8"/>
  <c r="T227" i="8"/>
  <c r="T226" i="8"/>
  <c r="T232" i="8"/>
  <c r="T231" i="8"/>
  <c r="T230" i="8"/>
  <c r="T228" i="8"/>
  <c r="T225" i="8"/>
  <c r="T224" i="8"/>
  <c r="T222" i="8"/>
  <c r="T221" i="8"/>
  <c r="T220" i="8"/>
  <c r="T219" i="8"/>
  <c r="T218" i="8"/>
  <c r="T217" i="8"/>
  <c r="T216" i="8"/>
  <c r="T214" i="8"/>
  <c r="T213" i="8"/>
  <c r="T212" i="8"/>
  <c r="T211" i="8"/>
  <c r="T210" i="8"/>
  <c r="T209" i="8"/>
  <c r="T208" i="8"/>
  <c r="T207" i="8"/>
  <c r="T206" i="8"/>
  <c r="T205" i="8"/>
  <c r="T204" i="8"/>
  <c r="T203" i="8"/>
  <c r="T201" i="8"/>
  <c r="T200" i="8"/>
  <c r="T199" i="8"/>
  <c r="T198" i="8"/>
  <c r="T197" i="8"/>
  <c r="T196" i="8"/>
  <c r="T195" i="8"/>
  <c r="T194" i="8"/>
  <c r="T193" i="8"/>
  <c r="T187" i="8"/>
  <c r="T185" i="8"/>
  <c r="T192" i="8"/>
  <c r="T191" i="8"/>
  <c r="T190" i="8"/>
  <c r="T189" i="8"/>
  <c r="T188" i="8"/>
  <c r="T186" i="8"/>
  <c r="T184" i="8"/>
  <c r="T182" i="8"/>
  <c r="T181" i="8"/>
  <c r="T180" i="8"/>
  <c r="T179" i="8"/>
  <c r="T177" i="8"/>
  <c r="T176" i="8"/>
  <c r="T173" i="8"/>
  <c r="T172" i="8"/>
  <c r="T171" i="8"/>
  <c r="T170" i="8"/>
  <c r="T169" i="8"/>
  <c r="T168" i="8"/>
  <c r="T166" i="8"/>
  <c r="T165" i="8"/>
  <c r="T164" i="8"/>
  <c r="T163" i="8"/>
  <c r="T162" i="8"/>
  <c r="T161" i="8"/>
  <c r="T160" i="8"/>
  <c r="T159" i="8"/>
  <c r="T157" i="8"/>
  <c r="T156" i="8"/>
  <c r="T155" i="8"/>
  <c r="T154" i="8"/>
  <c r="T153" i="8"/>
  <c r="T152" i="8"/>
  <c r="T151" i="8"/>
  <c r="T150" i="8"/>
  <c r="T149" i="8"/>
  <c r="T148" i="8"/>
  <c r="T147" i="8"/>
  <c r="T146" i="8"/>
  <c r="T144" i="8"/>
  <c r="T143" i="8"/>
  <c r="T142" i="8"/>
  <c r="T167" i="8"/>
  <c r="T141" i="8"/>
  <c r="T158" i="8"/>
  <c r="T140" i="8"/>
  <c r="T139" i="8"/>
  <c r="T138" i="8"/>
  <c r="T137" i="8"/>
  <c r="T136" i="8"/>
  <c r="T135" i="8"/>
  <c r="T134" i="8"/>
  <c r="T133" i="8"/>
  <c r="T132" i="8"/>
  <c r="T131" i="8"/>
  <c r="T130" i="8"/>
  <c r="T129" i="8"/>
  <c r="T128" i="8"/>
  <c r="T118" i="8"/>
  <c r="T117" i="8"/>
  <c r="T110" i="8"/>
  <c r="T112" i="8"/>
  <c r="T107" i="8"/>
  <c r="T127" i="8"/>
  <c r="T96" i="8"/>
  <c r="T91" i="8"/>
  <c r="T89" i="8"/>
  <c r="T88" i="8"/>
  <c r="T87" i="8"/>
  <c r="T86" i="8"/>
  <c r="T126" i="8"/>
  <c r="T125" i="8"/>
  <c r="T124" i="8"/>
  <c r="T123" i="8"/>
  <c r="T122" i="8"/>
  <c r="T121" i="8"/>
  <c r="T119" i="8"/>
  <c r="T116" i="8"/>
  <c r="T115" i="8"/>
  <c r="T114" i="8"/>
  <c r="T113" i="8"/>
  <c r="T111" i="8"/>
  <c r="T109" i="8"/>
  <c r="T108" i="8"/>
  <c r="T106" i="8"/>
  <c r="T105" i="8"/>
  <c r="T104" i="8"/>
  <c r="T103" i="8"/>
  <c r="T102" i="8"/>
  <c r="T101" i="8"/>
  <c r="T100" i="8"/>
  <c r="T99" i="8"/>
  <c r="T98" i="8"/>
  <c r="T97" i="8"/>
  <c r="T95" i="8"/>
  <c r="T94" i="8"/>
  <c r="T93" i="8"/>
  <c r="T92" i="8"/>
  <c r="T90" i="8"/>
  <c r="T85" i="8"/>
  <c r="T84" i="8"/>
  <c r="T83" i="8"/>
  <c r="T82" i="8"/>
  <c r="T81" i="8"/>
  <c r="T79" i="8"/>
  <c r="T78" i="8"/>
  <c r="T76" i="8"/>
  <c r="T75" i="8"/>
  <c r="T74" i="8"/>
  <c r="T73" i="8"/>
  <c r="T72" i="8"/>
  <c r="T71" i="8"/>
  <c r="T70" i="8"/>
  <c r="T69" i="8"/>
  <c r="T68" i="8"/>
  <c r="T67" i="8"/>
  <c r="T66" i="8"/>
  <c r="T65" i="8"/>
  <c r="T64" i="8"/>
  <c r="T63" i="8"/>
  <c r="T62" i="8"/>
  <c r="T51" i="8"/>
  <c r="T44" i="8"/>
  <c r="T41" i="8"/>
  <c r="T40" i="8"/>
  <c r="T61" i="8"/>
  <c r="T60" i="8"/>
  <c r="T59" i="8"/>
  <c r="T58" i="8"/>
  <c r="T57" i="8"/>
  <c r="T56" i="8"/>
  <c r="T55" i="8"/>
  <c r="T54" i="8"/>
  <c r="T53" i="8"/>
  <c r="T52" i="8"/>
  <c r="T50" i="8"/>
  <c r="T49" i="8"/>
  <c r="T48" i="8"/>
  <c r="T47" i="8"/>
  <c r="T46" i="8"/>
  <c r="T45" i="8"/>
  <c r="T43" i="8"/>
  <c r="T42" i="8"/>
  <c r="T39" i="8"/>
  <c r="T38" i="8"/>
  <c r="T37" i="8"/>
  <c r="T35" i="8"/>
  <c r="T33" i="8"/>
  <c r="T32" i="8"/>
  <c r="T31" i="8"/>
  <c r="T30" i="8"/>
  <c r="T29" i="8"/>
  <c r="T28" i="8"/>
  <c r="T27" i="8"/>
  <c r="T23" i="8"/>
  <c r="T26" i="8"/>
  <c r="T25" i="8"/>
  <c r="T24" i="8"/>
  <c r="T22" i="8"/>
  <c r="T20" i="8"/>
  <c r="T19" i="8"/>
  <c r="T16" i="8"/>
  <c r="T15" i="8"/>
  <c r="T14" i="8"/>
  <c r="T12" i="8"/>
  <c r="T11" i="8"/>
  <c r="T10" i="8"/>
  <c r="T9" i="8"/>
  <c r="T8" i="8"/>
  <c r="T4" i="8"/>
  <c r="T1358" i="1"/>
  <c r="T1357" i="1"/>
  <c r="T1356" i="1"/>
  <c r="T1355" i="1"/>
  <c r="T1354" i="1"/>
  <c r="T1352" i="1"/>
  <c r="T1351" i="1"/>
  <c r="T1350" i="1"/>
  <c r="T1349" i="1"/>
  <c r="T1348" i="1"/>
  <c r="T1346" i="1"/>
  <c r="T1344" i="1"/>
  <c r="T1343" i="1"/>
  <c r="T1341" i="1"/>
  <c r="T1340" i="1"/>
  <c r="T1338" i="1"/>
  <c r="T1337" i="1"/>
  <c r="T1336" i="1"/>
  <c r="T1335" i="1"/>
  <c r="T1334" i="1"/>
  <c r="T1333" i="1"/>
  <c r="T1332" i="1"/>
  <c r="T1331" i="1"/>
  <c r="T1329" i="1"/>
  <c r="T1328" i="1"/>
  <c r="T1327" i="1"/>
  <c r="T1326" i="1"/>
  <c r="T1325" i="1"/>
  <c r="T1324" i="1"/>
  <c r="T1323" i="1"/>
  <c r="T1322" i="1"/>
  <c r="T1321" i="1"/>
  <c r="T1320" i="1"/>
  <c r="T1319" i="1"/>
  <c r="T1318" i="1"/>
  <c r="T1317" i="1"/>
  <c r="T1316" i="1"/>
  <c r="T1315" i="1"/>
  <c r="T1314" i="1"/>
  <c r="T1313" i="1"/>
  <c r="T1312" i="1"/>
  <c r="T1311" i="1"/>
  <c r="T1310" i="1"/>
  <c r="T1308" i="1"/>
  <c r="T1307" i="1"/>
  <c r="T1306" i="1"/>
  <c r="T1305" i="1"/>
  <c r="T1304" i="1"/>
  <c r="T1303" i="1"/>
  <c r="T1301" i="1"/>
  <c r="T1300" i="1"/>
  <c r="T1298" i="1"/>
  <c r="T1297" i="1"/>
  <c r="T1296" i="1"/>
  <c r="T1295" i="1"/>
  <c r="T1294" i="1"/>
  <c r="T1293" i="1"/>
  <c r="T1292" i="1"/>
  <c r="T1290" i="1"/>
  <c r="T1289" i="1"/>
  <c r="T1288" i="1"/>
  <c r="T1287" i="1"/>
  <c r="T1286" i="1"/>
  <c r="T1284" i="1"/>
  <c r="T1283" i="1"/>
  <c r="T1282" i="1"/>
  <c r="T1281" i="1"/>
  <c r="T1280" i="1"/>
  <c r="T1279" i="1"/>
  <c r="T1278" i="1"/>
  <c r="T1277" i="1"/>
  <c r="T1276" i="1"/>
  <c r="T1274" i="1"/>
  <c r="T1273" i="1"/>
  <c r="T1272" i="1"/>
  <c r="T1271" i="1"/>
  <c r="T1269" i="1"/>
  <c r="T1268" i="1"/>
  <c r="T1267" i="1"/>
  <c r="T1266" i="1"/>
  <c r="T1265" i="1"/>
  <c r="T1263" i="1"/>
  <c r="T1262" i="1"/>
  <c r="T1261" i="1"/>
  <c r="T1260" i="1"/>
  <c r="T1259" i="1"/>
  <c r="T1258" i="1"/>
  <c r="T1257" i="1"/>
  <c r="T1256" i="1"/>
  <c r="T1255" i="1"/>
  <c r="T1254" i="1"/>
  <c r="T1253" i="1"/>
  <c r="T1251" i="1"/>
  <c r="T1250" i="1"/>
  <c r="T1249" i="1"/>
  <c r="T1248" i="1"/>
  <c r="T1247" i="1"/>
  <c r="T1245" i="1"/>
  <c r="T1244" i="1"/>
  <c r="T1243" i="1"/>
  <c r="T1242" i="1"/>
  <c r="T1241" i="1"/>
  <c r="T1240" i="1"/>
  <c r="T1238" i="1"/>
  <c r="T1237" i="1"/>
  <c r="T1236" i="1"/>
  <c r="T1235" i="1"/>
  <c r="T1234" i="1"/>
  <c r="T1233" i="1"/>
  <c r="T1232" i="1"/>
  <c r="T1231" i="1"/>
  <c r="T1229" i="1"/>
  <c r="T1228" i="1"/>
  <c r="T1227" i="1"/>
  <c r="T1226" i="1"/>
  <c r="T1225" i="1"/>
  <c r="T1224" i="1"/>
  <c r="T1223" i="1"/>
  <c r="T1222" i="1"/>
  <c r="T1220" i="1"/>
  <c r="T1219" i="1"/>
  <c r="T1218" i="1"/>
  <c r="T1217" i="1"/>
  <c r="T1216" i="1"/>
  <c r="T1215" i="1"/>
  <c r="T1214" i="1"/>
  <c r="T1213" i="1"/>
  <c r="T1212" i="1"/>
  <c r="T1211" i="1"/>
  <c r="T1209" i="1"/>
  <c r="T1208" i="1"/>
  <c r="T1207" i="1"/>
  <c r="T1205" i="1"/>
  <c r="T1204" i="1"/>
  <c r="T1203" i="1"/>
  <c r="T1202" i="1"/>
  <c r="T1201" i="1"/>
  <c r="T1200" i="1"/>
  <c r="T1199" i="1"/>
  <c r="T1198" i="1"/>
  <c r="T1196" i="1"/>
  <c r="T1195" i="1"/>
  <c r="T1193" i="1"/>
  <c r="T1192" i="1"/>
  <c r="T1191" i="1"/>
  <c r="T1189" i="1"/>
  <c r="T1188" i="1"/>
  <c r="T1187" i="1"/>
  <c r="T1186" i="1"/>
  <c r="T1184" i="1"/>
  <c r="T1183" i="1"/>
  <c r="T1182" i="1"/>
  <c r="T1180" i="1"/>
  <c r="T1179" i="1"/>
  <c r="T1178" i="1"/>
  <c r="T1177" i="1"/>
  <c r="T1176" i="1"/>
  <c r="T1175" i="1"/>
  <c r="T1174" i="1"/>
  <c r="T1172" i="1"/>
  <c r="T1171" i="1"/>
  <c r="T1170" i="1"/>
  <c r="T1169" i="1"/>
  <c r="T1167" i="1"/>
  <c r="T1166" i="1"/>
  <c r="T1165" i="1"/>
  <c r="T1164" i="1"/>
  <c r="T1162" i="1"/>
  <c r="T1161" i="1"/>
  <c r="T1160" i="1"/>
  <c r="T1159" i="1"/>
  <c r="T1158" i="1"/>
  <c r="T1157" i="1"/>
  <c r="T1156" i="1"/>
  <c r="T1154" i="1"/>
  <c r="T1153" i="1"/>
  <c r="T1152" i="1"/>
  <c r="T1151" i="1"/>
  <c r="T1150" i="1"/>
  <c r="T1149" i="1"/>
  <c r="T1148" i="1"/>
  <c r="T1147" i="1"/>
  <c r="T1146" i="1"/>
  <c r="T1145" i="1"/>
  <c r="T1144" i="1"/>
  <c r="T1143" i="1"/>
  <c r="T1142" i="1"/>
  <c r="T1141" i="1"/>
  <c r="T1140" i="1"/>
  <c r="T1139" i="1"/>
  <c r="T1137" i="1"/>
  <c r="T1136" i="1"/>
  <c r="T1135" i="1"/>
  <c r="T1134" i="1"/>
  <c r="T1133" i="1"/>
  <c r="T1131" i="1"/>
  <c r="T1130" i="1"/>
  <c r="T1129" i="1"/>
  <c r="T1128" i="1"/>
  <c r="T1127" i="1"/>
  <c r="T1126" i="1"/>
  <c r="T1125" i="1"/>
  <c r="T1124" i="1"/>
  <c r="T1123" i="1"/>
  <c r="T1122" i="1"/>
  <c r="T1121" i="1"/>
  <c r="T1119" i="1"/>
  <c r="T1118" i="1"/>
  <c r="T1117" i="1"/>
  <c r="T1116" i="1"/>
  <c r="T1115" i="1"/>
  <c r="T1114" i="1"/>
  <c r="T1113" i="1"/>
  <c r="T1112" i="1"/>
  <c r="T1111" i="1"/>
  <c r="T1110" i="1"/>
  <c r="T1108" i="1"/>
  <c r="T1107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8" i="1"/>
  <c r="T1087" i="1"/>
  <c r="T1086" i="1"/>
  <c r="T1085" i="1"/>
  <c r="T1083" i="1"/>
  <c r="T1082" i="1"/>
  <c r="T1081" i="1"/>
  <c r="T1080" i="1"/>
  <c r="T1079" i="1"/>
  <c r="T1078" i="1"/>
  <c r="T1077" i="1"/>
  <c r="T1076" i="1"/>
  <c r="T1075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59" i="1"/>
  <c r="T1058" i="1"/>
  <c r="T1057" i="1"/>
  <c r="T1056" i="1"/>
  <c r="T1055" i="1"/>
  <c r="T1054" i="1"/>
  <c r="T1053" i="1"/>
  <c r="T1052" i="1"/>
  <c r="T1051" i="1"/>
  <c r="T1050" i="1"/>
  <c r="T1048" i="1"/>
  <c r="T1047" i="1"/>
  <c r="T1046" i="1"/>
  <c r="T1045" i="1"/>
  <c r="T1044" i="1"/>
  <c r="T1043" i="1"/>
  <c r="T1042" i="1"/>
  <c r="T1041" i="1"/>
  <c r="T1040" i="1"/>
  <c r="T1039" i="1"/>
  <c r="T1038" i="1"/>
  <c r="T1037" i="1"/>
  <c r="T1036" i="1"/>
  <c r="T1035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9" i="1"/>
  <c r="T978" i="1"/>
  <c r="T977" i="1"/>
  <c r="T976" i="1"/>
  <c r="T975" i="1"/>
  <c r="T974" i="1"/>
  <c r="T973" i="1"/>
  <c r="T972" i="1"/>
  <c r="T971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5" i="1"/>
  <c r="T944" i="1"/>
  <c r="T943" i="1"/>
  <c r="T942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4" i="1"/>
  <c r="T923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7" i="1"/>
  <c r="T906" i="1"/>
  <c r="T905" i="1"/>
  <c r="T904" i="1"/>
  <c r="T903" i="1"/>
  <c r="T902" i="1"/>
  <c r="T901" i="1"/>
  <c r="T899" i="1"/>
  <c r="T898" i="1"/>
  <c r="T897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1" i="1"/>
  <c r="T880" i="1"/>
  <c r="T879" i="1"/>
  <c r="T877" i="1"/>
  <c r="T876" i="1"/>
  <c r="T875" i="1"/>
  <c r="T873" i="1"/>
  <c r="T872" i="1"/>
  <c r="T871" i="1"/>
  <c r="T870" i="1"/>
  <c r="T869" i="1"/>
  <c r="T867" i="1"/>
  <c r="T866" i="1"/>
  <c r="T865" i="1"/>
  <c r="T864" i="1"/>
  <c r="T862" i="1"/>
  <c r="T861" i="1"/>
  <c r="T860" i="1"/>
  <c r="T859" i="1"/>
  <c r="T858" i="1"/>
  <c r="T857" i="1"/>
  <c r="T855" i="1"/>
  <c r="T854" i="1"/>
  <c r="T853" i="1"/>
  <c r="T852" i="1"/>
  <c r="T851" i="1"/>
  <c r="T850" i="1"/>
  <c r="T848" i="1"/>
  <c r="T847" i="1"/>
  <c r="T846" i="1"/>
  <c r="T845" i="1"/>
  <c r="T844" i="1"/>
  <c r="T843" i="1"/>
  <c r="T842" i="1"/>
  <c r="T841" i="1"/>
  <c r="T839" i="1"/>
  <c r="T838" i="1"/>
  <c r="T837" i="1"/>
  <c r="T836" i="1"/>
  <c r="T835" i="1"/>
  <c r="T834" i="1"/>
  <c r="T833" i="1"/>
  <c r="T832" i="1"/>
  <c r="T830" i="1"/>
  <c r="T829" i="1"/>
  <c r="T828" i="1"/>
  <c r="T827" i="1"/>
  <c r="T826" i="1"/>
  <c r="T825" i="1"/>
  <c r="T823" i="1"/>
  <c r="T822" i="1"/>
  <c r="T821" i="1"/>
  <c r="T820" i="1"/>
  <c r="T819" i="1"/>
  <c r="T818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0" i="1"/>
  <c r="T799" i="1"/>
  <c r="T798" i="1"/>
  <c r="T796" i="1"/>
  <c r="T795" i="1"/>
  <c r="T794" i="1"/>
  <c r="T793" i="1"/>
  <c r="T792" i="1"/>
  <c r="T791" i="1"/>
  <c r="T790" i="1"/>
  <c r="T788" i="1"/>
  <c r="T787" i="1"/>
  <c r="T786" i="1"/>
  <c r="T785" i="1"/>
  <c r="T784" i="1"/>
  <c r="T783" i="1"/>
  <c r="T782" i="1"/>
  <c r="T780" i="1"/>
  <c r="T779" i="1"/>
  <c r="T778" i="1"/>
  <c r="T777" i="1"/>
  <c r="T775" i="1"/>
  <c r="T774" i="1"/>
  <c r="T773" i="1"/>
  <c r="T772" i="1"/>
  <c r="T771" i="1"/>
  <c r="T769" i="1"/>
  <c r="T768" i="1"/>
  <c r="T767" i="1"/>
  <c r="T766" i="1"/>
  <c r="T764" i="1"/>
  <c r="T763" i="1"/>
  <c r="T762" i="1"/>
  <c r="T761" i="1"/>
  <c r="T759" i="1"/>
  <c r="T758" i="1"/>
  <c r="T757" i="1"/>
  <c r="T755" i="1"/>
  <c r="T754" i="1"/>
  <c r="T753" i="1"/>
  <c r="T751" i="1"/>
  <c r="T750" i="1"/>
  <c r="T749" i="1"/>
  <c r="T747" i="1"/>
  <c r="T746" i="1"/>
  <c r="T745" i="1"/>
  <c r="T744" i="1"/>
  <c r="T743" i="1"/>
  <c r="T741" i="1"/>
  <c r="T740" i="1"/>
  <c r="T739" i="1"/>
  <c r="T738" i="1"/>
  <c r="T737" i="1"/>
  <c r="T735" i="1"/>
  <c r="T734" i="1"/>
  <c r="T733" i="1"/>
  <c r="T732" i="1"/>
  <c r="T731" i="1"/>
  <c r="T730" i="1"/>
  <c r="T728" i="1"/>
  <c r="T727" i="1"/>
  <c r="T726" i="1"/>
  <c r="T725" i="1"/>
  <c r="T724" i="1"/>
  <c r="T722" i="1"/>
  <c r="T721" i="1"/>
  <c r="T720" i="1"/>
  <c r="T718" i="1"/>
  <c r="T717" i="1"/>
  <c r="T716" i="1"/>
  <c r="T715" i="1"/>
  <c r="T714" i="1"/>
  <c r="T712" i="1"/>
  <c r="T711" i="1"/>
  <c r="T710" i="1"/>
  <c r="T709" i="1"/>
  <c r="T707" i="1"/>
  <c r="T706" i="1"/>
  <c r="T705" i="1"/>
  <c r="T703" i="1"/>
  <c r="T702" i="1"/>
  <c r="T701" i="1"/>
  <c r="T700" i="1"/>
  <c r="T699" i="1"/>
  <c r="T697" i="1"/>
  <c r="T696" i="1"/>
  <c r="T695" i="1"/>
  <c r="T694" i="1"/>
  <c r="T692" i="1"/>
  <c r="T691" i="1"/>
  <c r="T690" i="1"/>
  <c r="T689" i="1"/>
  <c r="T688" i="1"/>
  <c r="T687" i="1"/>
  <c r="T686" i="1"/>
  <c r="T685" i="1"/>
  <c r="T684" i="1"/>
  <c r="T683" i="1"/>
  <c r="T681" i="1"/>
  <c r="T680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9" i="1"/>
  <c r="T648" i="1"/>
  <c r="T647" i="1"/>
  <c r="T646" i="1"/>
  <c r="T645" i="1"/>
  <c r="T644" i="1"/>
  <c r="T643" i="1"/>
  <c r="T641" i="1"/>
  <c r="T640" i="1"/>
  <c r="T639" i="1"/>
  <c r="T638" i="1"/>
  <c r="T637" i="1"/>
  <c r="T636" i="1"/>
  <c r="T635" i="1"/>
  <c r="T634" i="1"/>
  <c r="T633" i="1"/>
  <c r="T632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1" i="1"/>
  <c r="T610" i="1"/>
  <c r="T609" i="1"/>
  <c r="T608" i="1"/>
  <c r="T607" i="1"/>
  <c r="T606" i="1"/>
  <c r="T605" i="1"/>
  <c r="T604" i="1"/>
  <c r="T603" i="1"/>
  <c r="T602" i="1"/>
  <c r="T600" i="1"/>
  <c r="T599" i="1"/>
  <c r="T598" i="1"/>
  <c r="T597" i="1"/>
  <c r="T596" i="1"/>
  <c r="T595" i="1"/>
  <c r="T594" i="1"/>
  <c r="T593" i="1"/>
  <c r="T592" i="1"/>
  <c r="T591" i="1"/>
  <c r="T589" i="1"/>
  <c r="T588" i="1"/>
  <c r="T587" i="1"/>
  <c r="T586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1" i="1"/>
  <c r="T570" i="1"/>
  <c r="T568" i="1"/>
  <c r="T566" i="1"/>
  <c r="T565" i="1"/>
  <c r="T564" i="1"/>
  <c r="T563" i="1"/>
  <c r="T562" i="1"/>
  <c r="T560" i="1"/>
  <c r="T559" i="1"/>
  <c r="T558" i="1"/>
  <c r="T557" i="1"/>
  <c r="T556" i="1"/>
  <c r="T555" i="1"/>
  <c r="T554" i="1"/>
  <c r="T553" i="1"/>
  <c r="T552" i="1"/>
  <c r="T551" i="1"/>
  <c r="T549" i="1"/>
  <c r="T548" i="1"/>
  <c r="T547" i="1"/>
  <c r="T546" i="1"/>
  <c r="T545" i="1"/>
  <c r="T544" i="1"/>
  <c r="T543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19" i="1"/>
  <c r="T518" i="1"/>
  <c r="T517" i="1"/>
  <c r="T516" i="1"/>
  <c r="T515" i="1"/>
  <c r="T514" i="1"/>
  <c r="T513" i="1"/>
  <c r="T512" i="1"/>
  <c r="T511" i="1"/>
  <c r="T510" i="1"/>
  <c r="T509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7" i="1"/>
  <c r="T436" i="1"/>
  <c r="T434" i="1"/>
  <c r="T432" i="1"/>
  <c r="T431" i="1"/>
  <c r="T430" i="1"/>
  <c r="T429" i="1"/>
  <c r="T428" i="1"/>
  <c r="T427" i="1"/>
  <c r="T426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89" i="1"/>
  <c r="T287" i="1"/>
  <c r="T292" i="1"/>
  <c r="T290" i="1"/>
  <c r="T286" i="1"/>
  <c r="T284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7" i="1"/>
  <c r="T266" i="1"/>
  <c r="T265" i="1"/>
  <c r="T264" i="1"/>
  <c r="T262" i="1"/>
  <c r="T260" i="1"/>
  <c r="T259" i="1"/>
  <c r="T257" i="1"/>
  <c r="T258" i="1"/>
  <c r="T256" i="1"/>
  <c r="T254" i="1"/>
  <c r="T252" i="1"/>
  <c r="T251" i="1"/>
  <c r="T250" i="1"/>
  <c r="T249" i="1"/>
  <c r="T247" i="1"/>
  <c r="T246" i="1"/>
  <c r="T245" i="1"/>
  <c r="T243" i="1"/>
  <c r="T242" i="1"/>
  <c r="T240" i="1"/>
  <c r="T239" i="1"/>
  <c r="T238" i="1"/>
  <c r="T237" i="1"/>
  <c r="T236" i="1"/>
  <c r="T235" i="1"/>
  <c r="T234" i="1"/>
  <c r="T233" i="1"/>
  <c r="T231" i="1"/>
  <c r="T230" i="1"/>
  <c r="T229" i="1"/>
  <c r="T228" i="1"/>
  <c r="T227" i="1"/>
  <c r="T226" i="1"/>
  <c r="T225" i="1"/>
  <c r="T224" i="1"/>
  <c r="T223" i="1"/>
  <c r="T221" i="1"/>
  <c r="T220" i="1"/>
  <c r="T219" i="1"/>
  <c r="T218" i="1"/>
  <c r="T217" i="1"/>
  <c r="T216" i="1"/>
  <c r="T215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0" i="1"/>
  <c r="T199" i="1"/>
  <c r="T198" i="1"/>
  <c r="T197" i="1"/>
  <c r="T196" i="1"/>
  <c r="T195" i="1"/>
  <c r="T194" i="1"/>
  <c r="T193" i="1"/>
  <c r="T191" i="1"/>
  <c r="T189" i="1"/>
  <c r="T186" i="1"/>
  <c r="T188" i="1"/>
  <c r="T187" i="1"/>
  <c r="T185" i="1"/>
  <c r="T184" i="1"/>
  <c r="T183" i="1"/>
  <c r="T181" i="1"/>
  <c r="T180" i="1"/>
  <c r="T179" i="1"/>
  <c r="T178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49" i="1"/>
  <c r="T148" i="1"/>
  <c r="T147" i="1"/>
  <c r="T146" i="1"/>
  <c r="T145" i="1"/>
  <c r="T144" i="1"/>
  <c r="T143" i="1"/>
  <c r="T142" i="1"/>
  <c r="T141" i="1"/>
  <c r="T139" i="1"/>
  <c r="T138" i="1"/>
  <c r="T136" i="1"/>
  <c r="T135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0" i="1"/>
  <c r="T119" i="1"/>
  <c r="T118" i="1"/>
  <c r="T117" i="1"/>
  <c r="T116" i="1"/>
  <c r="T115" i="1"/>
  <c r="T113" i="1"/>
  <c r="T111" i="1"/>
  <c r="T110" i="1"/>
  <c r="T109" i="1"/>
  <c r="T108" i="1"/>
  <c r="T107" i="1"/>
  <c r="T105" i="1"/>
  <c r="T104" i="1"/>
  <c r="T103" i="1"/>
  <c r="T99" i="1"/>
  <c r="T98" i="1"/>
  <c r="T97" i="1"/>
  <c r="T96" i="1"/>
  <c r="T95" i="1"/>
  <c r="T94" i="1"/>
  <c r="T93" i="1"/>
  <c r="T92" i="1"/>
  <c r="T91" i="1"/>
  <c r="T90" i="1"/>
  <c r="T86" i="1"/>
  <c r="T88" i="1"/>
  <c r="T85" i="1"/>
  <c r="T84" i="1"/>
  <c r="T83" i="1"/>
  <c r="T81" i="1"/>
  <c r="T80" i="1"/>
  <c r="T79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0" i="1"/>
  <c r="T49" i="1"/>
  <c r="T48" i="1"/>
  <c r="T46" i="1"/>
  <c r="T45" i="1"/>
  <c r="T44" i="1"/>
  <c r="T42" i="1"/>
  <c r="T41" i="1"/>
  <c r="T40" i="1"/>
  <c r="T39" i="1"/>
  <c r="T38" i="1"/>
  <c r="T37" i="1"/>
  <c r="T36" i="1"/>
  <c r="T35" i="1"/>
  <c r="T23" i="1"/>
  <c r="T24" i="1"/>
  <c r="T26" i="1"/>
  <c r="T27" i="1"/>
  <c r="T28" i="1"/>
  <c r="T30" i="1"/>
  <c r="T31" i="1"/>
  <c r="T32" i="1"/>
  <c r="T33" i="1"/>
  <c r="T6" i="1"/>
  <c r="T7" i="1"/>
  <c r="T9" i="1"/>
  <c r="T12" i="1"/>
  <c r="T13" i="1"/>
  <c r="T15" i="1"/>
  <c r="T16" i="1"/>
  <c r="T17" i="1"/>
  <c r="T18" i="1"/>
  <c r="T19" i="1"/>
  <c r="T20" i="1"/>
  <c r="T4" i="1"/>
  <c r="T22" i="1"/>
  <c r="B1" i="2"/>
  <c r="I1115" i="8" l="1"/>
  <c r="I922" i="1"/>
  <c r="I255" i="1"/>
  <c r="I261" i="1"/>
  <c r="I263" i="1"/>
  <c r="I268" i="1"/>
  <c r="I43" i="1"/>
  <c r="I47" i="1"/>
  <c r="I51" i="1"/>
  <c r="K435" i="1"/>
  <c r="K438" i="1"/>
  <c r="K291" i="1"/>
  <c r="K288" i="1"/>
  <c r="K285" i="1"/>
  <c r="K137" i="1"/>
  <c r="K112" i="1"/>
  <c r="K100" i="1"/>
  <c r="K140" i="1"/>
  <c r="K114" i="1"/>
  <c r="K101" i="1"/>
  <c r="K150" i="1"/>
  <c r="K121" i="1"/>
  <c r="K102" i="1"/>
  <c r="K87" i="1"/>
  <c r="K89" i="1"/>
  <c r="K82" i="1"/>
  <c r="K134" i="1"/>
  <c r="K106" i="1"/>
  <c r="I190" i="1"/>
  <c r="I192" i="1"/>
  <c r="K261" i="1"/>
  <c r="K263" i="1"/>
  <c r="K268" i="1"/>
  <c r="K255" i="1"/>
  <c r="K43" i="1"/>
  <c r="K47" i="1"/>
  <c r="K51" i="1"/>
  <c r="K1115" i="8"/>
  <c r="K922" i="1"/>
  <c r="I248" i="1"/>
  <c r="I241" i="1"/>
  <c r="I244" i="1"/>
  <c r="I29" i="1"/>
  <c r="I25" i="1"/>
  <c r="K241" i="1"/>
  <c r="K244" i="1"/>
  <c r="K248" i="1"/>
  <c r="K192" i="1"/>
  <c r="K190" i="1"/>
  <c r="K25" i="1"/>
  <c r="K29" i="1"/>
  <c r="I438" i="1"/>
  <c r="I435" i="1"/>
  <c r="I291" i="1"/>
  <c r="I288" i="1"/>
  <c r="I285" i="1"/>
  <c r="I134" i="1"/>
  <c r="I106" i="1"/>
  <c r="I137" i="1"/>
  <c r="I112" i="1"/>
  <c r="I100" i="1"/>
  <c r="I140" i="1"/>
  <c r="I114" i="1"/>
  <c r="I101" i="1"/>
  <c r="I150" i="1"/>
  <c r="I121" i="1"/>
  <c r="I102" i="1"/>
  <c r="I87" i="1"/>
  <c r="I89" i="1"/>
  <c r="I82" i="1"/>
  <c r="I8" i="1"/>
  <c r="I10" i="1"/>
  <c r="I14" i="1"/>
  <c r="K10" i="1"/>
  <c r="K14" i="1"/>
  <c r="K8" i="1"/>
  <c r="P1115" i="8"/>
  <c r="R1115" i="8" s="1"/>
  <c r="P922" i="1"/>
  <c r="R922" i="1" s="1"/>
  <c r="O205" i="2"/>
  <c r="E1" i="8"/>
  <c r="E1" i="1"/>
  <c r="I1" i="8"/>
  <c r="I1" i="1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7" i="2"/>
  <c r="F166" i="2"/>
  <c r="F165" i="2"/>
  <c r="F164" i="2"/>
  <c r="F163" i="2"/>
  <c r="F162" i="2"/>
  <c r="F161" i="2"/>
  <c r="F160" i="2"/>
  <c r="F157" i="2"/>
  <c r="F156" i="2"/>
  <c r="F155" i="2"/>
  <c r="F154" i="2"/>
  <c r="F153" i="2"/>
  <c r="F150" i="2"/>
  <c r="F149" i="2"/>
  <c r="F148" i="2"/>
  <c r="F147" i="2"/>
  <c r="F146" i="2"/>
  <c r="F145" i="2"/>
  <c r="F142" i="2"/>
  <c r="F141" i="2"/>
  <c r="F140" i="2"/>
  <c r="F139" i="2"/>
  <c r="F138" i="2"/>
  <c r="F135" i="2"/>
  <c r="F134" i="2"/>
  <c r="F133" i="2"/>
  <c r="F132" i="2"/>
  <c r="F131" i="2"/>
  <c r="F130" i="2"/>
  <c r="F129" i="2"/>
  <c r="F128" i="2"/>
  <c r="F127" i="2"/>
  <c r="F124" i="2"/>
  <c r="F123" i="2"/>
  <c r="F122" i="2"/>
  <c r="F121" i="2"/>
  <c r="F120" i="2"/>
  <c r="F119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78" i="2"/>
  <c r="F77" i="2"/>
  <c r="F76" i="2"/>
  <c r="F75" i="2"/>
  <c r="F74" i="2"/>
  <c r="F73" i="2"/>
  <c r="F72" i="2"/>
  <c r="F71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5" i="2"/>
  <c r="F44" i="2"/>
  <c r="F43" i="2"/>
  <c r="F42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O150" i="1" l="1"/>
  <c r="H150" i="1"/>
  <c r="J150" i="1"/>
  <c r="L150" i="1" s="1"/>
  <c r="J291" i="1"/>
  <c r="L291" i="1" s="1"/>
  <c r="H291" i="1"/>
  <c r="O291" i="1"/>
  <c r="O82" i="1"/>
  <c r="H82" i="1"/>
  <c r="J82" i="1"/>
  <c r="L82" i="1" s="1"/>
  <c r="O121" i="1"/>
  <c r="J121" i="1"/>
  <c r="L121" i="1" s="1"/>
  <c r="H121" i="1"/>
  <c r="O140" i="1"/>
  <c r="H140" i="1"/>
  <c r="J140" i="1"/>
  <c r="L140" i="1" s="1"/>
  <c r="O288" i="1"/>
  <c r="H288" i="1"/>
  <c r="J288" i="1"/>
  <c r="L288" i="1" s="1"/>
  <c r="J29" i="1"/>
  <c r="L29" i="1" s="1"/>
  <c r="H29" i="1"/>
  <c r="O29" i="1"/>
  <c r="J47" i="1"/>
  <c r="L47" i="1" s="1"/>
  <c r="O47" i="1"/>
  <c r="H47" i="1"/>
  <c r="J261" i="1"/>
  <c r="L261" i="1" s="1"/>
  <c r="O261" i="1"/>
  <c r="H261" i="1"/>
  <c r="O89" i="1"/>
  <c r="H89" i="1"/>
  <c r="J89" i="1"/>
  <c r="L89" i="1" s="1"/>
  <c r="O100" i="1"/>
  <c r="J100" i="1"/>
  <c r="L100" i="1" s="1"/>
  <c r="H100" i="1"/>
  <c r="J244" i="1"/>
  <c r="O244" i="1"/>
  <c r="H244" i="1"/>
  <c r="J192" i="1"/>
  <c r="H192" i="1"/>
  <c r="O192" i="1"/>
  <c r="O43" i="1"/>
  <c r="J43" i="1"/>
  <c r="L43" i="1" s="1"/>
  <c r="H43" i="1"/>
  <c r="J255" i="1"/>
  <c r="L255" i="1" s="1"/>
  <c r="O255" i="1"/>
  <c r="H255" i="1"/>
  <c r="J10" i="1"/>
  <c r="L10" i="1" s="1"/>
  <c r="O10" i="1"/>
  <c r="H10" i="1"/>
  <c r="J87" i="1"/>
  <c r="L87" i="1" s="1"/>
  <c r="O87" i="1"/>
  <c r="H87" i="1"/>
  <c r="O101" i="1"/>
  <c r="J101" i="1"/>
  <c r="L101" i="1" s="1"/>
  <c r="H101" i="1"/>
  <c r="O112" i="1"/>
  <c r="J112" i="1"/>
  <c r="L112" i="1" s="1"/>
  <c r="H112" i="1"/>
  <c r="O134" i="1"/>
  <c r="H134" i="1"/>
  <c r="J134" i="1"/>
  <c r="L134" i="1" s="1"/>
  <c r="O435" i="1"/>
  <c r="J435" i="1"/>
  <c r="L435" i="1" s="1"/>
  <c r="H435" i="1"/>
  <c r="O241" i="1"/>
  <c r="H241" i="1"/>
  <c r="J241" i="1"/>
  <c r="L241" i="1" s="1"/>
  <c r="O190" i="1"/>
  <c r="H190" i="1"/>
  <c r="J190" i="1"/>
  <c r="L190" i="1" s="1"/>
  <c r="J268" i="1"/>
  <c r="L268" i="1" s="1"/>
  <c r="H268" i="1"/>
  <c r="O268" i="1"/>
  <c r="J922" i="1"/>
  <c r="L922" i="1" s="1"/>
  <c r="H922" i="1"/>
  <c r="O922" i="1"/>
  <c r="O14" i="1"/>
  <c r="H14" i="1"/>
  <c r="J14" i="1"/>
  <c r="L14" i="1" s="1"/>
  <c r="O106" i="1"/>
  <c r="H106" i="1"/>
  <c r="J106" i="1"/>
  <c r="L106" i="1" s="1"/>
  <c r="L244" i="1"/>
  <c r="J8" i="1"/>
  <c r="L8" i="1" s="1"/>
  <c r="O8" i="1"/>
  <c r="H8" i="1"/>
  <c r="J102" i="1"/>
  <c r="L102" i="1" s="1"/>
  <c r="H102" i="1"/>
  <c r="O102" i="1"/>
  <c r="O114" i="1"/>
  <c r="H114" i="1"/>
  <c r="J114" i="1"/>
  <c r="L114" i="1" s="1"/>
  <c r="J137" i="1"/>
  <c r="L137" i="1" s="1"/>
  <c r="O137" i="1"/>
  <c r="H137" i="1"/>
  <c r="O285" i="1"/>
  <c r="H285" i="1"/>
  <c r="J285" i="1"/>
  <c r="L285" i="1" s="1"/>
  <c r="O438" i="1"/>
  <c r="H438" i="1"/>
  <c r="J438" i="1"/>
  <c r="L438" i="1" s="1"/>
  <c r="L192" i="1"/>
  <c r="O25" i="1"/>
  <c r="H25" i="1"/>
  <c r="J25" i="1"/>
  <c r="L25" i="1" s="1"/>
  <c r="O248" i="1"/>
  <c r="J248" i="1"/>
  <c r="L248" i="1" s="1"/>
  <c r="H248" i="1"/>
  <c r="O51" i="1"/>
  <c r="H51" i="1"/>
  <c r="J51" i="1"/>
  <c r="L51" i="1" s="1"/>
  <c r="J263" i="1"/>
  <c r="L263" i="1" s="1"/>
  <c r="H263" i="1"/>
  <c r="O263" i="1"/>
  <c r="J1115" i="8"/>
  <c r="L1115" i="8" s="1"/>
  <c r="H1115" i="8"/>
  <c r="O1115" i="8"/>
  <c r="R1361" i="8"/>
  <c r="R1359" i="1"/>
  <c r="U1284" i="1" l="1"/>
  <c r="Q1284" i="1"/>
  <c r="P1284" i="1"/>
  <c r="K1284" i="1"/>
  <c r="I1284" i="1"/>
  <c r="O1284" i="1" s="1"/>
  <c r="G1284" i="1"/>
  <c r="U1283" i="1"/>
  <c r="Q1283" i="1"/>
  <c r="P1283" i="1"/>
  <c r="K1283" i="1"/>
  <c r="I1283" i="1"/>
  <c r="J1283" i="1" s="1"/>
  <c r="G1283" i="1"/>
  <c r="U1282" i="1"/>
  <c r="Q1282" i="1"/>
  <c r="P1282" i="1"/>
  <c r="K1282" i="1"/>
  <c r="I1282" i="1"/>
  <c r="O1282" i="1" s="1"/>
  <c r="G1282" i="1"/>
  <c r="U1336" i="8"/>
  <c r="Q1336" i="8"/>
  <c r="P1336" i="8"/>
  <c r="R1336" i="8" s="1"/>
  <c r="K1336" i="8"/>
  <c r="I1336" i="8"/>
  <c r="O1336" i="8" s="1"/>
  <c r="G1336" i="8"/>
  <c r="U1335" i="8"/>
  <c r="Q1335" i="8"/>
  <c r="P1335" i="8"/>
  <c r="K1335" i="8"/>
  <c r="I1335" i="8"/>
  <c r="O1335" i="8" s="1"/>
  <c r="G1335" i="8"/>
  <c r="U1263" i="1"/>
  <c r="Q1263" i="1"/>
  <c r="P1263" i="1"/>
  <c r="K1263" i="1"/>
  <c r="I1263" i="1"/>
  <c r="O1263" i="1" s="1"/>
  <c r="G1263" i="1"/>
  <c r="U1262" i="1"/>
  <c r="Q1262" i="1"/>
  <c r="P1262" i="1"/>
  <c r="K1262" i="1"/>
  <c r="I1262" i="1"/>
  <c r="O1262" i="1" s="1"/>
  <c r="G1262" i="1"/>
  <c r="U1118" i="1"/>
  <c r="Q1118" i="1"/>
  <c r="P1118" i="1"/>
  <c r="K1118" i="1"/>
  <c r="I1118" i="1"/>
  <c r="O1118" i="1" s="1"/>
  <c r="G1118" i="1"/>
  <c r="U1202" i="8"/>
  <c r="Q1202" i="8"/>
  <c r="P1202" i="8"/>
  <c r="K1202" i="8"/>
  <c r="I1202" i="8"/>
  <c r="O1202" i="8" s="1"/>
  <c r="G1202" i="8"/>
  <c r="U1184" i="8"/>
  <c r="Q1184" i="8"/>
  <c r="P1184" i="8"/>
  <c r="K1184" i="8"/>
  <c r="I1184" i="8"/>
  <c r="O1184" i="8" s="1"/>
  <c r="G1184" i="8"/>
  <c r="U987" i="1"/>
  <c r="Q987" i="1"/>
  <c r="P987" i="1"/>
  <c r="K987" i="1"/>
  <c r="I987" i="1"/>
  <c r="O987" i="1" s="1"/>
  <c r="G987" i="1"/>
  <c r="U988" i="1"/>
  <c r="Q988" i="1"/>
  <c r="P988" i="1"/>
  <c r="K988" i="1"/>
  <c r="I988" i="1"/>
  <c r="O988" i="1" s="1"/>
  <c r="G988" i="1"/>
  <c r="U1131" i="8"/>
  <c r="Q1131" i="8"/>
  <c r="P1131" i="8"/>
  <c r="K1131" i="8"/>
  <c r="I1131" i="8"/>
  <c r="O1131" i="8" s="1"/>
  <c r="G1131" i="8"/>
  <c r="U564" i="1"/>
  <c r="Q564" i="1"/>
  <c r="P564" i="1"/>
  <c r="K564" i="1"/>
  <c r="I564" i="1"/>
  <c r="O564" i="1" s="1"/>
  <c r="G564" i="1"/>
  <c r="U548" i="1"/>
  <c r="Q548" i="1"/>
  <c r="P548" i="1"/>
  <c r="K548" i="1"/>
  <c r="I548" i="1"/>
  <c r="O548" i="1" s="1"/>
  <c r="G548" i="1"/>
  <c r="U547" i="1"/>
  <c r="Q547" i="1"/>
  <c r="P547" i="1"/>
  <c r="K547" i="1"/>
  <c r="I547" i="1"/>
  <c r="O547" i="1" s="1"/>
  <c r="G547" i="1"/>
  <c r="U439" i="8"/>
  <c r="Q439" i="8"/>
  <c r="P439" i="8"/>
  <c r="K439" i="8"/>
  <c r="I439" i="8"/>
  <c r="O439" i="8" s="1"/>
  <c r="G439" i="8"/>
  <c r="U434" i="8"/>
  <c r="Q434" i="8"/>
  <c r="P434" i="8"/>
  <c r="K434" i="8"/>
  <c r="I434" i="8"/>
  <c r="O434" i="8" s="1"/>
  <c r="G434" i="8"/>
  <c r="U420" i="1"/>
  <c r="Q420" i="1"/>
  <c r="P420" i="1"/>
  <c r="K420" i="1"/>
  <c r="I420" i="1"/>
  <c r="J420" i="1" s="1"/>
  <c r="G420" i="1"/>
  <c r="U418" i="1"/>
  <c r="Q418" i="1"/>
  <c r="P418" i="1"/>
  <c r="K418" i="1"/>
  <c r="I418" i="1"/>
  <c r="O418" i="1" s="1"/>
  <c r="G418" i="1"/>
  <c r="U789" i="8"/>
  <c r="Q789" i="8"/>
  <c r="P789" i="8"/>
  <c r="K789" i="8"/>
  <c r="I789" i="8"/>
  <c r="O789" i="8" s="1"/>
  <c r="G789" i="8"/>
  <c r="U706" i="1"/>
  <c r="Q706" i="1"/>
  <c r="P706" i="1"/>
  <c r="K706" i="1"/>
  <c r="I706" i="1"/>
  <c r="O706" i="1" s="1"/>
  <c r="G706" i="1"/>
  <c r="R789" i="8" l="1"/>
  <c r="R439" i="8"/>
  <c r="R1131" i="8"/>
  <c r="R1202" i="8"/>
  <c r="R1335" i="8"/>
  <c r="R434" i="8"/>
  <c r="R1184" i="8"/>
  <c r="R1284" i="1"/>
  <c r="R420" i="1"/>
  <c r="R548" i="1"/>
  <c r="R987" i="1"/>
  <c r="R1262" i="1"/>
  <c r="R1282" i="1"/>
  <c r="R418" i="1"/>
  <c r="R547" i="1"/>
  <c r="R988" i="1"/>
  <c r="R1118" i="1"/>
  <c r="R1263" i="1"/>
  <c r="R1283" i="1"/>
  <c r="R706" i="1"/>
  <c r="R564" i="1"/>
  <c r="H1283" i="1"/>
  <c r="S1283" i="1"/>
  <c r="S1336" i="8"/>
  <c r="S1335" i="8"/>
  <c r="S1284" i="1"/>
  <c r="H1262" i="1"/>
  <c r="S1262" i="1"/>
  <c r="H1282" i="1"/>
  <c r="H1335" i="8"/>
  <c r="J1282" i="1"/>
  <c r="L1282" i="1" s="1"/>
  <c r="S1282" i="1"/>
  <c r="H1284" i="1"/>
  <c r="J1284" i="1"/>
  <c r="L1284" i="1" s="1"/>
  <c r="L1283" i="1"/>
  <c r="O1283" i="1"/>
  <c r="S1263" i="1"/>
  <c r="J1262" i="1"/>
  <c r="L1262" i="1" s="1"/>
  <c r="J1335" i="8"/>
  <c r="L1335" i="8" s="1"/>
  <c r="H1336" i="8"/>
  <c r="J1336" i="8"/>
  <c r="L1336" i="8" s="1"/>
  <c r="S1202" i="8"/>
  <c r="H1263" i="1"/>
  <c r="S1118" i="1"/>
  <c r="J1263" i="1"/>
  <c r="L1263" i="1" s="1"/>
  <c r="H434" i="8"/>
  <c r="H1184" i="8"/>
  <c r="S1184" i="8"/>
  <c r="H1202" i="8"/>
  <c r="J1202" i="8"/>
  <c r="L1202" i="8" s="1"/>
  <c r="S1131" i="8"/>
  <c r="S987" i="1"/>
  <c r="H1118" i="1"/>
  <c r="J1118" i="1"/>
  <c r="L1118" i="1" s="1"/>
  <c r="J987" i="1"/>
  <c r="L987" i="1" s="1"/>
  <c r="H988" i="1"/>
  <c r="S988" i="1"/>
  <c r="H987" i="1"/>
  <c r="J1184" i="8"/>
  <c r="L1184" i="8" s="1"/>
  <c r="J988" i="1"/>
  <c r="L988" i="1" s="1"/>
  <c r="S564" i="1"/>
  <c r="J1131" i="8"/>
  <c r="L1131" i="8" s="1"/>
  <c r="S434" i="8"/>
  <c r="H1131" i="8"/>
  <c r="H439" i="8"/>
  <c r="S439" i="8"/>
  <c r="H564" i="1"/>
  <c r="J564" i="1"/>
  <c r="L564" i="1" s="1"/>
  <c r="S548" i="1"/>
  <c r="H547" i="1"/>
  <c r="H548" i="1"/>
  <c r="J547" i="1"/>
  <c r="L547" i="1" s="1"/>
  <c r="J548" i="1"/>
  <c r="L548" i="1" s="1"/>
  <c r="S547" i="1"/>
  <c r="J418" i="1"/>
  <c r="L418" i="1" s="1"/>
  <c r="H418" i="1"/>
  <c r="H420" i="1"/>
  <c r="S420" i="1"/>
  <c r="J439" i="8"/>
  <c r="L439" i="8" s="1"/>
  <c r="J434" i="8"/>
  <c r="L434" i="8" s="1"/>
  <c r="H789" i="8"/>
  <c r="S789" i="8"/>
  <c r="L420" i="1"/>
  <c r="O420" i="1"/>
  <c r="S418" i="1"/>
  <c r="H706" i="1"/>
  <c r="S706" i="1"/>
  <c r="J789" i="8"/>
  <c r="L789" i="8" s="1"/>
  <c r="J706" i="1"/>
  <c r="L706" i="1" s="1"/>
  <c r="K804" i="8"/>
  <c r="K805" i="8"/>
  <c r="K803" i="8"/>
  <c r="I804" i="8"/>
  <c r="J804" i="8" s="1"/>
  <c r="I805" i="8"/>
  <c r="J805" i="8" s="1"/>
  <c r="I803" i="8"/>
  <c r="J803" i="8" s="1"/>
  <c r="G804" i="8"/>
  <c r="G805" i="8"/>
  <c r="G803" i="8"/>
  <c r="U805" i="8"/>
  <c r="Q805" i="8"/>
  <c r="P805" i="8"/>
  <c r="R805" i="8" s="1"/>
  <c r="U804" i="8"/>
  <c r="Q804" i="8"/>
  <c r="P804" i="8"/>
  <c r="R804" i="8" s="1"/>
  <c r="U803" i="8"/>
  <c r="Q803" i="8"/>
  <c r="P803" i="8"/>
  <c r="R803" i="8" s="1"/>
  <c r="K721" i="1"/>
  <c r="K722" i="1"/>
  <c r="K720" i="1"/>
  <c r="I721" i="1"/>
  <c r="O721" i="1" s="1"/>
  <c r="I722" i="1"/>
  <c r="O722" i="1" s="1"/>
  <c r="I720" i="1"/>
  <c r="O720" i="1" s="1"/>
  <c r="G721" i="1"/>
  <c r="G722" i="1"/>
  <c r="G720" i="1"/>
  <c r="U722" i="1"/>
  <c r="Q722" i="1"/>
  <c r="P722" i="1"/>
  <c r="U721" i="1"/>
  <c r="Q721" i="1"/>
  <c r="P721" i="1"/>
  <c r="U720" i="1"/>
  <c r="Q720" i="1"/>
  <c r="P720" i="1"/>
  <c r="N54" i="2"/>
  <c r="I54" i="2"/>
  <c r="D54" i="2"/>
  <c r="C54" i="2"/>
  <c r="U817" i="8"/>
  <c r="Q817" i="8"/>
  <c r="P817" i="8"/>
  <c r="K817" i="8"/>
  <c r="I817" i="8"/>
  <c r="J817" i="8" s="1"/>
  <c r="G817" i="8"/>
  <c r="U816" i="8"/>
  <c r="Q816" i="8"/>
  <c r="P816" i="8"/>
  <c r="K816" i="8"/>
  <c r="I816" i="8"/>
  <c r="O816" i="8" s="1"/>
  <c r="G816" i="8"/>
  <c r="U815" i="8"/>
  <c r="Q815" i="8"/>
  <c r="P815" i="8"/>
  <c r="R815" i="8" s="1"/>
  <c r="K815" i="8"/>
  <c r="I815" i="8"/>
  <c r="O815" i="8" s="1"/>
  <c r="G815" i="8"/>
  <c r="U813" i="8"/>
  <c r="Q813" i="8"/>
  <c r="P813" i="8"/>
  <c r="K813" i="8"/>
  <c r="I813" i="8"/>
  <c r="O813" i="8" s="1"/>
  <c r="G813" i="8"/>
  <c r="U812" i="8"/>
  <c r="Q812" i="8"/>
  <c r="P812" i="8"/>
  <c r="K812" i="8"/>
  <c r="I812" i="8"/>
  <c r="J812" i="8" s="1"/>
  <c r="G812" i="8"/>
  <c r="U811" i="8"/>
  <c r="Q811" i="8"/>
  <c r="P811" i="8"/>
  <c r="K811" i="8"/>
  <c r="I811" i="8"/>
  <c r="J811" i="8" s="1"/>
  <c r="G811" i="8"/>
  <c r="U809" i="8"/>
  <c r="Q809" i="8"/>
  <c r="P809" i="8"/>
  <c r="R809" i="8" s="1"/>
  <c r="K809" i="8"/>
  <c r="I809" i="8"/>
  <c r="O809" i="8" s="1"/>
  <c r="G809" i="8"/>
  <c r="U808" i="8"/>
  <c r="Q808" i="8"/>
  <c r="P808" i="8"/>
  <c r="K808" i="8"/>
  <c r="I808" i="8"/>
  <c r="J808" i="8" s="1"/>
  <c r="G808" i="8"/>
  <c r="U807" i="8"/>
  <c r="Q807" i="8"/>
  <c r="P807" i="8"/>
  <c r="K807" i="8"/>
  <c r="I807" i="8"/>
  <c r="O807" i="8" s="1"/>
  <c r="G807" i="8"/>
  <c r="K758" i="1"/>
  <c r="K759" i="1"/>
  <c r="K757" i="1"/>
  <c r="I758" i="1"/>
  <c r="I759" i="1"/>
  <c r="I757" i="1"/>
  <c r="G758" i="1"/>
  <c r="G759" i="1"/>
  <c r="G757" i="1"/>
  <c r="K754" i="1"/>
  <c r="K755" i="1"/>
  <c r="K753" i="1"/>
  <c r="I754" i="1"/>
  <c r="I755" i="1"/>
  <c r="I753" i="1"/>
  <c r="G754" i="1"/>
  <c r="G755" i="1"/>
  <c r="G753" i="1"/>
  <c r="K750" i="1"/>
  <c r="K751" i="1"/>
  <c r="K749" i="1"/>
  <c r="I750" i="1"/>
  <c r="I751" i="1"/>
  <c r="I749" i="1"/>
  <c r="G750" i="1"/>
  <c r="G751" i="1"/>
  <c r="G749" i="1"/>
  <c r="N61" i="2"/>
  <c r="I61" i="2"/>
  <c r="D61" i="2"/>
  <c r="C61" i="2"/>
  <c r="N60" i="2"/>
  <c r="I60" i="2"/>
  <c r="D60" i="2"/>
  <c r="C60" i="2"/>
  <c r="N59" i="2"/>
  <c r="I59" i="2"/>
  <c r="D59" i="2"/>
  <c r="C59" i="2"/>
  <c r="U649" i="8"/>
  <c r="Q649" i="8"/>
  <c r="P649" i="8"/>
  <c r="R649" i="8" s="1"/>
  <c r="K649" i="8"/>
  <c r="I649" i="8"/>
  <c r="O649" i="8" s="1"/>
  <c r="G649" i="8"/>
  <c r="U615" i="1"/>
  <c r="Q615" i="1"/>
  <c r="P615" i="1"/>
  <c r="K615" i="1"/>
  <c r="I615" i="1"/>
  <c r="O615" i="1" s="1"/>
  <c r="G615" i="1"/>
  <c r="U598" i="8"/>
  <c r="Q598" i="8"/>
  <c r="P598" i="8"/>
  <c r="K598" i="8"/>
  <c r="I598" i="8"/>
  <c r="O598" i="8" s="1"/>
  <c r="G598" i="8"/>
  <c r="U606" i="8"/>
  <c r="Q606" i="8"/>
  <c r="P606" i="8"/>
  <c r="R606" i="8" s="1"/>
  <c r="K606" i="8"/>
  <c r="I606" i="8"/>
  <c r="O606" i="8" s="1"/>
  <c r="G606" i="8"/>
  <c r="U663" i="1"/>
  <c r="Q663" i="1"/>
  <c r="P663" i="1"/>
  <c r="K663" i="1"/>
  <c r="I663" i="1"/>
  <c r="O663" i="1" s="1"/>
  <c r="G663" i="1"/>
  <c r="U644" i="1"/>
  <c r="Q644" i="1"/>
  <c r="P644" i="1"/>
  <c r="K644" i="1"/>
  <c r="I644" i="1"/>
  <c r="O644" i="1" s="1"/>
  <c r="G644" i="1"/>
  <c r="R802" i="8" l="1"/>
  <c r="R808" i="8"/>
  <c r="R813" i="8"/>
  <c r="R598" i="8"/>
  <c r="R807" i="8"/>
  <c r="R812" i="8"/>
  <c r="R817" i="8"/>
  <c r="R811" i="8"/>
  <c r="R816" i="8"/>
  <c r="R720" i="1"/>
  <c r="R721" i="1"/>
  <c r="R722" i="1"/>
  <c r="R663" i="1"/>
  <c r="R644" i="1"/>
  <c r="R615" i="1"/>
  <c r="S816" i="8"/>
  <c r="H805" i="8"/>
  <c r="S804" i="8"/>
  <c r="H804" i="8"/>
  <c r="S817" i="8"/>
  <c r="S805" i="8"/>
  <c r="S803" i="8"/>
  <c r="T802" i="8"/>
  <c r="P802" i="8"/>
  <c r="L804" i="8"/>
  <c r="L805" i="8"/>
  <c r="H803" i="8"/>
  <c r="L803" i="8"/>
  <c r="O804" i="8"/>
  <c r="Q802" i="8"/>
  <c r="O803" i="8"/>
  <c r="O805" i="8"/>
  <c r="T719" i="1"/>
  <c r="S721" i="1"/>
  <c r="S722" i="1"/>
  <c r="O719" i="1"/>
  <c r="P719" i="1"/>
  <c r="S720" i="1"/>
  <c r="H720" i="1"/>
  <c r="H721" i="1"/>
  <c r="H722" i="1"/>
  <c r="J720" i="1"/>
  <c r="L720" i="1" s="1"/>
  <c r="J721" i="1"/>
  <c r="L721" i="1" s="1"/>
  <c r="J722" i="1"/>
  <c r="L722" i="1" s="1"/>
  <c r="Q719" i="1"/>
  <c r="H817" i="8"/>
  <c r="H816" i="8"/>
  <c r="H815" i="8"/>
  <c r="J815" i="8"/>
  <c r="J816" i="8"/>
  <c r="L816" i="8" s="1"/>
  <c r="L817" i="8"/>
  <c r="O817" i="8"/>
  <c r="T814" i="8"/>
  <c r="S815" i="8"/>
  <c r="H811" i="8"/>
  <c r="S811" i="8"/>
  <c r="L815" i="8"/>
  <c r="S813" i="8"/>
  <c r="H812" i="8"/>
  <c r="S812" i="8"/>
  <c r="H807" i="8"/>
  <c r="H808" i="8"/>
  <c r="S808" i="8"/>
  <c r="H813" i="8"/>
  <c r="J807" i="8"/>
  <c r="L807" i="8" s="1"/>
  <c r="J813" i="8"/>
  <c r="L813" i="8" s="1"/>
  <c r="L812" i="8"/>
  <c r="O812" i="8"/>
  <c r="L811" i="8"/>
  <c r="S809" i="8"/>
  <c r="O811" i="8"/>
  <c r="S807" i="8"/>
  <c r="H809" i="8"/>
  <c r="J809" i="8"/>
  <c r="L809" i="8" s="1"/>
  <c r="L808" i="8"/>
  <c r="O808" i="8"/>
  <c r="T806" i="8"/>
  <c r="Q810" i="8"/>
  <c r="T810" i="8"/>
  <c r="P806" i="8"/>
  <c r="H649" i="8"/>
  <c r="J649" i="8"/>
  <c r="L649" i="8" s="1"/>
  <c r="P810" i="8"/>
  <c r="Q806" i="8"/>
  <c r="P814" i="8"/>
  <c r="H606" i="8"/>
  <c r="S606" i="8"/>
  <c r="S598" i="8"/>
  <c r="J598" i="8"/>
  <c r="L598" i="8" s="1"/>
  <c r="H598" i="8"/>
  <c r="S649" i="8"/>
  <c r="Q814" i="8"/>
  <c r="H663" i="1"/>
  <c r="H615" i="1"/>
  <c r="H644" i="1"/>
  <c r="S644" i="1"/>
  <c r="J663" i="1"/>
  <c r="L663" i="1" s="1"/>
  <c r="J615" i="1"/>
  <c r="L615" i="1" s="1"/>
  <c r="S615" i="1"/>
  <c r="S663" i="1"/>
  <c r="J606" i="8"/>
  <c r="L606" i="8" s="1"/>
  <c r="J644" i="1"/>
  <c r="L644" i="1" s="1"/>
  <c r="U354" i="1"/>
  <c r="Q354" i="1"/>
  <c r="P354" i="1"/>
  <c r="K354" i="1"/>
  <c r="I354" i="1"/>
  <c r="O354" i="1" s="1"/>
  <c r="G354" i="1"/>
  <c r="U357" i="1"/>
  <c r="Q357" i="1"/>
  <c r="P357" i="1"/>
  <c r="K357" i="1"/>
  <c r="I357" i="1"/>
  <c r="O357" i="1" s="1"/>
  <c r="G357" i="1"/>
  <c r="U356" i="1"/>
  <c r="Q356" i="1"/>
  <c r="P356" i="1"/>
  <c r="K356" i="1"/>
  <c r="I356" i="1"/>
  <c r="O356" i="1" s="1"/>
  <c r="G356" i="1"/>
  <c r="U355" i="1"/>
  <c r="Q355" i="1"/>
  <c r="P355" i="1"/>
  <c r="K355" i="1"/>
  <c r="I355" i="1"/>
  <c r="O355" i="1" s="1"/>
  <c r="G355" i="1"/>
  <c r="U353" i="1"/>
  <c r="Q353" i="1"/>
  <c r="P353" i="1"/>
  <c r="K353" i="1"/>
  <c r="I353" i="1"/>
  <c r="O353" i="1" s="1"/>
  <c r="G353" i="1"/>
  <c r="U380" i="8"/>
  <c r="Q380" i="8"/>
  <c r="P380" i="8"/>
  <c r="R380" i="8" s="1"/>
  <c r="K380" i="8"/>
  <c r="I380" i="8"/>
  <c r="O380" i="8" s="1"/>
  <c r="G380" i="8"/>
  <c r="U418" i="8"/>
  <c r="Q418" i="8"/>
  <c r="P418" i="8"/>
  <c r="K418" i="8"/>
  <c r="I418" i="8"/>
  <c r="J418" i="8" s="1"/>
  <c r="G418" i="8"/>
  <c r="K408" i="8"/>
  <c r="K416" i="8"/>
  <c r="K410" i="8"/>
  <c r="K411" i="8"/>
  <c r="K409" i="8"/>
  <c r="K423" i="8"/>
  <c r="K424" i="8"/>
  <c r="K427" i="8"/>
  <c r="K426" i="8"/>
  <c r="K421" i="8"/>
  <c r="K425" i="8"/>
  <c r="K422" i="8"/>
  <c r="K415" i="8"/>
  <c r="K420" i="8"/>
  <c r="K419" i="8"/>
  <c r="K417" i="8"/>
  <c r="K428" i="8"/>
  <c r="K414" i="8"/>
  <c r="K413" i="8"/>
  <c r="K412" i="8"/>
  <c r="K407" i="8"/>
  <c r="I408" i="8"/>
  <c r="O408" i="8" s="1"/>
  <c r="I416" i="8"/>
  <c r="O416" i="8" s="1"/>
  <c r="I410" i="8"/>
  <c r="J410" i="8" s="1"/>
  <c r="I411" i="8"/>
  <c r="J411" i="8" s="1"/>
  <c r="I409" i="8"/>
  <c r="J409" i="8" s="1"/>
  <c r="I423" i="8"/>
  <c r="O423" i="8" s="1"/>
  <c r="I424" i="8"/>
  <c r="J424" i="8" s="1"/>
  <c r="I427" i="8"/>
  <c r="I426" i="8"/>
  <c r="J426" i="8" s="1"/>
  <c r="I421" i="8"/>
  <c r="O421" i="8" s="1"/>
  <c r="I425" i="8"/>
  <c r="J425" i="8" s="1"/>
  <c r="I422" i="8"/>
  <c r="J422" i="8" s="1"/>
  <c r="I415" i="8"/>
  <c r="J415" i="8" s="1"/>
  <c r="I420" i="8"/>
  <c r="O420" i="8" s="1"/>
  <c r="I419" i="8"/>
  <c r="J419" i="8" s="1"/>
  <c r="I417" i="8"/>
  <c r="J417" i="8" s="1"/>
  <c r="I428" i="8"/>
  <c r="J428" i="8" s="1"/>
  <c r="I414" i="8"/>
  <c r="O414" i="8" s="1"/>
  <c r="I413" i="8"/>
  <c r="J413" i="8" s="1"/>
  <c r="I412" i="8"/>
  <c r="O412" i="8" s="1"/>
  <c r="I407" i="8"/>
  <c r="O407" i="8" s="1"/>
  <c r="G408" i="8"/>
  <c r="G416" i="8"/>
  <c r="G410" i="8"/>
  <c r="G411" i="8"/>
  <c r="G409" i="8"/>
  <c r="G423" i="8"/>
  <c r="G424" i="8"/>
  <c r="G427" i="8"/>
  <c r="G426" i="8"/>
  <c r="G421" i="8"/>
  <c r="G425" i="8"/>
  <c r="G422" i="8"/>
  <c r="G415" i="8"/>
  <c r="G420" i="8"/>
  <c r="G419" i="8"/>
  <c r="G417" i="8"/>
  <c r="G428" i="8"/>
  <c r="G414" i="8"/>
  <c r="G413" i="8"/>
  <c r="G412" i="8"/>
  <c r="G407" i="8"/>
  <c r="U412" i="8"/>
  <c r="Q412" i="8"/>
  <c r="P412" i="8"/>
  <c r="R412" i="8" s="1"/>
  <c r="U413" i="8"/>
  <c r="Q413" i="8"/>
  <c r="P413" i="8"/>
  <c r="R413" i="8" s="1"/>
  <c r="U414" i="8"/>
  <c r="Q414" i="8"/>
  <c r="P414" i="8"/>
  <c r="R414" i="8" s="1"/>
  <c r="U428" i="8"/>
  <c r="Q428" i="8"/>
  <c r="P428" i="8"/>
  <c r="R428" i="8" s="1"/>
  <c r="U417" i="8"/>
  <c r="Q417" i="8"/>
  <c r="P417" i="8"/>
  <c r="R417" i="8" s="1"/>
  <c r="U419" i="8"/>
  <c r="Q419" i="8"/>
  <c r="P419" i="8"/>
  <c r="R419" i="8" s="1"/>
  <c r="U420" i="8"/>
  <c r="Q420" i="8"/>
  <c r="P420" i="8"/>
  <c r="R420" i="8" s="1"/>
  <c r="U415" i="8"/>
  <c r="Q415" i="8"/>
  <c r="P415" i="8"/>
  <c r="R415" i="8" s="1"/>
  <c r="U422" i="8"/>
  <c r="Q422" i="8"/>
  <c r="P422" i="8"/>
  <c r="R422" i="8" s="1"/>
  <c r="U425" i="8"/>
  <c r="Q425" i="8"/>
  <c r="P425" i="8"/>
  <c r="R425" i="8" s="1"/>
  <c r="U421" i="8"/>
  <c r="Q421" i="8"/>
  <c r="P421" i="8"/>
  <c r="R421" i="8" s="1"/>
  <c r="U426" i="8"/>
  <c r="Q426" i="8"/>
  <c r="P426" i="8"/>
  <c r="R426" i="8" s="1"/>
  <c r="U427" i="8"/>
  <c r="Q427" i="8"/>
  <c r="P427" i="8"/>
  <c r="R427" i="8" s="1"/>
  <c r="U424" i="8"/>
  <c r="Q424" i="8"/>
  <c r="P424" i="8"/>
  <c r="R424" i="8" s="1"/>
  <c r="U423" i="8"/>
  <c r="Q423" i="8"/>
  <c r="P423" i="8"/>
  <c r="U409" i="8"/>
  <c r="Q409" i="8"/>
  <c r="P409" i="8"/>
  <c r="U411" i="8"/>
  <c r="Q411" i="8"/>
  <c r="P411" i="8"/>
  <c r="U410" i="8"/>
  <c r="Q410" i="8"/>
  <c r="P410" i="8"/>
  <c r="U416" i="8"/>
  <c r="Q416" i="8"/>
  <c r="P416" i="8"/>
  <c r="U408" i="8"/>
  <c r="Q408" i="8"/>
  <c r="P408" i="8"/>
  <c r="U407" i="8"/>
  <c r="Q407" i="8"/>
  <c r="P407" i="8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389" i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O397" i="1" s="1"/>
  <c r="I398" i="1"/>
  <c r="O398" i="1" s="1"/>
  <c r="I399" i="1"/>
  <c r="J399" i="1" s="1"/>
  <c r="I400" i="1"/>
  <c r="I401" i="1"/>
  <c r="J401" i="1" s="1"/>
  <c r="I402" i="1"/>
  <c r="J402" i="1" s="1"/>
  <c r="I403" i="1"/>
  <c r="J403" i="1" s="1"/>
  <c r="I404" i="1"/>
  <c r="O404" i="1" s="1"/>
  <c r="I405" i="1"/>
  <c r="J405" i="1" s="1"/>
  <c r="I406" i="1"/>
  <c r="O406" i="1" s="1"/>
  <c r="I407" i="1"/>
  <c r="J407" i="1" s="1"/>
  <c r="I408" i="1"/>
  <c r="J408" i="1" s="1"/>
  <c r="I409" i="1"/>
  <c r="J409" i="1" s="1"/>
  <c r="I410" i="1"/>
  <c r="J410" i="1" s="1"/>
  <c r="I389" i="1"/>
  <c r="O389" i="1" s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389" i="1"/>
  <c r="U410" i="1"/>
  <c r="Q410" i="1"/>
  <c r="P410" i="1"/>
  <c r="U409" i="1"/>
  <c r="Q409" i="1"/>
  <c r="P409" i="1"/>
  <c r="U408" i="1"/>
  <c r="Q408" i="1"/>
  <c r="P408" i="1"/>
  <c r="U407" i="1"/>
  <c r="Q407" i="1"/>
  <c r="P407" i="1"/>
  <c r="U406" i="1"/>
  <c r="Q406" i="1"/>
  <c r="P406" i="1"/>
  <c r="U405" i="1"/>
  <c r="Q405" i="1"/>
  <c r="P405" i="1"/>
  <c r="U404" i="1"/>
  <c r="Q404" i="1"/>
  <c r="P404" i="1"/>
  <c r="U403" i="1"/>
  <c r="Q403" i="1"/>
  <c r="P403" i="1"/>
  <c r="U402" i="1"/>
  <c r="Q402" i="1"/>
  <c r="P402" i="1"/>
  <c r="U401" i="1"/>
  <c r="Q401" i="1"/>
  <c r="P401" i="1"/>
  <c r="U400" i="1"/>
  <c r="Q400" i="1"/>
  <c r="P400" i="1"/>
  <c r="U399" i="1"/>
  <c r="Q399" i="1"/>
  <c r="P399" i="1"/>
  <c r="U398" i="1"/>
  <c r="Q398" i="1"/>
  <c r="P398" i="1"/>
  <c r="U397" i="1"/>
  <c r="Q397" i="1"/>
  <c r="P397" i="1"/>
  <c r="U396" i="1"/>
  <c r="Q396" i="1"/>
  <c r="P396" i="1"/>
  <c r="U395" i="1"/>
  <c r="Q395" i="1"/>
  <c r="P395" i="1"/>
  <c r="U394" i="1"/>
  <c r="Q394" i="1"/>
  <c r="P394" i="1"/>
  <c r="U393" i="1"/>
  <c r="Q393" i="1"/>
  <c r="P393" i="1"/>
  <c r="U392" i="1"/>
  <c r="Q392" i="1"/>
  <c r="P392" i="1"/>
  <c r="U391" i="1"/>
  <c r="Q391" i="1"/>
  <c r="P391" i="1"/>
  <c r="U390" i="1"/>
  <c r="Q390" i="1"/>
  <c r="P390" i="1"/>
  <c r="U389" i="1"/>
  <c r="Q389" i="1"/>
  <c r="P389" i="1"/>
  <c r="N24" i="2"/>
  <c r="I24" i="2"/>
  <c r="D24" i="2"/>
  <c r="C24" i="2"/>
  <c r="U565" i="8"/>
  <c r="Q565" i="8"/>
  <c r="P565" i="8"/>
  <c r="K565" i="8"/>
  <c r="I565" i="8"/>
  <c r="O565" i="8" s="1"/>
  <c r="G565" i="8"/>
  <c r="U196" i="8"/>
  <c r="Q196" i="8"/>
  <c r="P196" i="8"/>
  <c r="K196" i="8"/>
  <c r="I196" i="8"/>
  <c r="J196" i="8" s="1"/>
  <c r="G196" i="8"/>
  <c r="U209" i="8"/>
  <c r="Q209" i="8"/>
  <c r="P209" i="8"/>
  <c r="R209" i="8" s="1"/>
  <c r="K209" i="8"/>
  <c r="I209" i="8"/>
  <c r="O209" i="8" s="1"/>
  <c r="G209" i="8"/>
  <c r="U204" i="1"/>
  <c r="Q204" i="1"/>
  <c r="P204" i="1"/>
  <c r="K204" i="1"/>
  <c r="I204" i="1"/>
  <c r="O204" i="1" s="1"/>
  <c r="G204" i="1"/>
  <c r="U186" i="1"/>
  <c r="Q186" i="1"/>
  <c r="P186" i="1"/>
  <c r="K186" i="1"/>
  <c r="I186" i="1"/>
  <c r="O186" i="1" s="1"/>
  <c r="G186" i="1"/>
  <c r="U551" i="8"/>
  <c r="Q551" i="8"/>
  <c r="P551" i="8"/>
  <c r="K551" i="8"/>
  <c r="I551" i="8"/>
  <c r="O551" i="8" s="1"/>
  <c r="G551" i="8"/>
  <c r="U559" i="8"/>
  <c r="Q559" i="8"/>
  <c r="P559" i="8"/>
  <c r="R559" i="8" s="1"/>
  <c r="K559" i="8"/>
  <c r="I559" i="8"/>
  <c r="O559" i="8" s="1"/>
  <c r="G559" i="8"/>
  <c r="U549" i="8"/>
  <c r="Q549" i="8"/>
  <c r="P549" i="8"/>
  <c r="R549" i="8" s="1"/>
  <c r="K549" i="8"/>
  <c r="I549" i="8"/>
  <c r="J549" i="8" s="1"/>
  <c r="G549" i="8"/>
  <c r="U548" i="8"/>
  <c r="Q548" i="8"/>
  <c r="P548" i="8"/>
  <c r="K548" i="8"/>
  <c r="I548" i="8"/>
  <c r="O548" i="8" s="1"/>
  <c r="G548" i="8"/>
  <c r="U547" i="8"/>
  <c r="Q547" i="8"/>
  <c r="P547" i="8"/>
  <c r="K547" i="8"/>
  <c r="I547" i="8"/>
  <c r="O547" i="8" s="1"/>
  <c r="G547" i="8"/>
  <c r="G550" i="8"/>
  <c r="I550" i="8"/>
  <c r="J550" i="8" s="1"/>
  <c r="K550" i="8"/>
  <c r="P550" i="8"/>
  <c r="R550" i="8" s="1"/>
  <c r="Q550" i="8"/>
  <c r="U550" i="8"/>
  <c r="U546" i="8"/>
  <c r="Q546" i="8"/>
  <c r="P546" i="8"/>
  <c r="R546" i="8" s="1"/>
  <c r="K546" i="8"/>
  <c r="I546" i="8"/>
  <c r="O546" i="8" s="1"/>
  <c r="G546" i="8"/>
  <c r="U544" i="8"/>
  <c r="Q544" i="8"/>
  <c r="P544" i="8"/>
  <c r="K544" i="8"/>
  <c r="I544" i="8"/>
  <c r="O544" i="8" s="1"/>
  <c r="G544" i="8"/>
  <c r="U543" i="8"/>
  <c r="Q543" i="8"/>
  <c r="P543" i="8"/>
  <c r="K543" i="8"/>
  <c r="I543" i="8"/>
  <c r="O543" i="8" s="1"/>
  <c r="G543" i="8"/>
  <c r="U542" i="8"/>
  <c r="Q542" i="8"/>
  <c r="P542" i="8"/>
  <c r="R542" i="8" s="1"/>
  <c r="K542" i="8"/>
  <c r="I542" i="8"/>
  <c r="O542" i="8" s="1"/>
  <c r="G542" i="8"/>
  <c r="U541" i="8"/>
  <c r="Q541" i="8"/>
  <c r="P541" i="8"/>
  <c r="R541" i="8" s="1"/>
  <c r="K541" i="8"/>
  <c r="I541" i="8"/>
  <c r="O541" i="8" s="1"/>
  <c r="G541" i="8"/>
  <c r="U540" i="8"/>
  <c r="Q540" i="8"/>
  <c r="P540" i="8"/>
  <c r="K540" i="8"/>
  <c r="I540" i="8"/>
  <c r="J540" i="8" s="1"/>
  <c r="G540" i="8"/>
  <c r="K545" i="8"/>
  <c r="K553" i="8"/>
  <c r="K558" i="8"/>
  <c r="K557" i="8"/>
  <c r="K555" i="8"/>
  <c r="K554" i="8"/>
  <c r="K552" i="8"/>
  <c r="K556" i="8"/>
  <c r="K560" i="8"/>
  <c r="K539" i="8"/>
  <c r="I545" i="8"/>
  <c r="O545" i="8" s="1"/>
  <c r="I553" i="8"/>
  <c r="O553" i="8" s="1"/>
  <c r="I558" i="8"/>
  <c r="O558" i="8" s="1"/>
  <c r="I557" i="8"/>
  <c r="J557" i="8" s="1"/>
  <c r="I555" i="8"/>
  <c r="J555" i="8" s="1"/>
  <c r="I554" i="8"/>
  <c r="J554" i="8" s="1"/>
  <c r="I552" i="8"/>
  <c r="O552" i="8" s="1"/>
  <c r="I556" i="8"/>
  <c r="O556" i="8" s="1"/>
  <c r="I560" i="8"/>
  <c r="J560" i="8" s="1"/>
  <c r="I539" i="8"/>
  <c r="O539" i="8" s="1"/>
  <c r="G545" i="8"/>
  <c r="G553" i="8"/>
  <c r="G558" i="8"/>
  <c r="G557" i="8"/>
  <c r="G555" i="8"/>
  <c r="G554" i="8"/>
  <c r="G552" i="8"/>
  <c r="G556" i="8"/>
  <c r="G560" i="8"/>
  <c r="G539" i="8"/>
  <c r="U560" i="8"/>
  <c r="Q560" i="8"/>
  <c r="P560" i="8"/>
  <c r="R560" i="8" s="1"/>
  <c r="U556" i="8"/>
  <c r="Q556" i="8"/>
  <c r="P556" i="8"/>
  <c r="R556" i="8" s="1"/>
  <c r="U552" i="8"/>
  <c r="Q552" i="8"/>
  <c r="P552" i="8"/>
  <c r="R552" i="8" s="1"/>
  <c r="U554" i="8"/>
  <c r="Q554" i="8"/>
  <c r="P554" i="8"/>
  <c r="R554" i="8" s="1"/>
  <c r="U555" i="8"/>
  <c r="Q555" i="8"/>
  <c r="P555" i="8"/>
  <c r="R555" i="8" s="1"/>
  <c r="U557" i="8"/>
  <c r="Q557" i="8"/>
  <c r="P557" i="8"/>
  <c r="R557" i="8" s="1"/>
  <c r="U558" i="8"/>
  <c r="Q558" i="8"/>
  <c r="P558" i="8"/>
  <c r="R558" i="8" s="1"/>
  <c r="U553" i="8"/>
  <c r="Q553" i="8"/>
  <c r="P553" i="8"/>
  <c r="R553" i="8" s="1"/>
  <c r="U545" i="8"/>
  <c r="Q545" i="8"/>
  <c r="P545" i="8"/>
  <c r="R545" i="8" s="1"/>
  <c r="U539" i="8"/>
  <c r="Q539" i="8"/>
  <c r="P539" i="8"/>
  <c r="R539" i="8" s="1"/>
  <c r="U524" i="1"/>
  <c r="Q524" i="1"/>
  <c r="P524" i="1"/>
  <c r="K524" i="1"/>
  <c r="I524" i="1"/>
  <c r="O524" i="1" s="1"/>
  <c r="G524" i="1"/>
  <c r="U528" i="1"/>
  <c r="Q528" i="1"/>
  <c r="P528" i="1"/>
  <c r="K528" i="1"/>
  <c r="I528" i="1"/>
  <c r="O528" i="1" s="1"/>
  <c r="G528" i="1"/>
  <c r="U532" i="1"/>
  <c r="Q532" i="1"/>
  <c r="P532" i="1"/>
  <c r="K532" i="1"/>
  <c r="I532" i="1"/>
  <c r="O532" i="1" s="1"/>
  <c r="G532" i="1"/>
  <c r="U530" i="1"/>
  <c r="Q530" i="1"/>
  <c r="P530" i="1"/>
  <c r="K530" i="1"/>
  <c r="I530" i="1"/>
  <c r="O530" i="1" s="1"/>
  <c r="G530" i="1"/>
  <c r="U529" i="1"/>
  <c r="Q529" i="1"/>
  <c r="P529" i="1"/>
  <c r="K529" i="1"/>
  <c r="I529" i="1"/>
  <c r="O529" i="1" s="1"/>
  <c r="G529" i="1"/>
  <c r="U527" i="1"/>
  <c r="Q527" i="1"/>
  <c r="P527" i="1"/>
  <c r="K527" i="1"/>
  <c r="I527" i="1"/>
  <c r="O527" i="1" s="1"/>
  <c r="G527" i="1"/>
  <c r="U526" i="1"/>
  <c r="Q526" i="1"/>
  <c r="P526" i="1"/>
  <c r="K526" i="1"/>
  <c r="I526" i="1"/>
  <c r="O526" i="1" s="1"/>
  <c r="G526" i="1"/>
  <c r="U525" i="1"/>
  <c r="Q525" i="1"/>
  <c r="P525" i="1"/>
  <c r="K525" i="1"/>
  <c r="I525" i="1"/>
  <c r="O525" i="1" s="1"/>
  <c r="G525" i="1"/>
  <c r="U523" i="1"/>
  <c r="Q523" i="1"/>
  <c r="P523" i="1"/>
  <c r="K523" i="1"/>
  <c r="I523" i="1"/>
  <c r="O523" i="1" s="1"/>
  <c r="G523" i="1"/>
  <c r="U531" i="1"/>
  <c r="Q531" i="1"/>
  <c r="P531" i="1"/>
  <c r="K531" i="1"/>
  <c r="I531" i="1"/>
  <c r="O531" i="1" s="1"/>
  <c r="G531" i="1"/>
  <c r="U522" i="1"/>
  <c r="Q522" i="1"/>
  <c r="P522" i="1"/>
  <c r="K522" i="1"/>
  <c r="I522" i="1"/>
  <c r="O522" i="1" s="1"/>
  <c r="G522" i="1"/>
  <c r="O396" i="1" l="1"/>
  <c r="O424" i="8"/>
  <c r="O410" i="1"/>
  <c r="R806" i="8"/>
  <c r="R810" i="8"/>
  <c r="R814" i="8"/>
  <c r="R544" i="8"/>
  <c r="R548" i="8"/>
  <c r="R565" i="8"/>
  <c r="R418" i="8"/>
  <c r="R356" i="1"/>
  <c r="R540" i="8"/>
  <c r="R543" i="8"/>
  <c r="R547" i="8"/>
  <c r="R551" i="8"/>
  <c r="R196" i="8"/>
  <c r="R407" i="8"/>
  <c r="R408" i="8"/>
  <c r="R416" i="8"/>
  <c r="R410" i="8"/>
  <c r="R411" i="8"/>
  <c r="R409" i="8"/>
  <c r="R423" i="8"/>
  <c r="R522" i="1"/>
  <c r="R526" i="1"/>
  <c r="R532" i="1"/>
  <c r="R396" i="1"/>
  <c r="R397" i="1"/>
  <c r="R398" i="1"/>
  <c r="R399" i="1"/>
  <c r="R400" i="1"/>
  <c r="R401" i="1"/>
  <c r="R402" i="1"/>
  <c r="R403" i="1"/>
  <c r="R355" i="1"/>
  <c r="R719" i="1"/>
  <c r="R531" i="1"/>
  <c r="R527" i="1"/>
  <c r="R528" i="1"/>
  <c r="R186" i="1"/>
  <c r="R389" i="1"/>
  <c r="R390" i="1"/>
  <c r="R391" i="1"/>
  <c r="R392" i="1"/>
  <c r="R393" i="1"/>
  <c r="R394" i="1"/>
  <c r="R395" i="1"/>
  <c r="R410" i="1"/>
  <c r="R357" i="1"/>
  <c r="R525" i="1"/>
  <c r="R530" i="1"/>
  <c r="R523" i="1"/>
  <c r="R529" i="1"/>
  <c r="R524" i="1"/>
  <c r="R204" i="1"/>
  <c r="R404" i="1"/>
  <c r="R405" i="1"/>
  <c r="R406" i="1"/>
  <c r="R407" i="1"/>
  <c r="R408" i="1"/>
  <c r="R409" i="1"/>
  <c r="R353" i="1"/>
  <c r="R354" i="1"/>
  <c r="S802" i="8"/>
  <c r="O802" i="8"/>
  <c r="S719" i="1"/>
  <c r="S806" i="8"/>
  <c r="O806" i="8"/>
  <c r="O810" i="8"/>
  <c r="S810" i="8"/>
  <c r="J397" i="1"/>
  <c r="L397" i="1" s="1"/>
  <c r="S814" i="8"/>
  <c r="O814" i="8"/>
  <c r="J389" i="1"/>
  <c r="L389" i="1" s="1"/>
  <c r="O395" i="1"/>
  <c r="O391" i="1"/>
  <c r="H389" i="1"/>
  <c r="H391" i="1"/>
  <c r="H393" i="1"/>
  <c r="O393" i="1"/>
  <c r="O405" i="1"/>
  <c r="L395" i="1"/>
  <c r="H353" i="1"/>
  <c r="S353" i="1"/>
  <c r="H354" i="1"/>
  <c r="S354" i="1"/>
  <c r="H403" i="1"/>
  <c r="H395" i="1"/>
  <c r="O410" i="8"/>
  <c r="H380" i="8"/>
  <c r="S380" i="8"/>
  <c r="S357" i="1"/>
  <c r="O401" i="1"/>
  <c r="H405" i="1"/>
  <c r="H401" i="1"/>
  <c r="H397" i="1"/>
  <c r="H407" i="1"/>
  <c r="L403" i="1"/>
  <c r="H399" i="1"/>
  <c r="O399" i="1"/>
  <c r="S406" i="1"/>
  <c r="O407" i="1"/>
  <c r="S410" i="1"/>
  <c r="O403" i="1"/>
  <c r="L405" i="1"/>
  <c r="H355" i="1"/>
  <c r="H392" i="1"/>
  <c r="L394" i="1"/>
  <c r="H411" i="8"/>
  <c r="J380" i="8"/>
  <c r="L380" i="8" s="1"/>
  <c r="O390" i="1"/>
  <c r="Q388" i="1"/>
  <c r="O394" i="1"/>
  <c r="H409" i="1"/>
  <c r="S399" i="1"/>
  <c r="O409" i="1"/>
  <c r="J355" i="1"/>
  <c r="L355" i="1" s="1"/>
  <c r="S355" i="1"/>
  <c r="J357" i="1"/>
  <c r="L357" i="1" s="1"/>
  <c r="J354" i="1"/>
  <c r="L354" i="1" s="1"/>
  <c r="S356" i="1"/>
  <c r="T388" i="1"/>
  <c r="S391" i="1"/>
  <c r="S393" i="1"/>
  <c r="S401" i="1"/>
  <c r="J356" i="1"/>
  <c r="L356" i="1" s="1"/>
  <c r="J406" i="1"/>
  <c r="L406" i="1" s="1"/>
  <c r="H410" i="1"/>
  <c r="H406" i="1"/>
  <c r="H402" i="1"/>
  <c r="H398" i="1"/>
  <c r="H394" i="1"/>
  <c r="H390" i="1"/>
  <c r="H400" i="1"/>
  <c r="H357" i="1"/>
  <c r="P388" i="1"/>
  <c r="S396" i="1"/>
  <c r="S397" i="1"/>
  <c r="S408" i="1"/>
  <c r="J353" i="1"/>
  <c r="L353" i="1" s="1"/>
  <c r="H356" i="1"/>
  <c r="S390" i="1"/>
  <c r="S392" i="1"/>
  <c r="S398" i="1"/>
  <c r="S400" i="1"/>
  <c r="S402" i="1"/>
  <c r="S403" i="1"/>
  <c r="S404" i="1"/>
  <c r="S405" i="1"/>
  <c r="S407" i="1"/>
  <c r="S409" i="1"/>
  <c r="S389" i="1"/>
  <c r="S394" i="1"/>
  <c r="S395" i="1"/>
  <c r="J398" i="1"/>
  <c r="L398" i="1" s="1"/>
  <c r="J400" i="1"/>
  <c r="L400" i="1" s="1"/>
  <c r="O402" i="1"/>
  <c r="H408" i="1"/>
  <c r="J407" i="8"/>
  <c r="L407" i="8" s="1"/>
  <c r="H418" i="8"/>
  <c r="S418" i="8"/>
  <c r="H427" i="8"/>
  <c r="H407" i="8"/>
  <c r="O422" i="8"/>
  <c r="O411" i="8"/>
  <c r="O417" i="8"/>
  <c r="O427" i="8"/>
  <c r="J427" i="8"/>
  <c r="L427" i="8" s="1"/>
  <c r="H416" i="8"/>
  <c r="O419" i="8"/>
  <c r="O425" i="8"/>
  <c r="J416" i="8"/>
  <c r="L416" i="8" s="1"/>
  <c r="L418" i="8"/>
  <c r="J412" i="8"/>
  <c r="L412" i="8" s="1"/>
  <c r="O418" i="8"/>
  <c r="H426" i="8"/>
  <c r="H428" i="8"/>
  <c r="O413" i="8"/>
  <c r="H408" i="8"/>
  <c r="J408" i="8"/>
  <c r="L408" i="8" s="1"/>
  <c r="H409" i="8"/>
  <c r="O409" i="8"/>
  <c r="H412" i="8"/>
  <c r="H417" i="8"/>
  <c r="H422" i="8"/>
  <c r="J420" i="8"/>
  <c r="L420" i="8" s="1"/>
  <c r="S420" i="8"/>
  <c r="H421" i="8"/>
  <c r="J414" i="8"/>
  <c r="L414" i="8" s="1"/>
  <c r="H423" i="8"/>
  <c r="J421" i="8"/>
  <c r="L421" i="8" s="1"/>
  <c r="J423" i="8"/>
  <c r="L423" i="8" s="1"/>
  <c r="P406" i="8"/>
  <c r="S408" i="8"/>
  <c r="S410" i="8"/>
  <c r="H415" i="8"/>
  <c r="H420" i="8"/>
  <c r="H414" i="8"/>
  <c r="S409" i="8"/>
  <c r="S426" i="8"/>
  <c r="S425" i="8"/>
  <c r="S415" i="8"/>
  <c r="S428" i="8"/>
  <c r="S413" i="8"/>
  <c r="H209" i="8"/>
  <c r="O415" i="8"/>
  <c r="J209" i="8"/>
  <c r="L209" i="8" s="1"/>
  <c r="S423" i="8"/>
  <c r="O426" i="8"/>
  <c r="O428" i="8"/>
  <c r="S565" i="8"/>
  <c r="T406" i="8"/>
  <c r="S416" i="8"/>
  <c r="S411" i="8"/>
  <c r="S421" i="8"/>
  <c r="S422" i="8"/>
  <c r="S414" i="8"/>
  <c r="S412" i="8"/>
  <c r="S407" i="8"/>
  <c r="S427" i="8"/>
  <c r="S417" i="8"/>
  <c r="S424" i="8"/>
  <c r="S419" i="8"/>
  <c r="Q406" i="8"/>
  <c r="H410" i="8"/>
  <c r="H424" i="8"/>
  <c r="H425" i="8"/>
  <c r="H419" i="8"/>
  <c r="H413" i="8"/>
  <c r="L410" i="8"/>
  <c r="L411" i="8"/>
  <c r="L409" i="8"/>
  <c r="L424" i="8"/>
  <c r="L426" i="8"/>
  <c r="L425" i="8"/>
  <c r="L422" i="8"/>
  <c r="L415" i="8"/>
  <c r="L419" i="8"/>
  <c r="L417" i="8"/>
  <c r="L428" i="8"/>
  <c r="L413" i="8"/>
  <c r="L390" i="1"/>
  <c r="L391" i="1"/>
  <c r="L392" i="1"/>
  <c r="L393" i="1"/>
  <c r="H396" i="1"/>
  <c r="O400" i="1"/>
  <c r="J404" i="1"/>
  <c r="L404" i="1" s="1"/>
  <c r="L407" i="1"/>
  <c r="L408" i="1"/>
  <c r="L409" i="1"/>
  <c r="O392" i="1"/>
  <c r="L399" i="1"/>
  <c r="L401" i="1"/>
  <c r="H404" i="1"/>
  <c r="O408" i="1"/>
  <c r="L402" i="1"/>
  <c r="L396" i="1"/>
  <c r="L410" i="1"/>
  <c r="H204" i="1"/>
  <c r="J565" i="8"/>
  <c r="L565" i="8" s="1"/>
  <c r="H565" i="8"/>
  <c r="H196" i="8"/>
  <c r="S196" i="8"/>
  <c r="H186" i="1"/>
  <c r="J524" i="1"/>
  <c r="L524" i="1" s="1"/>
  <c r="J186" i="1"/>
  <c r="L186" i="1" s="1"/>
  <c r="J204" i="1"/>
  <c r="L204" i="1" s="1"/>
  <c r="S204" i="1"/>
  <c r="L196" i="8"/>
  <c r="S209" i="8"/>
  <c r="O196" i="8"/>
  <c r="S551" i="8"/>
  <c r="H525" i="1"/>
  <c r="S525" i="1"/>
  <c r="H530" i="1"/>
  <c r="S530" i="1"/>
  <c r="S186" i="1"/>
  <c r="H524" i="1"/>
  <c r="S524" i="1"/>
  <c r="S528" i="1"/>
  <c r="L549" i="8"/>
  <c r="J551" i="8"/>
  <c r="L551" i="8" s="1"/>
  <c r="S549" i="8"/>
  <c r="H559" i="8"/>
  <c r="S559" i="8"/>
  <c r="H551" i="8"/>
  <c r="J559" i="8"/>
  <c r="L559" i="8" s="1"/>
  <c r="H549" i="8"/>
  <c r="O550" i="8"/>
  <c r="S548" i="8"/>
  <c r="O549" i="8"/>
  <c r="H546" i="8"/>
  <c r="H547" i="8"/>
  <c r="H548" i="8"/>
  <c r="J546" i="8"/>
  <c r="L546" i="8" s="1"/>
  <c r="S550" i="8"/>
  <c r="J547" i="8"/>
  <c r="L547" i="8" s="1"/>
  <c r="J548" i="8"/>
  <c r="L548" i="8" s="1"/>
  <c r="H550" i="8"/>
  <c r="S547" i="8"/>
  <c r="L550" i="8"/>
  <c r="S546" i="8"/>
  <c r="J552" i="8"/>
  <c r="L552" i="8" s="1"/>
  <c r="H544" i="8"/>
  <c r="S544" i="8"/>
  <c r="J544" i="8"/>
  <c r="L544" i="8" s="1"/>
  <c r="H543" i="8"/>
  <c r="S543" i="8"/>
  <c r="H542" i="8"/>
  <c r="S542" i="8"/>
  <c r="S560" i="8"/>
  <c r="H541" i="8"/>
  <c r="S541" i="8"/>
  <c r="S554" i="8"/>
  <c r="H552" i="8"/>
  <c r="H557" i="8"/>
  <c r="H545" i="8"/>
  <c r="H553" i="8"/>
  <c r="J543" i="8"/>
  <c r="L543" i="8" s="1"/>
  <c r="J556" i="8"/>
  <c r="L556" i="8" s="1"/>
  <c r="J541" i="8"/>
  <c r="L541" i="8" s="1"/>
  <c r="J542" i="8"/>
  <c r="L542" i="8" s="1"/>
  <c r="S552" i="8"/>
  <c r="H556" i="8"/>
  <c r="L554" i="8"/>
  <c r="J553" i="8"/>
  <c r="L553" i="8" s="1"/>
  <c r="H555" i="8"/>
  <c r="H560" i="8"/>
  <c r="H540" i="8"/>
  <c r="S540" i="8"/>
  <c r="S557" i="8"/>
  <c r="O555" i="8"/>
  <c r="O560" i="8"/>
  <c r="L557" i="8"/>
  <c r="L540" i="8"/>
  <c r="H554" i="8"/>
  <c r="S556" i="8"/>
  <c r="S558" i="8"/>
  <c r="S555" i="8"/>
  <c r="L560" i="8"/>
  <c r="L555" i="8"/>
  <c r="O540" i="8"/>
  <c r="O554" i="8"/>
  <c r="H558" i="8"/>
  <c r="H539" i="8"/>
  <c r="S545" i="8"/>
  <c r="S553" i="8"/>
  <c r="J545" i="8"/>
  <c r="L545" i="8" s="1"/>
  <c r="J558" i="8"/>
  <c r="L558" i="8" s="1"/>
  <c r="P538" i="8"/>
  <c r="O557" i="8"/>
  <c r="J539" i="8"/>
  <c r="L539" i="8" s="1"/>
  <c r="T538" i="8"/>
  <c r="S539" i="8"/>
  <c r="Q538" i="8"/>
  <c r="H522" i="1"/>
  <c r="S522" i="1"/>
  <c r="H526" i="1"/>
  <c r="S526" i="1"/>
  <c r="H532" i="1"/>
  <c r="H528" i="1"/>
  <c r="H523" i="1"/>
  <c r="S523" i="1"/>
  <c r="H529" i="1"/>
  <c r="S529" i="1"/>
  <c r="J532" i="1"/>
  <c r="L532" i="1" s="1"/>
  <c r="J528" i="1"/>
  <c r="L528" i="1" s="1"/>
  <c r="H531" i="1"/>
  <c r="S531" i="1"/>
  <c r="H527" i="1"/>
  <c r="S527" i="1"/>
  <c r="S532" i="1"/>
  <c r="J522" i="1"/>
  <c r="L522" i="1" s="1"/>
  <c r="J531" i="1"/>
  <c r="L531" i="1" s="1"/>
  <c r="J523" i="1"/>
  <c r="L523" i="1" s="1"/>
  <c r="J525" i="1"/>
  <c r="L525" i="1" s="1"/>
  <c r="J526" i="1"/>
  <c r="L526" i="1" s="1"/>
  <c r="J527" i="1"/>
  <c r="L527" i="1" s="1"/>
  <c r="J529" i="1"/>
  <c r="L529" i="1" s="1"/>
  <c r="J530" i="1"/>
  <c r="L530" i="1" s="1"/>
  <c r="R538" i="8" l="1"/>
  <c r="R406" i="8"/>
  <c r="R388" i="1"/>
  <c r="O388" i="1"/>
  <c r="S388" i="1"/>
  <c r="O406" i="8"/>
  <c r="S406" i="8"/>
  <c r="O538" i="8"/>
  <c r="S538" i="8"/>
  <c r="K533" i="1" l="1"/>
  <c r="K534" i="1"/>
  <c r="K535" i="1"/>
  <c r="K536" i="1"/>
  <c r="K537" i="1"/>
  <c r="K538" i="1"/>
  <c r="K539" i="1"/>
  <c r="K540" i="1"/>
  <c r="K541" i="1"/>
  <c r="K521" i="1"/>
  <c r="I533" i="1"/>
  <c r="O533" i="1" s="1"/>
  <c r="I534" i="1"/>
  <c r="J534" i="1" s="1"/>
  <c r="I535" i="1"/>
  <c r="O535" i="1" s="1"/>
  <c r="I536" i="1"/>
  <c r="J536" i="1" s="1"/>
  <c r="I537" i="1"/>
  <c r="I538" i="1"/>
  <c r="J538" i="1" s="1"/>
  <c r="I539" i="1"/>
  <c r="J539" i="1" s="1"/>
  <c r="I540" i="1"/>
  <c r="J540" i="1" s="1"/>
  <c r="I541" i="1"/>
  <c r="I521" i="1"/>
  <c r="J521" i="1" s="1"/>
  <c r="G533" i="1"/>
  <c r="G534" i="1"/>
  <c r="G535" i="1"/>
  <c r="G536" i="1"/>
  <c r="G537" i="1"/>
  <c r="G538" i="1"/>
  <c r="G539" i="1"/>
  <c r="G540" i="1"/>
  <c r="G541" i="1"/>
  <c r="G521" i="1"/>
  <c r="U541" i="1"/>
  <c r="Q541" i="1"/>
  <c r="P541" i="1"/>
  <c r="U540" i="1"/>
  <c r="Q540" i="1"/>
  <c r="P540" i="1"/>
  <c r="U539" i="1"/>
  <c r="Q539" i="1"/>
  <c r="P539" i="1"/>
  <c r="U538" i="1"/>
  <c r="Q538" i="1"/>
  <c r="P538" i="1"/>
  <c r="U537" i="1"/>
  <c r="Q537" i="1"/>
  <c r="P537" i="1"/>
  <c r="U536" i="1"/>
  <c r="Q536" i="1"/>
  <c r="P536" i="1"/>
  <c r="U535" i="1"/>
  <c r="Q535" i="1"/>
  <c r="P535" i="1"/>
  <c r="U534" i="1"/>
  <c r="Q534" i="1"/>
  <c r="P534" i="1"/>
  <c r="U533" i="1"/>
  <c r="Q533" i="1"/>
  <c r="P533" i="1"/>
  <c r="U521" i="1"/>
  <c r="Q521" i="1"/>
  <c r="P521" i="1"/>
  <c r="N29" i="2"/>
  <c r="I29" i="2"/>
  <c r="D29" i="2"/>
  <c r="C29" i="2"/>
  <c r="U1174" i="8"/>
  <c r="Q1174" i="8"/>
  <c r="P1174" i="8"/>
  <c r="K1174" i="8"/>
  <c r="I1174" i="8"/>
  <c r="O1174" i="8" s="1"/>
  <c r="G1174" i="8"/>
  <c r="U1127" i="8"/>
  <c r="Q1127" i="8"/>
  <c r="P1127" i="8"/>
  <c r="K1127" i="8"/>
  <c r="I1127" i="8"/>
  <c r="O1127" i="8" s="1"/>
  <c r="G1127" i="8"/>
  <c r="U944" i="1"/>
  <c r="Q944" i="1"/>
  <c r="P944" i="1"/>
  <c r="K944" i="1"/>
  <c r="I944" i="1"/>
  <c r="O944" i="1" s="1"/>
  <c r="G944" i="1"/>
  <c r="U921" i="1"/>
  <c r="Q921" i="1"/>
  <c r="P921" i="1"/>
  <c r="K921" i="1"/>
  <c r="I921" i="1"/>
  <c r="O921" i="1" s="1"/>
  <c r="G921" i="1"/>
  <c r="U923" i="1"/>
  <c r="Q923" i="1"/>
  <c r="P923" i="1"/>
  <c r="K923" i="1"/>
  <c r="I923" i="1"/>
  <c r="O923" i="1" s="1"/>
  <c r="G923" i="1"/>
  <c r="U1322" i="8"/>
  <c r="Q1322" i="8"/>
  <c r="P1322" i="8"/>
  <c r="K1322" i="8"/>
  <c r="I1322" i="8"/>
  <c r="O1322" i="8" s="1"/>
  <c r="G1322" i="8"/>
  <c r="U1321" i="8"/>
  <c r="Q1321" i="8"/>
  <c r="P1321" i="8"/>
  <c r="R1321" i="8" s="1"/>
  <c r="K1321" i="8"/>
  <c r="I1321" i="8"/>
  <c r="O1321" i="8" s="1"/>
  <c r="G1321" i="8"/>
  <c r="U1323" i="8"/>
  <c r="Q1323" i="8"/>
  <c r="P1323" i="8"/>
  <c r="K1323" i="8"/>
  <c r="I1323" i="8"/>
  <c r="O1323" i="8" s="1"/>
  <c r="G1323" i="8"/>
  <c r="U1267" i="1"/>
  <c r="Q1267" i="1"/>
  <c r="P1267" i="1"/>
  <c r="K1267" i="1"/>
  <c r="I1267" i="1"/>
  <c r="O1267" i="1" s="1"/>
  <c r="G1267" i="1"/>
  <c r="U1268" i="1"/>
  <c r="Q1268" i="1"/>
  <c r="P1268" i="1"/>
  <c r="K1268" i="1"/>
  <c r="I1268" i="1"/>
  <c r="O1268" i="1" s="1"/>
  <c r="G1268" i="1"/>
  <c r="U1328" i="8"/>
  <c r="Q1328" i="8"/>
  <c r="P1328" i="8"/>
  <c r="R1328" i="8" s="1"/>
  <c r="K1328" i="8"/>
  <c r="I1328" i="8"/>
  <c r="O1328" i="8" s="1"/>
  <c r="G1328" i="8"/>
  <c r="U1333" i="8"/>
  <c r="Q1333" i="8"/>
  <c r="P1333" i="8"/>
  <c r="K1333" i="8"/>
  <c r="I1333" i="8"/>
  <c r="J1333" i="8" s="1"/>
  <c r="G1333" i="8"/>
  <c r="U1075" i="8"/>
  <c r="Q1075" i="8"/>
  <c r="P1075" i="8"/>
  <c r="K1075" i="8"/>
  <c r="I1075" i="8"/>
  <c r="O1075" i="8" s="1"/>
  <c r="G1075" i="8"/>
  <c r="U1074" i="8"/>
  <c r="Q1074" i="8"/>
  <c r="P1074" i="8"/>
  <c r="K1074" i="8"/>
  <c r="I1074" i="8"/>
  <c r="O1074" i="8" s="1"/>
  <c r="G1074" i="8"/>
  <c r="K1249" i="1"/>
  <c r="I1249" i="1"/>
  <c r="J1249" i="1" s="1"/>
  <c r="G1249" i="1"/>
  <c r="U1249" i="1"/>
  <c r="Q1249" i="1"/>
  <c r="P1249" i="1"/>
  <c r="U1248" i="1"/>
  <c r="Q1248" i="1"/>
  <c r="P1248" i="1"/>
  <c r="K1248" i="1"/>
  <c r="I1248" i="1"/>
  <c r="O1248" i="1" s="1"/>
  <c r="G1248" i="1"/>
  <c r="U824" i="8"/>
  <c r="Q824" i="8"/>
  <c r="P824" i="8"/>
  <c r="K824" i="8"/>
  <c r="I824" i="8"/>
  <c r="O824" i="8" s="1"/>
  <c r="G824" i="8"/>
  <c r="U823" i="8"/>
  <c r="Q823" i="8"/>
  <c r="P823" i="8"/>
  <c r="R823" i="8" s="1"/>
  <c r="K823" i="8"/>
  <c r="I823" i="8"/>
  <c r="O823" i="8" s="1"/>
  <c r="G823" i="8"/>
  <c r="U822" i="8"/>
  <c r="Q822" i="8"/>
  <c r="P822" i="8"/>
  <c r="R822" i="8" s="1"/>
  <c r="K822" i="8"/>
  <c r="I822" i="8"/>
  <c r="O822" i="8" s="1"/>
  <c r="G822" i="8"/>
  <c r="U1147" i="1"/>
  <c r="Q1147" i="1"/>
  <c r="P1147" i="1"/>
  <c r="K1147" i="1"/>
  <c r="I1147" i="1"/>
  <c r="J1147" i="1" s="1"/>
  <c r="G1147" i="1"/>
  <c r="U1146" i="1"/>
  <c r="Q1146" i="1"/>
  <c r="P1146" i="1"/>
  <c r="K1146" i="1"/>
  <c r="I1146" i="1"/>
  <c r="O1146" i="1" s="1"/>
  <c r="G1146" i="1"/>
  <c r="U1145" i="1"/>
  <c r="Q1145" i="1"/>
  <c r="P1145" i="1"/>
  <c r="K1145" i="1"/>
  <c r="I1145" i="1"/>
  <c r="J1145" i="1" s="1"/>
  <c r="G1145" i="1"/>
  <c r="R1074" i="8" l="1"/>
  <c r="R1322" i="8"/>
  <c r="R1127" i="8"/>
  <c r="R1333" i="8"/>
  <c r="R1323" i="8"/>
  <c r="R1146" i="1"/>
  <c r="R824" i="8"/>
  <c r="R1075" i="8"/>
  <c r="R1267" i="1"/>
  <c r="R923" i="1"/>
  <c r="R1174" i="8"/>
  <c r="R521" i="1"/>
  <c r="R533" i="1"/>
  <c r="R534" i="1"/>
  <c r="R535" i="1"/>
  <c r="R536" i="1"/>
  <c r="R537" i="1"/>
  <c r="R1145" i="1"/>
  <c r="R1268" i="1"/>
  <c r="R538" i="1"/>
  <c r="R539" i="1"/>
  <c r="R540" i="1"/>
  <c r="R541" i="1"/>
  <c r="R944" i="1"/>
  <c r="R1147" i="1"/>
  <c r="R1248" i="1"/>
  <c r="R1249" i="1"/>
  <c r="R921" i="1"/>
  <c r="H539" i="1"/>
  <c r="T520" i="1"/>
  <c r="H521" i="1"/>
  <c r="H535" i="1"/>
  <c r="S1267" i="1"/>
  <c r="S1174" i="8"/>
  <c r="H1322" i="8"/>
  <c r="S1322" i="8"/>
  <c r="S533" i="1"/>
  <c r="S534" i="1"/>
  <c r="S540" i="1"/>
  <c r="S541" i="1"/>
  <c r="S536" i="1"/>
  <c r="S537" i="1"/>
  <c r="S538" i="1"/>
  <c r="P520" i="1"/>
  <c r="H533" i="1"/>
  <c r="H536" i="1"/>
  <c r="H540" i="1"/>
  <c r="S921" i="1"/>
  <c r="S521" i="1"/>
  <c r="S535" i="1"/>
  <c r="S539" i="1"/>
  <c r="H541" i="1"/>
  <c r="H537" i="1"/>
  <c r="L534" i="1"/>
  <c r="J537" i="1"/>
  <c r="L537" i="1" s="1"/>
  <c r="L538" i="1"/>
  <c r="J541" i="1"/>
  <c r="L541" i="1" s="1"/>
  <c r="H534" i="1"/>
  <c r="H538" i="1"/>
  <c r="L536" i="1"/>
  <c r="L540" i="1"/>
  <c r="L521" i="1"/>
  <c r="L539" i="1"/>
  <c r="O521" i="1"/>
  <c r="O534" i="1"/>
  <c r="O537" i="1"/>
  <c r="O539" i="1"/>
  <c r="O540" i="1"/>
  <c r="O541" i="1"/>
  <c r="J533" i="1"/>
  <c r="L533" i="1" s="1"/>
  <c r="O536" i="1"/>
  <c r="O538" i="1"/>
  <c r="J535" i="1"/>
  <c r="L535" i="1" s="1"/>
  <c r="S944" i="1"/>
  <c r="Q520" i="1"/>
  <c r="J923" i="1"/>
  <c r="L923" i="1" s="1"/>
  <c r="J921" i="1"/>
  <c r="L921" i="1" s="1"/>
  <c r="J944" i="1"/>
  <c r="L944" i="1" s="1"/>
  <c r="J1127" i="8"/>
  <c r="L1127" i="8" s="1"/>
  <c r="J1174" i="8"/>
  <c r="L1174" i="8" s="1"/>
  <c r="H944" i="1"/>
  <c r="H1127" i="8"/>
  <c r="H1174" i="8"/>
  <c r="S1127" i="8"/>
  <c r="S923" i="1"/>
  <c r="H921" i="1"/>
  <c r="H1267" i="1"/>
  <c r="H923" i="1"/>
  <c r="S1268" i="1"/>
  <c r="J1267" i="1"/>
  <c r="L1267" i="1" s="1"/>
  <c r="J1322" i="8"/>
  <c r="L1322" i="8" s="1"/>
  <c r="S1321" i="8"/>
  <c r="H1328" i="8"/>
  <c r="H1323" i="8"/>
  <c r="H1321" i="8"/>
  <c r="J1323" i="8"/>
  <c r="L1323" i="8" s="1"/>
  <c r="J1321" i="8"/>
  <c r="L1321" i="8" s="1"/>
  <c r="S1323" i="8"/>
  <c r="H1146" i="1"/>
  <c r="S1146" i="1"/>
  <c r="H1268" i="1"/>
  <c r="J1268" i="1"/>
  <c r="L1268" i="1" s="1"/>
  <c r="L1145" i="1"/>
  <c r="S1249" i="1"/>
  <c r="J1248" i="1"/>
  <c r="L1248" i="1" s="1"/>
  <c r="H1248" i="1"/>
  <c r="H1249" i="1"/>
  <c r="J1328" i="8"/>
  <c r="L1328" i="8" s="1"/>
  <c r="S1328" i="8"/>
  <c r="H1074" i="8"/>
  <c r="H1075" i="8"/>
  <c r="H1333" i="8"/>
  <c r="S1333" i="8"/>
  <c r="J1074" i="8"/>
  <c r="L1074" i="8" s="1"/>
  <c r="J1075" i="8"/>
  <c r="L1075" i="8" s="1"/>
  <c r="L1333" i="8"/>
  <c r="H824" i="8"/>
  <c r="S1075" i="8"/>
  <c r="O1333" i="8"/>
  <c r="J824" i="8"/>
  <c r="L824" i="8" s="1"/>
  <c r="S1074" i="8"/>
  <c r="S824" i="8"/>
  <c r="L1249" i="1"/>
  <c r="O1249" i="1"/>
  <c r="S1248" i="1"/>
  <c r="H1147" i="1"/>
  <c r="S1147" i="1"/>
  <c r="H1145" i="1"/>
  <c r="S1145" i="1"/>
  <c r="H823" i="8"/>
  <c r="S823" i="8"/>
  <c r="H822" i="8"/>
  <c r="S822" i="8"/>
  <c r="J823" i="8"/>
  <c r="L823" i="8" s="1"/>
  <c r="J822" i="8"/>
  <c r="L822" i="8" s="1"/>
  <c r="L1147" i="1"/>
  <c r="O1145" i="1"/>
  <c r="O1147" i="1"/>
  <c r="J1146" i="1"/>
  <c r="L1146" i="1" s="1"/>
  <c r="R520" i="1" l="1"/>
  <c r="S520" i="1"/>
  <c r="O520" i="1"/>
  <c r="U180" i="8" l="1"/>
  <c r="Q180" i="8"/>
  <c r="P180" i="8"/>
  <c r="K180" i="8"/>
  <c r="I180" i="8"/>
  <c r="O180" i="8" s="1"/>
  <c r="G180" i="8"/>
  <c r="U179" i="1"/>
  <c r="Q179" i="1"/>
  <c r="P179" i="1"/>
  <c r="K179" i="1"/>
  <c r="I179" i="1"/>
  <c r="O179" i="1" s="1"/>
  <c r="G179" i="1"/>
  <c r="U9" i="8"/>
  <c r="Q9" i="8"/>
  <c r="P9" i="8"/>
  <c r="K9" i="8"/>
  <c r="I9" i="8"/>
  <c r="J9" i="8" s="1"/>
  <c r="G9" i="8"/>
  <c r="U15" i="1"/>
  <c r="Q15" i="1"/>
  <c r="P15" i="1"/>
  <c r="K15" i="1"/>
  <c r="I15" i="1"/>
  <c r="J15" i="1" s="1"/>
  <c r="G15" i="1"/>
  <c r="R180" i="8" l="1"/>
  <c r="R179" i="1"/>
  <c r="R9" i="8"/>
  <c r="R15" i="1"/>
  <c r="S179" i="1"/>
  <c r="H179" i="1"/>
  <c r="H180" i="8"/>
  <c r="S180" i="8"/>
  <c r="H9" i="8"/>
  <c r="J180" i="8"/>
  <c r="L180" i="8" s="1"/>
  <c r="J179" i="1"/>
  <c r="L179" i="1" s="1"/>
  <c r="S9" i="8"/>
  <c r="L9" i="8"/>
  <c r="H15" i="1"/>
  <c r="S15" i="1"/>
  <c r="O9" i="8"/>
  <c r="L15" i="1"/>
  <c r="O15" i="1"/>
  <c r="U700" i="8"/>
  <c r="Q700" i="8"/>
  <c r="P700" i="8"/>
  <c r="K700" i="8"/>
  <c r="I700" i="8"/>
  <c r="O700" i="8" s="1"/>
  <c r="G700" i="8"/>
  <c r="G804" i="1"/>
  <c r="I804" i="1"/>
  <c r="O804" i="1" s="1"/>
  <c r="K804" i="1"/>
  <c r="P804" i="1"/>
  <c r="Q804" i="1"/>
  <c r="U804" i="1"/>
  <c r="U808" i="1"/>
  <c r="Q808" i="1"/>
  <c r="P808" i="1"/>
  <c r="K808" i="1"/>
  <c r="I808" i="1"/>
  <c r="J808" i="1" s="1"/>
  <c r="G808" i="1"/>
  <c r="U807" i="1"/>
  <c r="Q807" i="1"/>
  <c r="P807" i="1"/>
  <c r="K807" i="1"/>
  <c r="I807" i="1"/>
  <c r="J807" i="1" s="1"/>
  <c r="G807" i="1"/>
  <c r="U806" i="1"/>
  <c r="Q806" i="1"/>
  <c r="P806" i="1"/>
  <c r="K806" i="1"/>
  <c r="I806" i="1"/>
  <c r="J806" i="1" s="1"/>
  <c r="G806" i="1"/>
  <c r="U805" i="1"/>
  <c r="Q805" i="1"/>
  <c r="P805" i="1"/>
  <c r="K805" i="1"/>
  <c r="I805" i="1"/>
  <c r="O805" i="1" s="1"/>
  <c r="G805" i="1"/>
  <c r="R806" i="1" l="1"/>
  <c r="R700" i="8"/>
  <c r="R805" i="1"/>
  <c r="R807" i="1"/>
  <c r="R808" i="1"/>
  <c r="R804" i="1"/>
  <c r="H700" i="8"/>
  <c r="S700" i="8"/>
  <c r="J700" i="8"/>
  <c r="L700" i="8" s="1"/>
  <c r="J804" i="1"/>
  <c r="L804" i="1" s="1"/>
  <c r="H804" i="1"/>
  <c r="S804" i="1"/>
  <c r="L807" i="1"/>
  <c r="H808" i="1"/>
  <c r="S808" i="1"/>
  <c r="H807" i="1"/>
  <c r="S807" i="1"/>
  <c r="H805" i="1"/>
  <c r="S805" i="1"/>
  <c r="H806" i="1"/>
  <c r="S806" i="1"/>
  <c r="L806" i="1"/>
  <c r="L808" i="1"/>
  <c r="O806" i="1"/>
  <c r="O807" i="1"/>
  <c r="O808" i="1"/>
  <c r="J805" i="1"/>
  <c r="L805" i="1" s="1"/>
  <c r="U1059" i="8"/>
  <c r="Q1059" i="8"/>
  <c r="P1059" i="8"/>
  <c r="K1059" i="8"/>
  <c r="I1059" i="8"/>
  <c r="O1059" i="8" s="1"/>
  <c r="G1059" i="8"/>
  <c r="U1054" i="8"/>
  <c r="Q1054" i="8"/>
  <c r="P1054" i="8"/>
  <c r="K1054" i="8"/>
  <c r="I1054" i="8"/>
  <c r="O1054" i="8" s="1"/>
  <c r="G1054" i="8"/>
  <c r="R1059" i="8" l="1"/>
  <c r="R1054" i="8"/>
  <c r="H1054" i="8"/>
  <c r="S1054" i="8"/>
  <c r="H1059" i="8"/>
  <c r="S1059" i="8"/>
  <c r="J1059" i="8"/>
  <c r="L1059" i="8" s="1"/>
  <c r="J1054" i="8"/>
  <c r="L1054" i="8" s="1"/>
  <c r="U924" i="8"/>
  <c r="Q924" i="8"/>
  <c r="P924" i="8"/>
  <c r="K924" i="8"/>
  <c r="I924" i="8"/>
  <c r="O924" i="8" s="1"/>
  <c r="G924" i="8"/>
  <c r="U1180" i="1"/>
  <c r="Q1180" i="1"/>
  <c r="P1180" i="1"/>
  <c r="K1180" i="1"/>
  <c r="I1180" i="1"/>
  <c r="O1180" i="1" s="1"/>
  <c r="G1180" i="1"/>
  <c r="R924" i="8" l="1"/>
  <c r="R1180" i="1"/>
  <c r="S1180" i="1"/>
  <c r="H1180" i="1"/>
  <c r="H924" i="8"/>
  <c r="J1180" i="1"/>
  <c r="L1180" i="1" s="1"/>
  <c r="J924" i="8"/>
  <c r="L924" i="8" s="1"/>
  <c r="S924" i="8"/>
  <c r="K1013" i="8" l="1"/>
  <c r="I1013" i="8"/>
  <c r="J1013" i="8" s="1"/>
  <c r="G1013" i="8"/>
  <c r="K1012" i="8"/>
  <c r="I1012" i="8"/>
  <c r="J1012" i="8" s="1"/>
  <c r="G1012" i="8"/>
  <c r="K1011" i="8"/>
  <c r="I1011" i="8"/>
  <c r="J1011" i="8" s="1"/>
  <c r="G1011" i="8"/>
  <c r="K1010" i="8"/>
  <c r="I1010" i="8"/>
  <c r="J1010" i="8" s="1"/>
  <c r="G1010" i="8"/>
  <c r="U1013" i="8"/>
  <c r="Q1013" i="8"/>
  <c r="P1013" i="8"/>
  <c r="U1012" i="8"/>
  <c r="Q1012" i="8"/>
  <c r="P1012" i="8"/>
  <c r="U1011" i="8"/>
  <c r="Q1011" i="8"/>
  <c r="P1011" i="8"/>
  <c r="U1010" i="8"/>
  <c r="Q1010" i="8"/>
  <c r="P1010" i="8"/>
  <c r="K1165" i="1"/>
  <c r="K1166" i="1"/>
  <c r="K1167" i="1"/>
  <c r="K1164" i="1"/>
  <c r="I1165" i="1"/>
  <c r="J1165" i="1" s="1"/>
  <c r="I1166" i="1"/>
  <c r="J1166" i="1" s="1"/>
  <c r="I1167" i="1"/>
  <c r="J1167" i="1" s="1"/>
  <c r="I1164" i="1"/>
  <c r="J1164" i="1" s="1"/>
  <c r="G1165" i="1"/>
  <c r="G1166" i="1"/>
  <c r="G1167" i="1"/>
  <c r="G1164" i="1"/>
  <c r="U1167" i="1"/>
  <c r="Q1167" i="1"/>
  <c r="P1167" i="1"/>
  <c r="U1166" i="1"/>
  <c r="Q1166" i="1"/>
  <c r="P1166" i="1"/>
  <c r="U1165" i="1"/>
  <c r="Q1165" i="1"/>
  <c r="P1165" i="1"/>
  <c r="U1164" i="1"/>
  <c r="Q1164" i="1"/>
  <c r="P1164" i="1"/>
  <c r="N127" i="2"/>
  <c r="I127" i="2"/>
  <c r="D127" i="2"/>
  <c r="C127" i="2"/>
  <c r="U711" i="8"/>
  <c r="Q711" i="8"/>
  <c r="P711" i="8"/>
  <c r="K711" i="8"/>
  <c r="I711" i="8"/>
  <c r="O711" i="8" s="1"/>
  <c r="G711" i="8"/>
  <c r="U812" i="1"/>
  <c r="Q812" i="1"/>
  <c r="P812" i="1"/>
  <c r="K812" i="1"/>
  <c r="I812" i="1"/>
  <c r="O812" i="1" s="1"/>
  <c r="G812" i="1"/>
  <c r="H1166" i="1" l="1"/>
  <c r="R711" i="8"/>
  <c r="R1164" i="1"/>
  <c r="R1165" i="1"/>
  <c r="R1166" i="1"/>
  <c r="R1167" i="1"/>
  <c r="R1010" i="8"/>
  <c r="R1011" i="8"/>
  <c r="R1012" i="8"/>
  <c r="R1013" i="8"/>
  <c r="R812" i="1"/>
  <c r="H1167" i="1"/>
  <c r="O1012" i="8"/>
  <c r="H1164" i="1"/>
  <c r="O1166" i="1"/>
  <c r="O1167" i="1"/>
  <c r="L1011" i="8"/>
  <c r="L1012" i="8"/>
  <c r="O1010" i="8"/>
  <c r="H1012" i="8"/>
  <c r="H1011" i="8"/>
  <c r="O1011" i="8"/>
  <c r="H1013" i="8"/>
  <c r="H812" i="1"/>
  <c r="O1164" i="1"/>
  <c r="L1010" i="8"/>
  <c r="H1010" i="8"/>
  <c r="S812" i="1"/>
  <c r="S1167" i="1"/>
  <c r="S1164" i="1"/>
  <c r="S1165" i="1"/>
  <c r="S1011" i="8"/>
  <c r="S1166" i="1"/>
  <c r="S1012" i="8"/>
  <c r="S1013" i="8"/>
  <c r="T1009" i="8"/>
  <c r="S1010" i="8"/>
  <c r="L1013" i="8"/>
  <c r="O1013" i="8"/>
  <c r="P1009" i="8"/>
  <c r="Q1009" i="8"/>
  <c r="H711" i="8"/>
  <c r="S711" i="8"/>
  <c r="L1165" i="1"/>
  <c r="O1165" i="1"/>
  <c r="L1167" i="1"/>
  <c r="H1165" i="1"/>
  <c r="L1166" i="1"/>
  <c r="L1164" i="1"/>
  <c r="T1163" i="1"/>
  <c r="P1163" i="1"/>
  <c r="Q1163" i="1"/>
  <c r="J812" i="1"/>
  <c r="L812" i="1" s="1"/>
  <c r="J711" i="8"/>
  <c r="L711" i="8" s="1"/>
  <c r="T34" i="8"/>
  <c r="T1261" i="8"/>
  <c r="T1361" i="8"/>
  <c r="R1009" i="8" l="1"/>
  <c r="R1163" i="1"/>
  <c r="O1009" i="8"/>
  <c r="O1163" i="1"/>
  <c r="S1163" i="1"/>
  <c r="S1009" i="8"/>
  <c r="T913" i="8"/>
  <c r="T787" i="8"/>
  <c r="T731" i="8"/>
  <c r="T991" i="8"/>
  <c r="T910" i="8"/>
  <c r="T835" i="8"/>
  <c r="T781" i="8"/>
  <c r="T753" i="8"/>
  <c r="T723" i="8"/>
  <c r="T592" i="8"/>
  <c r="T858" i="8"/>
  <c r="T662" i="8"/>
  <c r="T244" i="8"/>
  <c r="T740" i="8"/>
  <c r="T1291" i="8"/>
  <c r="T925" i="8"/>
  <c r="T1353" i="8"/>
  <c r="T1319" i="8"/>
  <c r="T1295" i="8"/>
  <c r="T1043" i="8"/>
  <c r="T929" i="8"/>
  <c r="T178" i="8"/>
  <c r="T643" i="8"/>
  <c r="T595" i="8"/>
  <c r="T581" i="8"/>
  <c r="T429" i="8"/>
  <c r="T247" i="8"/>
  <c r="T223" i="8"/>
  <c r="T1299" i="8"/>
  <c r="T1220" i="8"/>
  <c r="T945" i="8"/>
  <c r="T901" i="8"/>
  <c r="T1310" i="8"/>
  <c r="T1263" i="8"/>
  <c r="T1205" i="8"/>
  <c r="T1137" i="8"/>
  <c r="T1019" i="8"/>
  <c r="T974" i="8"/>
  <c r="T959" i="8"/>
  <c r="T938" i="8"/>
  <c r="T917" i="8"/>
  <c r="T895" i="8"/>
  <c r="T882" i="8"/>
  <c r="T842" i="8"/>
  <c r="T791" i="8"/>
  <c r="T776" i="8"/>
  <c r="T759" i="8"/>
  <c r="T735" i="8"/>
  <c r="T720" i="8"/>
  <c r="T697" i="8"/>
  <c r="T674" i="8"/>
  <c r="T525" i="8"/>
  <c r="T443" i="8"/>
  <c r="T368" i="8"/>
  <c r="T275" i="8"/>
  <c r="T260" i="8"/>
  <c r="T21" i="8"/>
  <c r="T1342" i="8"/>
  <c r="T1337" i="8"/>
  <c r="T1325" i="8"/>
  <c r="T1274" i="8"/>
  <c r="T1182" i="8"/>
  <c r="T1112" i="8"/>
  <c r="T1094" i="8"/>
  <c r="T1083" i="8"/>
  <c r="T1072" i="8"/>
  <c r="T1057" i="8"/>
  <c r="T1029" i="8"/>
  <c r="T1003" i="8"/>
  <c r="T969" i="8"/>
  <c r="T933" i="8"/>
  <c r="T889" i="8"/>
  <c r="T849" i="8"/>
  <c r="T796" i="8"/>
  <c r="T765" i="8"/>
  <c r="T713" i="8"/>
  <c r="T686" i="8"/>
  <c r="T665" i="8"/>
  <c r="T561" i="8"/>
  <c r="T451" i="8"/>
  <c r="T304" i="8"/>
  <c r="T265" i="8"/>
  <c r="T202" i="8"/>
  <c r="T36" i="8"/>
  <c r="T1246" i="8"/>
  <c r="T861" i="8"/>
  <c r="T1285" i="8"/>
  <c r="T1233" i="8"/>
  <c r="T1098" i="8"/>
  <c r="T1089" i="8"/>
  <c r="T1078" i="8"/>
  <c r="T1065" i="8"/>
  <c r="T1052" i="8"/>
  <c r="T1035" i="8"/>
  <c r="T1014" i="8"/>
  <c r="T994" i="8"/>
  <c r="T818" i="8"/>
  <c r="T746" i="8"/>
  <c r="T632" i="8"/>
  <c r="T569" i="8"/>
  <c r="T215" i="8"/>
  <c r="T183" i="8"/>
  <c r="T80" i="8"/>
  <c r="T3" i="8"/>
  <c r="K848" i="8"/>
  <c r="I848" i="8"/>
  <c r="J848" i="8" s="1"/>
  <c r="G848" i="8"/>
  <c r="K847" i="8"/>
  <c r="I847" i="8"/>
  <c r="J847" i="8" s="1"/>
  <c r="G847" i="8"/>
  <c r="K846" i="8"/>
  <c r="I846" i="8"/>
  <c r="J846" i="8" s="1"/>
  <c r="G846" i="8"/>
  <c r="K845" i="8"/>
  <c r="I845" i="8"/>
  <c r="J845" i="8" s="1"/>
  <c r="G845" i="8"/>
  <c r="K844" i="8"/>
  <c r="I844" i="8"/>
  <c r="J844" i="8" s="1"/>
  <c r="G844" i="8"/>
  <c r="K843" i="8"/>
  <c r="I843" i="8"/>
  <c r="J843" i="8" s="1"/>
  <c r="G843" i="8"/>
  <c r="U848" i="8"/>
  <c r="Q848" i="8"/>
  <c r="P848" i="8"/>
  <c r="R848" i="8" s="1"/>
  <c r="U847" i="8"/>
  <c r="Q847" i="8"/>
  <c r="P847" i="8"/>
  <c r="R847" i="8" s="1"/>
  <c r="U846" i="8"/>
  <c r="Q846" i="8"/>
  <c r="P846" i="8"/>
  <c r="R846" i="8" s="1"/>
  <c r="U845" i="8"/>
  <c r="Q845" i="8"/>
  <c r="P845" i="8"/>
  <c r="R845" i="8" s="1"/>
  <c r="U844" i="8"/>
  <c r="Q844" i="8"/>
  <c r="P844" i="8"/>
  <c r="R844" i="8" s="1"/>
  <c r="U843" i="8"/>
  <c r="Q843" i="8"/>
  <c r="P843" i="8"/>
  <c r="R843" i="8" s="1"/>
  <c r="U830" i="1"/>
  <c r="Q830" i="1"/>
  <c r="P830" i="1"/>
  <c r="K830" i="1"/>
  <c r="I830" i="1"/>
  <c r="O830" i="1" s="1"/>
  <c r="G830" i="1"/>
  <c r="U829" i="1"/>
  <c r="Q829" i="1"/>
  <c r="P829" i="1"/>
  <c r="K829" i="1"/>
  <c r="I829" i="1"/>
  <c r="O829" i="1" s="1"/>
  <c r="G829" i="1"/>
  <c r="U828" i="1"/>
  <c r="Q828" i="1"/>
  <c r="P828" i="1"/>
  <c r="K828" i="1"/>
  <c r="I828" i="1"/>
  <c r="O828" i="1" s="1"/>
  <c r="G828" i="1"/>
  <c r="U827" i="1"/>
  <c r="Q827" i="1"/>
  <c r="P827" i="1"/>
  <c r="K827" i="1"/>
  <c r="I827" i="1"/>
  <c r="O827" i="1" s="1"/>
  <c r="G827" i="1"/>
  <c r="U826" i="1"/>
  <c r="Q826" i="1"/>
  <c r="P826" i="1"/>
  <c r="K826" i="1"/>
  <c r="I826" i="1"/>
  <c r="O826" i="1" s="1"/>
  <c r="G826" i="1"/>
  <c r="U825" i="1"/>
  <c r="Q825" i="1"/>
  <c r="P825" i="1"/>
  <c r="K825" i="1"/>
  <c r="I825" i="1"/>
  <c r="O825" i="1" s="1"/>
  <c r="G825" i="1"/>
  <c r="N73" i="2"/>
  <c r="I73" i="2"/>
  <c r="D73" i="2"/>
  <c r="C73" i="2"/>
  <c r="U1179" i="1"/>
  <c r="Q1179" i="1"/>
  <c r="P1179" i="1"/>
  <c r="K1179" i="1"/>
  <c r="I1179" i="1"/>
  <c r="O1179" i="1" s="1"/>
  <c r="G1179" i="1"/>
  <c r="U312" i="8"/>
  <c r="Q312" i="8"/>
  <c r="P312" i="8"/>
  <c r="R312" i="8" s="1"/>
  <c r="K312" i="8"/>
  <c r="I312" i="8"/>
  <c r="O312" i="8" s="1"/>
  <c r="G312" i="8"/>
  <c r="U317" i="8"/>
  <c r="Q317" i="8"/>
  <c r="P317" i="8"/>
  <c r="R317" i="8" s="1"/>
  <c r="K317" i="8"/>
  <c r="I317" i="8"/>
  <c r="O317" i="8" s="1"/>
  <c r="G317" i="8"/>
  <c r="U316" i="8"/>
  <c r="Q316" i="8"/>
  <c r="P316" i="8"/>
  <c r="R316" i="8" s="1"/>
  <c r="K316" i="8"/>
  <c r="I316" i="8"/>
  <c r="O316" i="8" s="1"/>
  <c r="G316" i="8"/>
  <c r="U375" i="8"/>
  <c r="Q375" i="8"/>
  <c r="P375" i="8"/>
  <c r="R375" i="8" s="1"/>
  <c r="K375" i="8"/>
  <c r="I375" i="8"/>
  <c r="O375" i="8" s="1"/>
  <c r="G375" i="8"/>
  <c r="U371" i="8"/>
  <c r="Q371" i="8"/>
  <c r="P371" i="8"/>
  <c r="R371" i="8" s="1"/>
  <c r="K371" i="8"/>
  <c r="I371" i="8"/>
  <c r="O371" i="8" s="1"/>
  <c r="G371" i="8"/>
  <c r="U344" i="1"/>
  <c r="Q344" i="1"/>
  <c r="P344" i="1"/>
  <c r="K344" i="1"/>
  <c r="I344" i="1"/>
  <c r="O344" i="1" s="1"/>
  <c r="G344" i="1"/>
  <c r="U338" i="1"/>
  <c r="Q338" i="1"/>
  <c r="P338" i="1"/>
  <c r="K338" i="1"/>
  <c r="I338" i="1"/>
  <c r="O338" i="1" s="1"/>
  <c r="G338" i="1"/>
  <c r="U337" i="1"/>
  <c r="Q337" i="1"/>
  <c r="P337" i="1"/>
  <c r="K337" i="1"/>
  <c r="I337" i="1"/>
  <c r="O337" i="1" s="1"/>
  <c r="G337" i="1"/>
  <c r="U375" i="1"/>
  <c r="Q375" i="1"/>
  <c r="P375" i="1"/>
  <c r="K375" i="1"/>
  <c r="I375" i="1"/>
  <c r="O375" i="1" s="1"/>
  <c r="G375" i="1"/>
  <c r="U376" i="1"/>
  <c r="Q376" i="1"/>
  <c r="P376" i="1"/>
  <c r="K376" i="1"/>
  <c r="I376" i="1"/>
  <c r="O376" i="1" s="1"/>
  <c r="G376" i="1"/>
  <c r="U382" i="1"/>
  <c r="Q382" i="1"/>
  <c r="P382" i="1"/>
  <c r="K382" i="1"/>
  <c r="I382" i="1"/>
  <c r="O382" i="1" s="1"/>
  <c r="G382" i="1"/>
  <c r="U790" i="8"/>
  <c r="Q790" i="8"/>
  <c r="P790" i="8"/>
  <c r="R790" i="8" s="1"/>
  <c r="K790" i="8"/>
  <c r="I790" i="8"/>
  <c r="O790" i="8" s="1"/>
  <c r="G790" i="8"/>
  <c r="U788" i="8"/>
  <c r="Q788" i="8"/>
  <c r="P788" i="8"/>
  <c r="R788" i="8" s="1"/>
  <c r="K788" i="8"/>
  <c r="I788" i="8"/>
  <c r="O788" i="8" s="1"/>
  <c r="G788" i="8"/>
  <c r="K707" i="1"/>
  <c r="K705" i="1"/>
  <c r="I707" i="1"/>
  <c r="O707" i="1" s="1"/>
  <c r="I705" i="1"/>
  <c r="O705" i="1" s="1"/>
  <c r="G707" i="1"/>
  <c r="G705" i="1"/>
  <c r="I51" i="2"/>
  <c r="C51" i="2"/>
  <c r="N51" i="2"/>
  <c r="D51" i="2"/>
  <c r="U707" i="1"/>
  <c r="Q707" i="1"/>
  <c r="P707" i="1"/>
  <c r="U705" i="1"/>
  <c r="Q705" i="1"/>
  <c r="P705" i="1"/>
  <c r="U664" i="8"/>
  <c r="Q664" i="8"/>
  <c r="P664" i="8"/>
  <c r="R664" i="8" s="1"/>
  <c r="K664" i="8"/>
  <c r="I664" i="8"/>
  <c r="O664" i="8" s="1"/>
  <c r="G664" i="8"/>
  <c r="U663" i="8"/>
  <c r="Q663" i="8"/>
  <c r="P663" i="8"/>
  <c r="R663" i="8" s="1"/>
  <c r="K663" i="8"/>
  <c r="I663" i="8"/>
  <c r="O663" i="8" s="1"/>
  <c r="G663" i="8"/>
  <c r="K1341" i="1"/>
  <c r="K1340" i="1"/>
  <c r="I1341" i="1"/>
  <c r="J1341" i="1" s="1"/>
  <c r="I1340" i="1"/>
  <c r="J1340" i="1" s="1"/>
  <c r="G1341" i="1"/>
  <c r="G1340" i="1"/>
  <c r="U1341" i="1"/>
  <c r="Q1341" i="1"/>
  <c r="P1341" i="1"/>
  <c r="U1340" i="1"/>
  <c r="Q1340" i="1"/>
  <c r="P1340" i="1"/>
  <c r="I189" i="2"/>
  <c r="C189" i="2"/>
  <c r="I188" i="2"/>
  <c r="C188" i="2"/>
  <c r="N189" i="2"/>
  <c r="D189" i="2"/>
  <c r="N188" i="2"/>
  <c r="D188" i="2"/>
  <c r="U967" i="1"/>
  <c r="Q967" i="1"/>
  <c r="P967" i="1"/>
  <c r="K967" i="1"/>
  <c r="I967" i="1"/>
  <c r="J967" i="1" s="1"/>
  <c r="G967" i="1"/>
  <c r="U968" i="1"/>
  <c r="Q968" i="1"/>
  <c r="P968" i="1"/>
  <c r="K968" i="1"/>
  <c r="I968" i="1"/>
  <c r="O968" i="1" s="1"/>
  <c r="G968" i="1"/>
  <c r="U1162" i="8"/>
  <c r="Q1162" i="8"/>
  <c r="P1162" i="8"/>
  <c r="R1162" i="8" s="1"/>
  <c r="K1162" i="8"/>
  <c r="I1162" i="8"/>
  <c r="O1162" i="8" s="1"/>
  <c r="G1162" i="8"/>
  <c r="U1181" i="8"/>
  <c r="Q1181" i="8"/>
  <c r="P1181" i="8"/>
  <c r="R1181" i="8" s="1"/>
  <c r="K1181" i="8"/>
  <c r="I1181" i="8"/>
  <c r="O1181" i="8" s="1"/>
  <c r="G1181" i="8"/>
  <c r="U1169" i="8"/>
  <c r="Q1169" i="8"/>
  <c r="P1169" i="8"/>
  <c r="R1169" i="8" s="1"/>
  <c r="K1169" i="8"/>
  <c r="I1169" i="8"/>
  <c r="O1169" i="8" s="1"/>
  <c r="G1169" i="8"/>
  <c r="U1152" i="8"/>
  <c r="Q1152" i="8"/>
  <c r="P1152" i="8"/>
  <c r="R1152" i="8" s="1"/>
  <c r="K1152" i="8"/>
  <c r="I1152" i="8"/>
  <c r="O1152" i="8" s="1"/>
  <c r="G1152" i="8"/>
  <c r="U953" i="1"/>
  <c r="Q953" i="1"/>
  <c r="P953" i="1"/>
  <c r="K953" i="1"/>
  <c r="I953" i="1"/>
  <c r="O953" i="1" s="1"/>
  <c r="G953" i="1"/>
  <c r="U957" i="1"/>
  <c r="Q957" i="1"/>
  <c r="P957" i="1"/>
  <c r="K957" i="1"/>
  <c r="I957" i="1"/>
  <c r="O957" i="1" s="1"/>
  <c r="G957" i="1"/>
  <c r="U768" i="1"/>
  <c r="Q768" i="1"/>
  <c r="P768" i="1"/>
  <c r="K768" i="1"/>
  <c r="I768" i="1"/>
  <c r="O768" i="1" s="1"/>
  <c r="G768" i="1"/>
  <c r="U1092" i="8"/>
  <c r="Q1092" i="8"/>
  <c r="P1092" i="8"/>
  <c r="R1092" i="8" s="1"/>
  <c r="K1092" i="8"/>
  <c r="I1092" i="8"/>
  <c r="O1092" i="8" s="1"/>
  <c r="G1092" i="8"/>
  <c r="U762" i="1"/>
  <c r="Q762" i="1"/>
  <c r="P762" i="1"/>
  <c r="K762" i="1"/>
  <c r="I762" i="1"/>
  <c r="O762" i="1" s="1"/>
  <c r="G762" i="1"/>
  <c r="U1080" i="8"/>
  <c r="Q1080" i="8"/>
  <c r="P1080" i="8"/>
  <c r="R1080" i="8" s="1"/>
  <c r="K1080" i="8"/>
  <c r="I1080" i="8"/>
  <c r="O1080" i="8" s="1"/>
  <c r="G1080" i="8"/>
  <c r="U1082" i="8"/>
  <c r="Q1082" i="8"/>
  <c r="P1082" i="8"/>
  <c r="R1082" i="8" s="1"/>
  <c r="K1082" i="8"/>
  <c r="I1082" i="8"/>
  <c r="O1082" i="8" s="1"/>
  <c r="G1082" i="8"/>
  <c r="U1064" i="8"/>
  <c r="Q1064" i="8"/>
  <c r="P1064" i="8"/>
  <c r="R1064" i="8" s="1"/>
  <c r="K1064" i="8"/>
  <c r="I1064" i="8"/>
  <c r="O1064" i="8" s="1"/>
  <c r="G1064" i="8"/>
  <c r="U1063" i="8"/>
  <c r="Q1063" i="8"/>
  <c r="P1063" i="8"/>
  <c r="R1063" i="8" s="1"/>
  <c r="K1063" i="8"/>
  <c r="I1063" i="8"/>
  <c r="O1063" i="8" s="1"/>
  <c r="G1063" i="8"/>
  <c r="U1062" i="8"/>
  <c r="Q1062" i="8"/>
  <c r="P1062" i="8"/>
  <c r="R1062" i="8" s="1"/>
  <c r="K1062" i="8"/>
  <c r="I1062" i="8"/>
  <c r="O1062" i="8" s="1"/>
  <c r="G1062" i="8"/>
  <c r="U1061" i="8"/>
  <c r="Q1061" i="8"/>
  <c r="P1061" i="8"/>
  <c r="R1061" i="8" s="1"/>
  <c r="K1061" i="8"/>
  <c r="I1061" i="8"/>
  <c r="O1061" i="8" s="1"/>
  <c r="G1061" i="8"/>
  <c r="U1060" i="8"/>
  <c r="Q1060" i="8"/>
  <c r="P1060" i="8"/>
  <c r="R1060" i="8" s="1"/>
  <c r="K1060" i="8"/>
  <c r="I1060" i="8"/>
  <c r="O1060" i="8" s="1"/>
  <c r="G1060" i="8"/>
  <c r="U1058" i="8"/>
  <c r="Q1058" i="8"/>
  <c r="P1058" i="8"/>
  <c r="R1058" i="8" s="1"/>
  <c r="K1058" i="8"/>
  <c r="I1058" i="8"/>
  <c r="O1058" i="8" s="1"/>
  <c r="G1058" i="8"/>
  <c r="K783" i="1"/>
  <c r="K784" i="1"/>
  <c r="K785" i="1"/>
  <c r="K786" i="1"/>
  <c r="K787" i="1"/>
  <c r="K788" i="1"/>
  <c r="K782" i="1"/>
  <c r="I783" i="1"/>
  <c r="O783" i="1" s="1"/>
  <c r="I784" i="1"/>
  <c r="I785" i="1"/>
  <c r="O785" i="1" s="1"/>
  <c r="I786" i="1"/>
  <c r="O786" i="1" s="1"/>
  <c r="I787" i="1"/>
  <c r="O787" i="1" s="1"/>
  <c r="I788" i="1"/>
  <c r="I782" i="1"/>
  <c r="O782" i="1" s="1"/>
  <c r="G783" i="1"/>
  <c r="G784" i="1"/>
  <c r="G785" i="1"/>
  <c r="G786" i="1"/>
  <c r="G787" i="1"/>
  <c r="G788" i="1"/>
  <c r="G782" i="1"/>
  <c r="I66" i="2"/>
  <c r="C66" i="2"/>
  <c r="N66" i="2"/>
  <c r="D66" i="2"/>
  <c r="U784" i="1"/>
  <c r="Q784" i="1"/>
  <c r="P784" i="1"/>
  <c r="U785" i="1"/>
  <c r="Q785" i="1"/>
  <c r="P785" i="1"/>
  <c r="U787" i="1"/>
  <c r="Q787" i="1"/>
  <c r="P787" i="1"/>
  <c r="U786" i="1"/>
  <c r="Q786" i="1"/>
  <c r="P786" i="1"/>
  <c r="U783" i="1"/>
  <c r="Q783" i="1"/>
  <c r="P783" i="1"/>
  <c r="U782" i="1"/>
  <c r="Q782" i="1"/>
  <c r="P782" i="1"/>
  <c r="U1208" i="8"/>
  <c r="Q1208" i="8"/>
  <c r="P1208" i="8"/>
  <c r="R1208" i="8" s="1"/>
  <c r="K1208" i="8"/>
  <c r="I1208" i="8"/>
  <c r="O1208" i="8" s="1"/>
  <c r="G1208" i="8"/>
  <c r="U998" i="1"/>
  <c r="Q998" i="1"/>
  <c r="P998" i="1"/>
  <c r="K998" i="1"/>
  <c r="I998" i="1"/>
  <c r="O998" i="1" s="1"/>
  <c r="G998" i="1"/>
  <c r="U211" i="8"/>
  <c r="Q211" i="8"/>
  <c r="P211" i="8"/>
  <c r="R211" i="8" s="1"/>
  <c r="K211" i="8"/>
  <c r="I211" i="8"/>
  <c r="O211" i="8" s="1"/>
  <c r="G211" i="8"/>
  <c r="U212" i="1"/>
  <c r="Q212" i="1"/>
  <c r="P212" i="1"/>
  <c r="K212" i="1"/>
  <c r="I212" i="1"/>
  <c r="O212" i="1" s="1"/>
  <c r="G212" i="1"/>
  <c r="U175" i="1"/>
  <c r="Q175" i="1"/>
  <c r="P175" i="1"/>
  <c r="K175" i="1"/>
  <c r="I175" i="1"/>
  <c r="O175" i="1" s="1"/>
  <c r="G175" i="1"/>
  <c r="U176" i="1"/>
  <c r="Q176" i="1"/>
  <c r="P176" i="1"/>
  <c r="K176" i="1"/>
  <c r="I176" i="1"/>
  <c r="O176" i="1" s="1"/>
  <c r="G176" i="1"/>
  <c r="U153" i="8"/>
  <c r="Q153" i="8"/>
  <c r="P153" i="8"/>
  <c r="R153" i="8" s="1"/>
  <c r="K153" i="8"/>
  <c r="I153" i="8"/>
  <c r="O153" i="8" s="1"/>
  <c r="G153" i="8"/>
  <c r="U49" i="8"/>
  <c r="Q49" i="8"/>
  <c r="P49" i="8"/>
  <c r="R49" i="8" s="1"/>
  <c r="K49" i="8"/>
  <c r="I49" i="8"/>
  <c r="O49" i="8" s="1"/>
  <c r="G49" i="8"/>
  <c r="U50" i="8"/>
  <c r="Q50" i="8"/>
  <c r="P50" i="8"/>
  <c r="R50" i="8" s="1"/>
  <c r="K50" i="8"/>
  <c r="I50" i="8"/>
  <c r="O50" i="8" s="1"/>
  <c r="G50" i="8"/>
  <c r="U52" i="1"/>
  <c r="Q52" i="1"/>
  <c r="P52" i="1"/>
  <c r="K52" i="1"/>
  <c r="I52" i="1"/>
  <c r="J52" i="1" s="1"/>
  <c r="G52" i="1"/>
  <c r="U53" i="1"/>
  <c r="Q53" i="1"/>
  <c r="P53" i="1"/>
  <c r="K53" i="1"/>
  <c r="I53" i="1"/>
  <c r="O53" i="1" s="1"/>
  <c r="G53" i="1"/>
  <c r="U118" i="8"/>
  <c r="Q118" i="8"/>
  <c r="P118" i="8"/>
  <c r="R118" i="8" s="1"/>
  <c r="K118" i="8"/>
  <c r="I118" i="8"/>
  <c r="O118" i="8" s="1"/>
  <c r="G118" i="8"/>
  <c r="U116" i="8"/>
  <c r="Q116" i="8"/>
  <c r="P116" i="8"/>
  <c r="R116" i="8" s="1"/>
  <c r="K116" i="8"/>
  <c r="I116" i="8"/>
  <c r="O116" i="8" s="1"/>
  <c r="G116" i="8"/>
  <c r="U87" i="8"/>
  <c r="Q87" i="8"/>
  <c r="P87" i="8"/>
  <c r="R87" i="8" s="1"/>
  <c r="K87" i="8"/>
  <c r="I87" i="8"/>
  <c r="O87" i="8" s="1"/>
  <c r="G87" i="8"/>
  <c r="U83" i="8"/>
  <c r="Q83" i="8"/>
  <c r="P83" i="8"/>
  <c r="R83" i="8" s="1"/>
  <c r="K83" i="8"/>
  <c r="I83" i="8"/>
  <c r="O83" i="8" s="1"/>
  <c r="G83" i="8"/>
  <c r="U107" i="1"/>
  <c r="Q107" i="1"/>
  <c r="P107" i="1"/>
  <c r="K107" i="1"/>
  <c r="I107" i="1"/>
  <c r="O107" i="1" s="1"/>
  <c r="G107" i="1"/>
  <c r="U105" i="1"/>
  <c r="Q105" i="1"/>
  <c r="P105" i="1"/>
  <c r="K105" i="1"/>
  <c r="I105" i="1"/>
  <c r="O105" i="1" s="1"/>
  <c r="G105" i="1"/>
  <c r="U103" i="1"/>
  <c r="Q103" i="1"/>
  <c r="P103" i="1"/>
  <c r="K103" i="1"/>
  <c r="I103" i="1"/>
  <c r="O103" i="1" s="1"/>
  <c r="G103" i="1"/>
  <c r="U99" i="1"/>
  <c r="Q99" i="1"/>
  <c r="P99" i="1"/>
  <c r="K99" i="1"/>
  <c r="I99" i="1"/>
  <c r="O99" i="1" s="1"/>
  <c r="G99" i="1"/>
  <c r="U262" i="8"/>
  <c r="Q262" i="8"/>
  <c r="P262" i="8"/>
  <c r="R262" i="8" s="1"/>
  <c r="K262" i="8"/>
  <c r="I262" i="8"/>
  <c r="O262" i="8" s="1"/>
  <c r="G262" i="8"/>
  <c r="U588" i="1"/>
  <c r="Q588" i="1"/>
  <c r="P588" i="1"/>
  <c r="K588" i="1"/>
  <c r="I588" i="1"/>
  <c r="O588" i="1" s="1"/>
  <c r="G588" i="1"/>
  <c r="U653" i="1"/>
  <c r="Q653" i="1"/>
  <c r="P653" i="1"/>
  <c r="K653" i="1"/>
  <c r="I653" i="1"/>
  <c r="O653" i="1" s="1"/>
  <c r="G653" i="1"/>
  <c r="U627" i="8"/>
  <c r="Q627" i="8"/>
  <c r="P627" i="8"/>
  <c r="R627" i="8" s="1"/>
  <c r="K627" i="8"/>
  <c r="I627" i="8"/>
  <c r="O627" i="8" s="1"/>
  <c r="G627" i="8"/>
  <c r="U637" i="8"/>
  <c r="Q637" i="8"/>
  <c r="P637" i="8"/>
  <c r="R637" i="8" s="1"/>
  <c r="K637" i="8"/>
  <c r="I637" i="8"/>
  <c r="O637" i="8" s="1"/>
  <c r="G637" i="8"/>
  <c r="U634" i="1"/>
  <c r="Q634" i="1"/>
  <c r="P634" i="1"/>
  <c r="K634" i="1"/>
  <c r="I634" i="1"/>
  <c r="O634" i="1" s="1"/>
  <c r="G634" i="1"/>
  <c r="U546" i="1"/>
  <c r="Q546" i="1"/>
  <c r="P546" i="1"/>
  <c r="K546" i="1"/>
  <c r="I546" i="1"/>
  <c r="O546" i="1" s="1"/>
  <c r="G546" i="1"/>
  <c r="U1327" i="8"/>
  <c r="Q1327" i="8"/>
  <c r="P1327" i="8"/>
  <c r="R1327" i="8" s="1"/>
  <c r="K1327" i="8"/>
  <c r="I1327" i="8"/>
  <c r="O1327" i="8" s="1"/>
  <c r="G1327" i="8"/>
  <c r="U1254" i="1"/>
  <c r="Q1254" i="1"/>
  <c r="P1254" i="1"/>
  <c r="K1254" i="1"/>
  <c r="I1254" i="1"/>
  <c r="O1254" i="1" s="1"/>
  <c r="G1254" i="1"/>
  <c r="U1301" i="8"/>
  <c r="Q1301" i="8"/>
  <c r="P1301" i="8"/>
  <c r="R1301" i="8" s="1"/>
  <c r="K1301" i="8"/>
  <c r="I1301" i="8"/>
  <c r="O1301" i="8" s="1"/>
  <c r="G1301" i="8"/>
  <c r="U1305" i="8"/>
  <c r="Q1305" i="8"/>
  <c r="P1305" i="8"/>
  <c r="R1305" i="8" s="1"/>
  <c r="K1305" i="8"/>
  <c r="I1305" i="8"/>
  <c r="O1305" i="8" s="1"/>
  <c r="G1305" i="8"/>
  <c r="U1117" i="1"/>
  <c r="Q1117" i="1"/>
  <c r="P1117" i="1"/>
  <c r="K1117" i="1"/>
  <c r="I1117" i="1"/>
  <c r="O1117" i="1" s="1"/>
  <c r="G1117" i="1"/>
  <c r="U1116" i="1"/>
  <c r="Q1116" i="1"/>
  <c r="P1116" i="1"/>
  <c r="K1116" i="1"/>
  <c r="I1116" i="1"/>
  <c r="O1116" i="1" s="1"/>
  <c r="G1116" i="1"/>
  <c r="U468" i="8"/>
  <c r="Q468" i="8"/>
  <c r="P468" i="8"/>
  <c r="R468" i="8" s="1"/>
  <c r="K468" i="8"/>
  <c r="I468" i="8"/>
  <c r="O468" i="8" s="1"/>
  <c r="G468" i="8"/>
  <c r="U105" i="8"/>
  <c r="Q105" i="8"/>
  <c r="P105" i="8"/>
  <c r="R105" i="8" s="1"/>
  <c r="K105" i="8"/>
  <c r="I105" i="8"/>
  <c r="O105" i="8" s="1"/>
  <c r="G105" i="8"/>
  <c r="U471" i="1"/>
  <c r="Q471" i="1"/>
  <c r="P471" i="1"/>
  <c r="K471" i="1"/>
  <c r="I471" i="1"/>
  <c r="O471" i="1" s="1"/>
  <c r="G471" i="1"/>
  <c r="U135" i="1"/>
  <c r="Q135" i="1"/>
  <c r="P135" i="1"/>
  <c r="K135" i="1"/>
  <c r="I135" i="1"/>
  <c r="O135" i="1" s="1"/>
  <c r="G135" i="1"/>
  <c r="U340" i="8"/>
  <c r="Q340" i="8"/>
  <c r="P340" i="8"/>
  <c r="R340" i="8" s="1"/>
  <c r="K340" i="8"/>
  <c r="I340" i="8"/>
  <c r="O340" i="8" s="1"/>
  <c r="G340" i="8"/>
  <c r="U345" i="8"/>
  <c r="Q345" i="8"/>
  <c r="P345" i="8"/>
  <c r="R345" i="8" s="1"/>
  <c r="K345" i="8"/>
  <c r="I345" i="8"/>
  <c r="O345" i="8" s="1"/>
  <c r="G345" i="8"/>
  <c r="U289" i="1"/>
  <c r="Q289" i="1"/>
  <c r="P289" i="1"/>
  <c r="K289" i="1"/>
  <c r="I289" i="1"/>
  <c r="J289" i="1" s="1"/>
  <c r="G289" i="1"/>
  <c r="U287" i="1"/>
  <c r="Q287" i="1"/>
  <c r="P287" i="1"/>
  <c r="K287" i="1"/>
  <c r="I287" i="1"/>
  <c r="J287" i="1" s="1"/>
  <c r="G287" i="1"/>
  <c r="U293" i="8"/>
  <c r="Q293" i="8"/>
  <c r="P293" i="8"/>
  <c r="R293" i="8" s="1"/>
  <c r="K293" i="8"/>
  <c r="I293" i="8"/>
  <c r="O293" i="8" s="1"/>
  <c r="G293" i="8"/>
  <c r="U257" i="1"/>
  <c r="Q257" i="1"/>
  <c r="P257" i="1"/>
  <c r="K257" i="1"/>
  <c r="I257" i="1"/>
  <c r="O257" i="1" s="1"/>
  <c r="G257" i="1"/>
  <c r="U273" i="8"/>
  <c r="Q273" i="8"/>
  <c r="P273" i="8"/>
  <c r="R273" i="8" s="1"/>
  <c r="K273" i="8"/>
  <c r="I273" i="8"/>
  <c r="J273" i="8" s="1"/>
  <c r="G273" i="8"/>
  <c r="U270" i="8"/>
  <c r="Q270" i="8"/>
  <c r="P270" i="8"/>
  <c r="R270" i="8" s="1"/>
  <c r="K270" i="8"/>
  <c r="I270" i="8"/>
  <c r="O270" i="8" s="1"/>
  <c r="G270" i="8"/>
  <c r="U226" i="1"/>
  <c r="Q226" i="1"/>
  <c r="P226" i="1"/>
  <c r="K226" i="1"/>
  <c r="I226" i="1"/>
  <c r="O226" i="1" s="1"/>
  <c r="G226" i="1"/>
  <c r="U225" i="1"/>
  <c r="Q225" i="1"/>
  <c r="P225" i="1"/>
  <c r="K225" i="1"/>
  <c r="I225" i="1"/>
  <c r="O225" i="1" s="1"/>
  <c r="G225" i="1"/>
  <c r="U146" i="8"/>
  <c r="Q146" i="8"/>
  <c r="P146" i="8"/>
  <c r="R146" i="8" s="1"/>
  <c r="K146" i="8"/>
  <c r="I146" i="8"/>
  <c r="O146" i="8" s="1"/>
  <c r="G146" i="8"/>
  <c r="U86" i="1"/>
  <c r="Q86" i="1"/>
  <c r="P86" i="1"/>
  <c r="K86" i="1"/>
  <c r="I86" i="1"/>
  <c r="O86" i="1" s="1"/>
  <c r="G86" i="1"/>
  <c r="U33" i="8"/>
  <c r="Q33" i="8"/>
  <c r="P33" i="8"/>
  <c r="R33" i="8" s="1"/>
  <c r="K33" i="8"/>
  <c r="I33" i="8"/>
  <c r="O33" i="8" s="1"/>
  <c r="G33" i="8"/>
  <c r="U32" i="8"/>
  <c r="Q32" i="8"/>
  <c r="P32" i="8"/>
  <c r="R32" i="8" s="1"/>
  <c r="K32" i="8"/>
  <c r="I32" i="8"/>
  <c r="O32" i="8" s="1"/>
  <c r="G32" i="8"/>
  <c r="U31" i="8"/>
  <c r="Q31" i="8"/>
  <c r="P31" i="8"/>
  <c r="R31" i="8" s="1"/>
  <c r="K31" i="8"/>
  <c r="I31" i="8"/>
  <c r="O31" i="8" s="1"/>
  <c r="G31" i="8"/>
  <c r="U30" i="8"/>
  <c r="Q30" i="8"/>
  <c r="P30" i="8"/>
  <c r="R30" i="8" s="1"/>
  <c r="K30" i="8"/>
  <c r="I30" i="8"/>
  <c r="O30" i="8" s="1"/>
  <c r="G30" i="8"/>
  <c r="U29" i="8"/>
  <c r="Q29" i="8"/>
  <c r="P29" i="8"/>
  <c r="R29" i="8" s="1"/>
  <c r="K29" i="8"/>
  <c r="I29" i="8"/>
  <c r="O29" i="8" s="1"/>
  <c r="G29" i="8"/>
  <c r="U28" i="8"/>
  <c r="Q28" i="8"/>
  <c r="P28" i="8"/>
  <c r="R28" i="8" s="1"/>
  <c r="K28" i="8"/>
  <c r="I28" i="8"/>
  <c r="O28" i="8" s="1"/>
  <c r="G28" i="8"/>
  <c r="U27" i="8"/>
  <c r="Q27" i="8"/>
  <c r="P27" i="8"/>
  <c r="R27" i="8" s="1"/>
  <c r="K27" i="8"/>
  <c r="I27" i="8"/>
  <c r="O27" i="8" s="1"/>
  <c r="G27" i="8"/>
  <c r="U23" i="8"/>
  <c r="Q23" i="8"/>
  <c r="P23" i="8"/>
  <c r="R23" i="8" s="1"/>
  <c r="K23" i="8"/>
  <c r="I23" i="8"/>
  <c r="O23" i="8" s="1"/>
  <c r="G23" i="8"/>
  <c r="U26" i="8"/>
  <c r="Q26" i="8"/>
  <c r="P26" i="8"/>
  <c r="R26" i="8" s="1"/>
  <c r="K26" i="8"/>
  <c r="I26" i="8"/>
  <c r="O26" i="8" s="1"/>
  <c r="G26" i="8"/>
  <c r="U25" i="8"/>
  <c r="Q25" i="8"/>
  <c r="P25" i="8"/>
  <c r="R25" i="8" s="1"/>
  <c r="K25" i="8"/>
  <c r="I25" i="8"/>
  <c r="O25" i="8" s="1"/>
  <c r="G25" i="8"/>
  <c r="U24" i="8"/>
  <c r="Q24" i="8"/>
  <c r="P24" i="8"/>
  <c r="R24" i="8" s="1"/>
  <c r="K24" i="8"/>
  <c r="I24" i="8"/>
  <c r="O24" i="8" s="1"/>
  <c r="G24" i="8"/>
  <c r="U22" i="8"/>
  <c r="Q22" i="8"/>
  <c r="P22" i="8"/>
  <c r="R22" i="8" s="1"/>
  <c r="K22" i="8"/>
  <c r="I22" i="8"/>
  <c r="O22" i="8" s="1"/>
  <c r="G22" i="8"/>
  <c r="K23" i="1"/>
  <c r="K24" i="1"/>
  <c r="K26" i="1"/>
  <c r="K27" i="1"/>
  <c r="K28" i="1"/>
  <c r="K30" i="1"/>
  <c r="K31" i="1"/>
  <c r="K32" i="1"/>
  <c r="K33" i="1"/>
  <c r="K22" i="1"/>
  <c r="I23" i="1"/>
  <c r="O23" i="1" s="1"/>
  <c r="I24" i="1"/>
  <c r="O24" i="1" s="1"/>
  <c r="I26" i="1"/>
  <c r="O26" i="1" s="1"/>
  <c r="I27" i="1"/>
  <c r="J27" i="1" s="1"/>
  <c r="I28" i="1"/>
  <c r="J28" i="1" s="1"/>
  <c r="I30" i="1"/>
  <c r="O30" i="1" s="1"/>
  <c r="I31" i="1"/>
  <c r="J31" i="1" s="1"/>
  <c r="I32" i="1"/>
  <c r="J32" i="1" s="1"/>
  <c r="I33" i="1"/>
  <c r="I22" i="1"/>
  <c r="J22" i="1" s="1"/>
  <c r="G23" i="1"/>
  <c r="G24" i="1"/>
  <c r="G26" i="1"/>
  <c r="G27" i="1"/>
  <c r="G28" i="1"/>
  <c r="G30" i="1"/>
  <c r="G31" i="1"/>
  <c r="G32" i="1"/>
  <c r="G33" i="1"/>
  <c r="G22" i="1"/>
  <c r="U33" i="1"/>
  <c r="Q33" i="1"/>
  <c r="P33" i="1"/>
  <c r="U32" i="1"/>
  <c r="Q32" i="1"/>
  <c r="P32" i="1"/>
  <c r="U31" i="1"/>
  <c r="Q31" i="1"/>
  <c r="P31" i="1"/>
  <c r="U30" i="1"/>
  <c r="Q30" i="1"/>
  <c r="P30" i="1"/>
  <c r="U28" i="1"/>
  <c r="Q28" i="1"/>
  <c r="P28" i="1"/>
  <c r="U27" i="1"/>
  <c r="Q27" i="1"/>
  <c r="P27" i="1"/>
  <c r="U26" i="1"/>
  <c r="Q26" i="1"/>
  <c r="P26" i="1"/>
  <c r="U24" i="1"/>
  <c r="Q24" i="1"/>
  <c r="P24" i="1"/>
  <c r="U23" i="1"/>
  <c r="Q23" i="1"/>
  <c r="P23" i="1"/>
  <c r="U22" i="1"/>
  <c r="Q22" i="1"/>
  <c r="P22" i="1"/>
  <c r="N12" i="2"/>
  <c r="I12" i="2"/>
  <c r="D12" i="2"/>
  <c r="C12" i="2"/>
  <c r="U673" i="8"/>
  <c r="Q673" i="8"/>
  <c r="P673" i="8"/>
  <c r="R673" i="8" s="1"/>
  <c r="K673" i="8"/>
  <c r="I673" i="8"/>
  <c r="J673" i="8" s="1"/>
  <c r="G673" i="8"/>
  <c r="U672" i="8"/>
  <c r="Q672" i="8"/>
  <c r="P672" i="8"/>
  <c r="R672" i="8" s="1"/>
  <c r="K672" i="8"/>
  <c r="I672" i="8"/>
  <c r="J672" i="8" s="1"/>
  <c r="G672" i="8"/>
  <c r="U671" i="8"/>
  <c r="Q671" i="8"/>
  <c r="P671" i="8"/>
  <c r="R671" i="8" s="1"/>
  <c r="K671" i="8"/>
  <c r="I671" i="8"/>
  <c r="J671" i="8" s="1"/>
  <c r="G671" i="8"/>
  <c r="U670" i="8"/>
  <c r="Q670" i="8"/>
  <c r="P670" i="8"/>
  <c r="R670" i="8" s="1"/>
  <c r="K670" i="8"/>
  <c r="I670" i="8"/>
  <c r="J670" i="8" s="1"/>
  <c r="G670" i="8"/>
  <c r="U669" i="8"/>
  <c r="Q669" i="8"/>
  <c r="P669" i="8"/>
  <c r="R669" i="8" s="1"/>
  <c r="K669" i="8"/>
  <c r="I669" i="8"/>
  <c r="J669" i="8" s="1"/>
  <c r="G669" i="8"/>
  <c r="U668" i="8"/>
  <c r="Q668" i="8"/>
  <c r="P668" i="8"/>
  <c r="R668" i="8" s="1"/>
  <c r="K668" i="8"/>
  <c r="I668" i="8"/>
  <c r="J668" i="8" s="1"/>
  <c r="G668" i="8"/>
  <c r="U667" i="8"/>
  <c r="Q667" i="8"/>
  <c r="P667" i="8"/>
  <c r="R667" i="8" s="1"/>
  <c r="K667" i="8"/>
  <c r="I667" i="8"/>
  <c r="J667" i="8" s="1"/>
  <c r="G667" i="8"/>
  <c r="U666" i="8"/>
  <c r="Q666" i="8"/>
  <c r="P666" i="8"/>
  <c r="R666" i="8" s="1"/>
  <c r="K666" i="8"/>
  <c r="I666" i="8"/>
  <c r="J666" i="8" s="1"/>
  <c r="G666" i="8"/>
  <c r="K1344" i="8"/>
  <c r="K1345" i="8"/>
  <c r="K1346" i="8"/>
  <c r="K1347" i="8"/>
  <c r="K1348" i="8"/>
  <c r="K1349" i="8"/>
  <c r="K1350" i="8"/>
  <c r="K1351" i="8"/>
  <c r="K1352" i="8"/>
  <c r="K1343" i="8"/>
  <c r="I1344" i="8"/>
  <c r="I1345" i="8"/>
  <c r="I1346" i="8"/>
  <c r="I1347" i="8"/>
  <c r="I1348" i="8"/>
  <c r="I1349" i="8"/>
  <c r="I1350" i="8"/>
  <c r="I1351" i="8"/>
  <c r="I1352" i="8"/>
  <c r="I1343" i="8"/>
  <c r="G1344" i="8"/>
  <c r="G1345" i="8"/>
  <c r="G1346" i="8"/>
  <c r="G1347" i="8"/>
  <c r="G1348" i="8"/>
  <c r="G1349" i="8"/>
  <c r="G1350" i="8"/>
  <c r="G1351" i="8"/>
  <c r="G1352" i="8"/>
  <c r="G1343" i="8"/>
  <c r="K1212" i="1"/>
  <c r="K1213" i="1"/>
  <c r="K1214" i="1"/>
  <c r="K1215" i="1"/>
  <c r="K1216" i="1"/>
  <c r="K1217" i="1"/>
  <c r="K1218" i="1"/>
  <c r="K1219" i="1"/>
  <c r="K1220" i="1"/>
  <c r="K1211" i="1"/>
  <c r="I1212" i="1"/>
  <c r="J1212" i="1" s="1"/>
  <c r="I1213" i="1"/>
  <c r="O1213" i="1" s="1"/>
  <c r="I1214" i="1"/>
  <c r="J1214" i="1" s="1"/>
  <c r="I1215" i="1"/>
  <c r="O1215" i="1" s="1"/>
  <c r="I1216" i="1"/>
  <c r="O1216" i="1" s="1"/>
  <c r="I1217" i="1"/>
  <c r="O1217" i="1" s="1"/>
  <c r="I1218" i="1"/>
  <c r="O1218" i="1" s="1"/>
  <c r="I1219" i="1"/>
  <c r="J1219" i="1" s="1"/>
  <c r="I1220" i="1"/>
  <c r="O1220" i="1" s="1"/>
  <c r="I1211" i="1"/>
  <c r="J1211" i="1" s="1"/>
  <c r="G1212" i="1"/>
  <c r="G1213" i="1"/>
  <c r="G1214" i="1"/>
  <c r="G1215" i="1"/>
  <c r="G1216" i="1"/>
  <c r="G1217" i="1"/>
  <c r="G1218" i="1"/>
  <c r="G1219" i="1"/>
  <c r="G1220" i="1"/>
  <c r="G1211" i="1"/>
  <c r="U1220" i="1"/>
  <c r="Q1220" i="1"/>
  <c r="P1220" i="1"/>
  <c r="U1219" i="1"/>
  <c r="Q1219" i="1"/>
  <c r="P1219" i="1"/>
  <c r="U1218" i="1"/>
  <c r="Q1218" i="1"/>
  <c r="P1218" i="1"/>
  <c r="U1217" i="1"/>
  <c r="Q1217" i="1"/>
  <c r="P1217" i="1"/>
  <c r="U1216" i="1"/>
  <c r="Q1216" i="1"/>
  <c r="P1216" i="1"/>
  <c r="U1215" i="1"/>
  <c r="Q1215" i="1"/>
  <c r="P1215" i="1"/>
  <c r="U1214" i="1"/>
  <c r="Q1214" i="1"/>
  <c r="P1214" i="1"/>
  <c r="U1213" i="1"/>
  <c r="Q1213" i="1"/>
  <c r="P1213" i="1"/>
  <c r="U1212" i="1"/>
  <c r="Q1212" i="1"/>
  <c r="P1212" i="1"/>
  <c r="U1211" i="1"/>
  <c r="Q1211" i="1"/>
  <c r="P1211" i="1"/>
  <c r="N138" i="2"/>
  <c r="I138" i="2"/>
  <c r="D138" i="2"/>
  <c r="C138" i="2"/>
  <c r="U680" i="8"/>
  <c r="Q680" i="8"/>
  <c r="P680" i="8"/>
  <c r="R680" i="8" s="1"/>
  <c r="K680" i="8"/>
  <c r="I680" i="8"/>
  <c r="O680" i="8" s="1"/>
  <c r="G680" i="8"/>
  <c r="U679" i="8"/>
  <c r="Q679" i="8"/>
  <c r="P679" i="8"/>
  <c r="R679" i="8" s="1"/>
  <c r="K679" i="8"/>
  <c r="I679" i="8"/>
  <c r="O679" i="8" s="1"/>
  <c r="G679" i="8"/>
  <c r="U678" i="8"/>
  <c r="Q678" i="8"/>
  <c r="P678" i="8"/>
  <c r="R678" i="8" s="1"/>
  <c r="K678" i="8"/>
  <c r="I678" i="8"/>
  <c r="J678" i="8" s="1"/>
  <c r="G678" i="8"/>
  <c r="K1125" i="1"/>
  <c r="K1126" i="1"/>
  <c r="K1124" i="1"/>
  <c r="I1125" i="1"/>
  <c r="J1125" i="1" s="1"/>
  <c r="I1126" i="1"/>
  <c r="J1126" i="1" s="1"/>
  <c r="I1124" i="1"/>
  <c r="J1124" i="1" s="1"/>
  <c r="G1125" i="1"/>
  <c r="G1126" i="1"/>
  <c r="G1124" i="1"/>
  <c r="U1126" i="1"/>
  <c r="Q1126" i="1"/>
  <c r="P1126" i="1"/>
  <c r="U1125" i="1"/>
  <c r="Q1125" i="1"/>
  <c r="P1125" i="1"/>
  <c r="U1124" i="1"/>
  <c r="Q1124" i="1"/>
  <c r="P1124" i="1"/>
  <c r="I105" i="2"/>
  <c r="N105" i="2"/>
  <c r="D105" i="2"/>
  <c r="C105" i="2"/>
  <c r="H26" i="1" l="1"/>
  <c r="H30" i="1"/>
  <c r="H23" i="1"/>
  <c r="H27" i="1"/>
  <c r="H32" i="1"/>
  <c r="R662" i="8"/>
  <c r="R665" i="8"/>
  <c r="R21" i="8"/>
  <c r="R86" i="1"/>
  <c r="R257" i="1"/>
  <c r="R289" i="1"/>
  <c r="R1117" i="1"/>
  <c r="R546" i="1"/>
  <c r="R105" i="1"/>
  <c r="R212" i="1"/>
  <c r="R785" i="1"/>
  <c r="R784" i="1"/>
  <c r="R762" i="1"/>
  <c r="R957" i="1"/>
  <c r="R382" i="1"/>
  <c r="R338" i="1"/>
  <c r="R1179" i="1"/>
  <c r="R828" i="1"/>
  <c r="R135" i="1"/>
  <c r="R1254" i="1"/>
  <c r="R634" i="1"/>
  <c r="R107" i="1"/>
  <c r="R782" i="1"/>
  <c r="R783" i="1"/>
  <c r="R786" i="1"/>
  <c r="R787" i="1"/>
  <c r="R953" i="1"/>
  <c r="R705" i="1"/>
  <c r="R707" i="1"/>
  <c r="R376" i="1"/>
  <c r="R344" i="1"/>
  <c r="R825" i="1"/>
  <c r="R829" i="1"/>
  <c r="R1057" i="8"/>
  <c r="R842" i="8"/>
  <c r="R787" i="8"/>
  <c r="R1212" i="1"/>
  <c r="R1214" i="1"/>
  <c r="R1216" i="1"/>
  <c r="R1218" i="1"/>
  <c r="R1220" i="1"/>
  <c r="R23" i="1"/>
  <c r="R1211" i="1"/>
  <c r="R1213" i="1"/>
  <c r="R1215" i="1"/>
  <c r="R1217" i="1"/>
  <c r="R1219" i="1"/>
  <c r="R22" i="1"/>
  <c r="R24" i="1"/>
  <c r="R26" i="1"/>
  <c r="R27" i="1"/>
  <c r="R28" i="1"/>
  <c r="R30" i="1"/>
  <c r="R31" i="1"/>
  <c r="R32" i="1"/>
  <c r="R33" i="1"/>
  <c r="R226" i="1"/>
  <c r="R588" i="1"/>
  <c r="R1124" i="1"/>
  <c r="R1126" i="1"/>
  <c r="R225" i="1"/>
  <c r="R471" i="1"/>
  <c r="R653" i="1"/>
  <c r="R99" i="1"/>
  <c r="R53" i="1"/>
  <c r="R176" i="1"/>
  <c r="R968" i="1"/>
  <c r="R375" i="1"/>
  <c r="R826" i="1"/>
  <c r="R830" i="1"/>
  <c r="R1125" i="1"/>
  <c r="R287" i="1"/>
  <c r="R1116" i="1"/>
  <c r="R103" i="1"/>
  <c r="R52" i="1"/>
  <c r="R175" i="1"/>
  <c r="R998" i="1"/>
  <c r="R768" i="1"/>
  <c r="R967" i="1"/>
  <c r="R1340" i="1"/>
  <c r="R1341" i="1"/>
  <c r="R337" i="1"/>
  <c r="R827" i="1"/>
  <c r="O845" i="8"/>
  <c r="O1341" i="1"/>
  <c r="O1340" i="1"/>
  <c r="T21" i="1"/>
  <c r="Q1210" i="1"/>
  <c r="L843" i="8"/>
  <c r="H844" i="8"/>
  <c r="H843" i="8"/>
  <c r="H827" i="1"/>
  <c r="H830" i="1"/>
  <c r="H829" i="1"/>
  <c r="T704" i="1"/>
  <c r="P1210" i="1"/>
  <c r="T1210" i="1"/>
  <c r="T824" i="1"/>
  <c r="T1339" i="1"/>
  <c r="S828" i="1"/>
  <c r="P842" i="8"/>
  <c r="H845" i="8"/>
  <c r="S825" i="1"/>
  <c r="S830" i="1"/>
  <c r="Q842" i="8"/>
  <c r="H825" i="1"/>
  <c r="J829" i="1"/>
  <c r="L829" i="1" s="1"/>
  <c r="J825" i="1"/>
  <c r="L825" i="1" s="1"/>
  <c r="L844" i="8"/>
  <c r="H846" i="8"/>
  <c r="H847" i="8"/>
  <c r="H848" i="8"/>
  <c r="S845" i="8"/>
  <c r="L846" i="8"/>
  <c r="L847" i="8"/>
  <c r="L848" i="8"/>
  <c r="S848" i="8"/>
  <c r="S847" i="8"/>
  <c r="S846" i="8"/>
  <c r="L845" i="8"/>
  <c r="S844" i="8"/>
  <c r="S843" i="8"/>
  <c r="O843" i="8"/>
  <c r="O846" i="8"/>
  <c r="O844" i="8"/>
  <c r="O847" i="8"/>
  <c r="O848" i="8"/>
  <c r="S829" i="1"/>
  <c r="S827" i="1"/>
  <c r="Q824" i="1"/>
  <c r="H826" i="1"/>
  <c r="J827" i="1"/>
  <c r="L827" i="1" s="1"/>
  <c r="H828" i="1"/>
  <c r="J830" i="1"/>
  <c r="L830" i="1" s="1"/>
  <c r="P824" i="1"/>
  <c r="J826" i="1"/>
  <c r="L826" i="1" s="1"/>
  <c r="S826" i="1"/>
  <c r="J828" i="1"/>
  <c r="L828" i="1" s="1"/>
  <c r="O824" i="1"/>
  <c r="S1179" i="1"/>
  <c r="S312" i="8"/>
  <c r="H312" i="8"/>
  <c r="H344" i="1"/>
  <c r="H1179" i="1"/>
  <c r="J1179" i="1"/>
  <c r="L1179" i="1" s="1"/>
  <c r="S344" i="1"/>
  <c r="J344" i="1"/>
  <c r="L344" i="1" s="1"/>
  <c r="H317" i="8"/>
  <c r="S317" i="8"/>
  <c r="J1162" i="8"/>
  <c r="L1162" i="8" s="1"/>
  <c r="H375" i="8"/>
  <c r="J312" i="8"/>
  <c r="L312" i="8" s="1"/>
  <c r="J317" i="8"/>
  <c r="L317" i="8" s="1"/>
  <c r="S316" i="8"/>
  <c r="H316" i="8"/>
  <c r="J316" i="8"/>
  <c r="L316" i="8" s="1"/>
  <c r="H1162" i="8"/>
  <c r="H788" i="8"/>
  <c r="S788" i="8"/>
  <c r="H371" i="8"/>
  <c r="J375" i="8"/>
  <c r="L375" i="8" s="1"/>
  <c r="S375" i="8"/>
  <c r="S371" i="8"/>
  <c r="Q662" i="8"/>
  <c r="P787" i="8"/>
  <c r="H790" i="8"/>
  <c r="S790" i="8"/>
  <c r="J371" i="8"/>
  <c r="L371" i="8" s="1"/>
  <c r="O787" i="8"/>
  <c r="S663" i="8"/>
  <c r="J788" i="8"/>
  <c r="L788" i="8" s="1"/>
  <c r="J790" i="8"/>
  <c r="L790" i="8" s="1"/>
  <c r="P662" i="8"/>
  <c r="S664" i="8"/>
  <c r="S662" i="8" s="1"/>
  <c r="H338" i="1"/>
  <c r="J338" i="1"/>
  <c r="L338" i="1" s="1"/>
  <c r="J375" i="1"/>
  <c r="L375" i="1" s="1"/>
  <c r="S337" i="1"/>
  <c r="S338" i="1"/>
  <c r="J337" i="1"/>
  <c r="L337" i="1" s="1"/>
  <c r="H375" i="1"/>
  <c r="H376" i="1"/>
  <c r="S376" i="1"/>
  <c r="H337" i="1"/>
  <c r="S375" i="1"/>
  <c r="H705" i="1"/>
  <c r="J376" i="1"/>
  <c r="L376" i="1" s="1"/>
  <c r="S382" i="1"/>
  <c r="H382" i="1"/>
  <c r="J382" i="1"/>
  <c r="L382" i="1" s="1"/>
  <c r="H707" i="1"/>
  <c r="J1092" i="8"/>
  <c r="L1092" i="8" s="1"/>
  <c r="J663" i="8"/>
  <c r="L663" i="8" s="1"/>
  <c r="H664" i="8"/>
  <c r="Q787" i="8"/>
  <c r="H663" i="8"/>
  <c r="O704" i="1"/>
  <c r="J705" i="1"/>
  <c r="L705" i="1" s="1"/>
  <c r="J707" i="1"/>
  <c r="L707" i="1" s="1"/>
  <c r="J664" i="8"/>
  <c r="L664" i="8" s="1"/>
  <c r="P704" i="1"/>
  <c r="L1340" i="1"/>
  <c r="S705" i="1"/>
  <c r="S707" i="1"/>
  <c r="H1341" i="1"/>
  <c r="S953" i="1"/>
  <c r="S968" i="1"/>
  <c r="L1341" i="1"/>
  <c r="S1340" i="1"/>
  <c r="Q704" i="1"/>
  <c r="H1340" i="1"/>
  <c r="S1341" i="1"/>
  <c r="O662" i="8"/>
  <c r="S1181" i="8"/>
  <c r="P1339" i="1"/>
  <c r="Q1339" i="1"/>
  <c r="S967" i="1"/>
  <c r="H782" i="1"/>
  <c r="J957" i="1"/>
  <c r="L957" i="1" s="1"/>
  <c r="J953" i="1"/>
  <c r="L953" i="1" s="1"/>
  <c r="H1181" i="8"/>
  <c r="S1162" i="8"/>
  <c r="H968" i="1"/>
  <c r="L967" i="1"/>
  <c r="H957" i="1"/>
  <c r="H953" i="1"/>
  <c r="J968" i="1"/>
  <c r="L968" i="1" s="1"/>
  <c r="H967" i="1"/>
  <c r="O967" i="1"/>
  <c r="H768" i="1"/>
  <c r="S768" i="1"/>
  <c r="S957" i="1"/>
  <c r="H1169" i="8"/>
  <c r="S1169" i="8"/>
  <c r="J1181" i="8"/>
  <c r="L1181" i="8" s="1"/>
  <c r="J1169" i="8"/>
  <c r="L1169" i="8" s="1"/>
  <c r="S1152" i="8"/>
  <c r="S1092" i="8"/>
  <c r="H1152" i="8"/>
  <c r="J49" i="8"/>
  <c r="L49" i="8" s="1"/>
  <c r="J211" i="8"/>
  <c r="L211" i="8" s="1"/>
  <c r="S1080" i="8"/>
  <c r="J1152" i="8"/>
  <c r="L1152" i="8" s="1"/>
  <c r="S1060" i="8"/>
  <c r="H1092" i="8"/>
  <c r="O1057" i="8"/>
  <c r="H1082" i="8"/>
  <c r="S1082" i="8"/>
  <c r="H784" i="1"/>
  <c r="S782" i="1"/>
  <c r="S784" i="1"/>
  <c r="H762" i="1"/>
  <c r="J768" i="1"/>
  <c r="L768" i="1" s="1"/>
  <c r="O784" i="1"/>
  <c r="J762" i="1"/>
  <c r="L762" i="1" s="1"/>
  <c r="H1080" i="8"/>
  <c r="S762" i="1"/>
  <c r="J1080" i="8"/>
  <c r="L1080" i="8" s="1"/>
  <c r="J1082" i="8"/>
  <c r="L1082" i="8" s="1"/>
  <c r="H1058" i="8"/>
  <c r="H1060" i="8"/>
  <c r="H1061" i="8"/>
  <c r="H1062" i="8"/>
  <c r="H1063" i="8"/>
  <c r="H1064" i="8"/>
  <c r="J1058" i="8"/>
  <c r="L1058" i="8" s="1"/>
  <c r="J1060" i="8"/>
  <c r="L1060" i="8" s="1"/>
  <c r="J1061" i="8"/>
  <c r="L1061" i="8" s="1"/>
  <c r="J1062" i="8"/>
  <c r="L1062" i="8" s="1"/>
  <c r="J1063" i="8"/>
  <c r="L1063" i="8" s="1"/>
  <c r="J1064" i="8"/>
  <c r="L1064" i="8" s="1"/>
  <c r="S1058" i="8"/>
  <c r="S1061" i="8"/>
  <c r="S1062" i="8"/>
  <c r="S1063" i="8"/>
  <c r="P1057" i="8"/>
  <c r="S1064" i="8"/>
  <c r="H1208" i="8"/>
  <c r="Q1057" i="8"/>
  <c r="H118" i="8"/>
  <c r="S118" i="8"/>
  <c r="H49" i="8"/>
  <c r="S785" i="1"/>
  <c r="H785" i="1"/>
  <c r="J1208" i="8"/>
  <c r="L1208" i="8" s="1"/>
  <c r="J782" i="1"/>
  <c r="L782" i="1" s="1"/>
  <c r="J784" i="1"/>
  <c r="L784" i="1" s="1"/>
  <c r="S787" i="1"/>
  <c r="J785" i="1"/>
  <c r="L785" i="1" s="1"/>
  <c r="H783" i="1"/>
  <c r="J783" i="1"/>
  <c r="L783" i="1" s="1"/>
  <c r="S786" i="1"/>
  <c r="J787" i="1"/>
  <c r="L787" i="1" s="1"/>
  <c r="S783" i="1"/>
  <c r="J786" i="1"/>
  <c r="L786" i="1" s="1"/>
  <c r="H787" i="1"/>
  <c r="H786" i="1"/>
  <c r="S998" i="1"/>
  <c r="H175" i="1"/>
  <c r="S175" i="1"/>
  <c r="J998" i="1"/>
  <c r="L998" i="1" s="1"/>
  <c r="S212" i="1"/>
  <c r="H998" i="1"/>
  <c r="S1208" i="8"/>
  <c r="H153" i="8"/>
  <c r="H211" i="8"/>
  <c r="H212" i="1"/>
  <c r="J212" i="1"/>
  <c r="L212" i="1" s="1"/>
  <c r="S211" i="8"/>
  <c r="J153" i="8"/>
  <c r="L153" i="8" s="1"/>
  <c r="S153" i="8"/>
  <c r="J175" i="1"/>
  <c r="L175" i="1" s="1"/>
  <c r="S176" i="1"/>
  <c r="H103" i="1"/>
  <c r="H52" i="1"/>
  <c r="H176" i="1"/>
  <c r="J176" i="1"/>
  <c r="L176" i="1" s="1"/>
  <c r="L52" i="1"/>
  <c r="S52" i="1"/>
  <c r="S49" i="8"/>
  <c r="S116" i="8"/>
  <c r="H50" i="8"/>
  <c r="S50" i="8"/>
  <c r="J118" i="8"/>
  <c r="L118" i="8" s="1"/>
  <c r="J50" i="8"/>
  <c r="L50" i="8" s="1"/>
  <c r="S83" i="8"/>
  <c r="H116" i="8"/>
  <c r="S53" i="1"/>
  <c r="H53" i="1"/>
  <c r="J53" i="1"/>
  <c r="L53" i="1" s="1"/>
  <c r="O52" i="1"/>
  <c r="J107" i="1"/>
  <c r="L107" i="1" s="1"/>
  <c r="S107" i="1"/>
  <c r="H105" i="1"/>
  <c r="S105" i="1"/>
  <c r="H107" i="1"/>
  <c r="J116" i="8"/>
  <c r="L116" i="8" s="1"/>
  <c r="S87" i="8"/>
  <c r="H87" i="8"/>
  <c r="J83" i="8"/>
  <c r="L83" i="8" s="1"/>
  <c r="J87" i="8"/>
  <c r="L87" i="8" s="1"/>
  <c r="H83" i="8"/>
  <c r="H262" i="8"/>
  <c r="S627" i="8"/>
  <c r="J262" i="8"/>
  <c r="L262" i="8" s="1"/>
  <c r="S262" i="8"/>
  <c r="S103" i="1"/>
  <c r="J105" i="1"/>
  <c r="L105" i="1" s="1"/>
  <c r="J103" i="1"/>
  <c r="L103" i="1" s="1"/>
  <c r="S99" i="1"/>
  <c r="S653" i="1"/>
  <c r="H99" i="1"/>
  <c r="J99" i="1"/>
  <c r="L99" i="1" s="1"/>
  <c r="S588" i="1"/>
  <c r="J653" i="1"/>
  <c r="L653" i="1" s="1"/>
  <c r="J588" i="1"/>
  <c r="L588" i="1" s="1"/>
  <c r="H588" i="1"/>
  <c r="H637" i="8"/>
  <c r="H627" i="8"/>
  <c r="J637" i="8"/>
  <c r="L637" i="8" s="1"/>
  <c r="J627" i="8"/>
  <c r="L627" i="8" s="1"/>
  <c r="H653" i="1"/>
  <c r="S546" i="1"/>
  <c r="H634" i="1"/>
  <c r="J634" i="1"/>
  <c r="L634" i="1" s="1"/>
  <c r="H1254" i="1"/>
  <c r="H1327" i="8"/>
  <c r="S637" i="8"/>
  <c r="H1301" i="8"/>
  <c r="J1327" i="8"/>
  <c r="L1327" i="8" s="1"/>
  <c r="S1327" i="8"/>
  <c r="S634" i="1"/>
  <c r="J1116" i="1"/>
  <c r="L1116" i="1" s="1"/>
  <c r="J546" i="1"/>
  <c r="L546" i="1" s="1"/>
  <c r="H1116" i="1"/>
  <c r="H1117" i="1"/>
  <c r="H546" i="1"/>
  <c r="S1254" i="1"/>
  <c r="J1254" i="1"/>
  <c r="L1254" i="1" s="1"/>
  <c r="H1305" i="8"/>
  <c r="S1301" i="8"/>
  <c r="H135" i="1"/>
  <c r="H471" i="1"/>
  <c r="S1117" i="1"/>
  <c r="J135" i="1"/>
  <c r="L135" i="1" s="1"/>
  <c r="J471" i="1"/>
  <c r="L471" i="1" s="1"/>
  <c r="S1116" i="1"/>
  <c r="J1117" i="1"/>
  <c r="L1117" i="1" s="1"/>
  <c r="S1305" i="8"/>
  <c r="J1301" i="8"/>
  <c r="L1301" i="8" s="1"/>
  <c r="H468" i="8"/>
  <c r="J1305" i="8"/>
  <c r="L1305" i="8" s="1"/>
  <c r="J468" i="8"/>
  <c r="L468" i="8" s="1"/>
  <c r="S468" i="8"/>
  <c r="S105" i="8"/>
  <c r="H105" i="8"/>
  <c r="J105" i="8"/>
  <c r="L105" i="8" s="1"/>
  <c r="S471" i="1"/>
  <c r="S340" i="8"/>
  <c r="S135" i="1"/>
  <c r="H289" i="1"/>
  <c r="H287" i="1"/>
  <c r="J345" i="8"/>
  <c r="L345" i="8" s="1"/>
  <c r="H345" i="8"/>
  <c r="H340" i="8"/>
  <c r="J340" i="8"/>
  <c r="L340" i="8" s="1"/>
  <c r="S345" i="8"/>
  <c r="S293" i="8"/>
  <c r="S289" i="1"/>
  <c r="S287" i="1"/>
  <c r="L287" i="1"/>
  <c r="L289" i="1"/>
  <c r="O287" i="1"/>
  <c r="O289" i="1"/>
  <c r="J270" i="8"/>
  <c r="L270" i="8" s="1"/>
  <c r="H293" i="8"/>
  <c r="J293" i="8"/>
  <c r="L293" i="8" s="1"/>
  <c r="H680" i="8"/>
  <c r="J30" i="1"/>
  <c r="L30" i="1" s="1"/>
  <c r="J23" i="1"/>
  <c r="L23" i="1" s="1"/>
  <c r="O27" i="1"/>
  <c r="H257" i="1"/>
  <c r="J24" i="1"/>
  <c r="L24" i="1" s="1"/>
  <c r="J257" i="1"/>
  <c r="L257" i="1" s="1"/>
  <c r="O32" i="1"/>
  <c r="J225" i="1"/>
  <c r="L225" i="1" s="1"/>
  <c r="H225" i="1"/>
  <c r="H226" i="1"/>
  <c r="S226" i="1"/>
  <c r="H24" i="8"/>
  <c r="H27" i="8"/>
  <c r="H270" i="8"/>
  <c r="H273" i="8"/>
  <c r="S273" i="8"/>
  <c r="S257" i="1"/>
  <c r="S225" i="1"/>
  <c r="H86" i="1"/>
  <c r="J226" i="1"/>
  <c r="L226" i="1" s="1"/>
  <c r="L273" i="8"/>
  <c r="S29" i="8"/>
  <c r="J31" i="8"/>
  <c r="L31" i="8" s="1"/>
  <c r="H33" i="8"/>
  <c r="S270" i="8"/>
  <c r="O273" i="8"/>
  <c r="H30" i="8"/>
  <c r="L670" i="8"/>
  <c r="H22" i="8"/>
  <c r="H23" i="8"/>
  <c r="H31" i="8"/>
  <c r="H32" i="8"/>
  <c r="H146" i="8"/>
  <c r="H667" i="8"/>
  <c r="H671" i="8"/>
  <c r="H25" i="8"/>
  <c r="H28" i="8"/>
  <c r="S30" i="8"/>
  <c r="J86" i="1"/>
  <c r="L86" i="1" s="1"/>
  <c r="S86" i="1"/>
  <c r="S670" i="8"/>
  <c r="J30" i="8"/>
  <c r="L30" i="8" s="1"/>
  <c r="S33" i="8"/>
  <c r="J146" i="8"/>
  <c r="L146" i="8" s="1"/>
  <c r="O21" i="8"/>
  <c r="H26" i="8"/>
  <c r="H29" i="8"/>
  <c r="S31" i="8"/>
  <c r="S146" i="8"/>
  <c r="S679" i="8"/>
  <c r="S680" i="8"/>
  <c r="J22" i="8"/>
  <c r="L22" i="8" s="1"/>
  <c r="J25" i="8"/>
  <c r="L25" i="8" s="1"/>
  <c r="S25" i="8"/>
  <c r="J23" i="8"/>
  <c r="L23" i="8" s="1"/>
  <c r="S23" i="8"/>
  <c r="J28" i="8"/>
  <c r="L28" i="8" s="1"/>
  <c r="J33" i="8"/>
  <c r="L33" i="8" s="1"/>
  <c r="J24" i="8"/>
  <c r="L24" i="8" s="1"/>
  <c r="S24" i="8"/>
  <c r="J26" i="8"/>
  <c r="L26" i="8" s="1"/>
  <c r="S26" i="8"/>
  <c r="J27" i="8"/>
  <c r="L27" i="8" s="1"/>
  <c r="S27" i="8"/>
  <c r="J29" i="8"/>
  <c r="L29" i="8" s="1"/>
  <c r="J32" i="8"/>
  <c r="L32" i="8" s="1"/>
  <c r="S32" i="8"/>
  <c r="S1218" i="1"/>
  <c r="S24" i="1"/>
  <c r="S1220" i="1"/>
  <c r="O22" i="1"/>
  <c r="J26" i="1"/>
  <c r="L26" i="1" s="1"/>
  <c r="S28" i="8"/>
  <c r="P21" i="8"/>
  <c r="Q21" i="8"/>
  <c r="S22" i="8"/>
  <c r="L667" i="8"/>
  <c r="S667" i="8"/>
  <c r="H670" i="8"/>
  <c r="L671" i="8"/>
  <c r="S671" i="8"/>
  <c r="H668" i="8"/>
  <c r="S668" i="8"/>
  <c r="H672" i="8"/>
  <c r="S31" i="1"/>
  <c r="H33" i="1"/>
  <c r="O1219" i="1"/>
  <c r="O33" i="1"/>
  <c r="S1215" i="1"/>
  <c r="J33" i="1"/>
  <c r="L33" i="1" s="1"/>
  <c r="O1212" i="1"/>
  <c r="H1219" i="1"/>
  <c r="H1215" i="1"/>
  <c r="H24" i="1"/>
  <c r="S27" i="1"/>
  <c r="S28" i="1"/>
  <c r="S32" i="1"/>
  <c r="H1126" i="1"/>
  <c r="S1211" i="1"/>
  <c r="S30" i="1"/>
  <c r="S33" i="1"/>
  <c r="H22" i="1"/>
  <c r="H1220" i="1"/>
  <c r="H1216" i="1"/>
  <c r="O31" i="1"/>
  <c r="S26" i="1"/>
  <c r="P21" i="1"/>
  <c r="S23" i="1"/>
  <c r="S22" i="1"/>
  <c r="O28" i="1"/>
  <c r="H31" i="1"/>
  <c r="H28" i="1"/>
  <c r="L27" i="1"/>
  <c r="L28" i="1"/>
  <c r="L31" i="1"/>
  <c r="L32" i="1"/>
  <c r="L22" i="1"/>
  <c r="S1217" i="1"/>
  <c r="Q21" i="1"/>
  <c r="H673" i="8"/>
  <c r="S673" i="8"/>
  <c r="H669" i="8"/>
  <c r="S669" i="8"/>
  <c r="L672" i="8"/>
  <c r="S672" i="8"/>
  <c r="H1217" i="1"/>
  <c r="H666" i="8"/>
  <c r="S666" i="8"/>
  <c r="L673" i="8"/>
  <c r="O673" i="8"/>
  <c r="O672" i="8"/>
  <c r="O671" i="8"/>
  <c r="O670" i="8"/>
  <c r="L669" i="8"/>
  <c r="O669" i="8"/>
  <c r="L668" i="8"/>
  <c r="O668" i="8"/>
  <c r="O667" i="8"/>
  <c r="L666" i="8"/>
  <c r="O666" i="8"/>
  <c r="J680" i="8"/>
  <c r="L680" i="8" s="1"/>
  <c r="H679" i="8"/>
  <c r="S1216" i="1"/>
  <c r="S1212" i="1"/>
  <c r="S1213" i="1"/>
  <c r="S1214" i="1"/>
  <c r="S1219" i="1"/>
  <c r="L1212" i="1"/>
  <c r="L1219" i="1"/>
  <c r="L1214" i="1"/>
  <c r="L1211" i="1"/>
  <c r="O1214" i="1"/>
  <c r="J1213" i="1"/>
  <c r="L1213" i="1" s="1"/>
  <c r="H1218" i="1"/>
  <c r="H1125" i="1"/>
  <c r="J1215" i="1"/>
  <c r="L1215" i="1" s="1"/>
  <c r="J1217" i="1"/>
  <c r="L1217" i="1" s="1"/>
  <c r="J1220" i="1"/>
  <c r="L1220" i="1" s="1"/>
  <c r="J1216" i="1"/>
  <c r="L1216" i="1" s="1"/>
  <c r="J1218" i="1"/>
  <c r="L1218" i="1" s="1"/>
  <c r="H1211" i="1"/>
  <c r="H1212" i="1"/>
  <c r="H1213" i="1"/>
  <c r="H1214" i="1"/>
  <c r="O1211" i="1"/>
  <c r="J679" i="8"/>
  <c r="L679" i="8" s="1"/>
  <c r="H678" i="8"/>
  <c r="S678" i="8"/>
  <c r="L678" i="8"/>
  <c r="O678" i="8"/>
  <c r="O1126" i="1"/>
  <c r="H1124" i="1"/>
  <c r="L1126" i="1"/>
  <c r="S1126" i="1"/>
  <c r="S1125" i="1"/>
  <c r="S1124" i="1"/>
  <c r="L1125" i="1"/>
  <c r="L1124" i="1"/>
  <c r="O1124" i="1"/>
  <c r="O1125" i="1"/>
  <c r="R704" i="1" l="1"/>
  <c r="R824" i="1"/>
  <c r="R21" i="1"/>
  <c r="R1210" i="1"/>
  <c r="R1339" i="1"/>
  <c r="O1339" i="1"/>
  <c r="S787" i="8"/>
  <c r="O1210" i="1"/>
  <c r="S1210" i="1"/>
  <c r="O842" i="8"/>
  <c r="S842" i="8"/>
  <c r="S824" i="1"/>
  <c r="S1339" i="1"/>
  <c r="S704" i="1"/>
  <c r="S1057" i="8"/>
  <c r="S21" i="8"/>
  <c r="O21" i="1"/>
  <c r="S21" i="1"/>
  <c r="G4" i="1" l="1"/>
  <c r="I4" i="1"/>
  <c r="J4" i="1" s="1"/>
  <c r="K4" i="1"/>
  <c r="P4" i="1"/>
  <c r="Q4" i="1"/>
  <c r="U4" i="1"/>
  <c r="G6" i="1"/>
  <c r="I6" i="1"/>
  <c r="O6" i="1" s="1"/>
  <c r="K6" i="1"/>
  <c r="P6" i="1"/>
  <c r="Q6" i="1"/>
  <c r="U6" i="1"/>
  <c r="G7" i="1"/>
  <c r="I7" i="1"/>
  <c r="K7" i="1"/>
  <c r="P7" i="1"/>
  <c r="Q7" i="1"/>
  <c r="U7" i="1"/>
  <c r="G9" i="1"/>
  <c r="I9" i="1"/>
  <c r="O9" i="1" s="1"/>
  <c r="K9" i="1"/>
  <c r="P9" i="1"/>
  <c r="Q9" i="1"/>
  <c r="U9" i="1"/>
  <c r="G12" i="1"/>
  <c r="I12" i="1"/>
  <c r="K12" i="1"/>
  <c r="P12" i="1"/>
  <c r="Q12" i="1"/>
  <c r="U12" i="1"/>
  <c r="G13" i="1"/>
  <c r="I13" i="1"/>
  <c r="J13" i="1" s="1"/>
  <c r="K13" i="1"/>
  <c r="P13" i="1"/>
  <c r="Q13" i="1"/>
  <c r="U13" i="1"/>
  <c r="G16" i="1"/>
  <c r="I16" i="1"/>
  <c r="O16" i="1" s="1"/>
  <c r="K16" i="1"/>
  <c r="P16" i="1"/>
  <c r="Q16" i="1"/>
  <c r="U16" i="1"/>
  <c r="G17" i="1"/>
  <c r="I17" i="1"/>
  <c r="K17" i="1"/>
  <c r="P17" i="1"/>
  <c r="Q17" i="1"/>
  <c r="U17" i="1"/>
  <c r="G18" i="1"/>
  <c r="I18" i="1"/>
  <c r="J18" i="1" s="1"/>
  <c r="K18" i="1"/>
  <c r="P18" i="1"/>
  <c r="Q18" i="1"/>
  <c r="U18" i="1"/>
  <c r="G19" i="1"/>
  <c r="I19" i="1"/>
  <c r="O19" i="1" s="1"/>
  <c r="K19" i="1"/>
  <c r="P19" i="1"/>
  <c r="Q19" i="1"/>
  <c r="U19" i="1"/>
  <c r="G20" i="1"/>
  <c r="I20" i="1"/>
  <c r="O20" i="1" s="1"/>
  <c r="K20" i="1"/>
  <c r="P20" i="1"/>
  <c r="Q20" i="1"/>
  <c r="U20" i="1"/>
  <c r="G35" i="1"/>
  <c r="I35" i="1"/>
  <c r="K35" i="1"/>
  <c r="P35" i="1"/>
  <c r="Q35" i="1"/>
  <c r="U35" i="1"/>
  <c r="G36" i="1"/>
  <c r="I36" i="1"/>
  <c r="K36" i="1"/>
  <c r="P36" i="1"/>
  <c r="Q36" i="1"/>
  <c r="U36" i="1"/>
  <c r="G37" i="1"/>
  <c r="I37" i="1"/>
  <c r="K37" i="1"/>
  <c r="P37" i="1"/>
  <c r="Q37" i="1"/>
  <c r="U37" i="1"/>
  <c r="G38" i="1"/>
  <c r="I38" i="1"/>
  <c r="K38" i="1"/>
  <c r="P38" i="1"/>
  <c r="Q38" i="1"/>
  <c r="U38" i="1"/>
  <c r="G39" i="1"/>
  <c r="I39" i="1"/>
  <c r="K39" i="1"/>
  <c r="P39" i="1"/>
  <c r="Q39" i="1"/>
  <c r="U39" i="1"/>
  <c r="G40" i="1"/>
  <c r="I40" i="1"/>
  <c r="K40" i="1"/>
  <c r="P40" i="1"/>
  <c r="Q40" i="1"/>
  <c r="U40" i="1"/>
  <c r="G41" i="1"/>
  <c r="I41" i="1"/>
  <c r="K41" i="1"/>
  <c r="P41" i="1"/>
  <c r="Q41" i="1"/>
  <c r="U41" i="1"/>
  <c r="G42" i="1"/>
  <c r="I42" i="1"/>
  <c r="O42" i="1" s="1"/>
  <c r="K42" i="1"/>
  <c r="P42" i="1"/>
  <c r="Q42" i="1"/>
  <c r="U42" i="1"/>
  <c r="G44" i="1"/>
  <c r="I44" i="1"/>
  <c r="K44" i="1"/>
  <c r="P44" i="1"/>
  <c r="Q44" i="1"/>
  <c r="U44" i="1"/>
  <c r="G45" i="1"/>
  <c r="I45" i="1"/>
  <c r="K45" i="1"/>
  <c r="P45" i="1"/>
  <c r="Q45" i="1"/>
  <c r="U45" i="1"/>
  <c r="G46" i="1"/>
  <c r="I46" i="1"/>
  <c r="J46" i="1" s="1"/>
  <c r="K46" i="1"/>
  <c r="P46" i="1"/>
  <c r="Q46" i="1"/>
  <c r="U46" i="1"/>
  <c r="G48" i="1"/>
  <c r="I48" i="1"/>
  <c r="J48" i="1" s="1"/>
  <c r="K48" i="1"/>
  <c r="P48" i="1"/>
  <c r="Q48" i="1"/>
  <c r="U48" i="1"/>
  <c r="G49" i="1"/>
  <c r="I49" i="1"/>
  <c r="K49" i="1"/>
  <c r="P49" i="1"/>
  <c r="Q49" i="1"/>
  <c r="U49" i="1"/>
  <c r="G50" i="1"/>
  <c r="I50" i="1"/>
  <c r="K50" i="1"/>
  <c r="P50" i="1"/>
  <c r="Q50" i="1"/>
  <c r="U50" i="1"/>
  <c r="G54" i="1"/>
  <c r="I54" i="1"/>
  <c r="J54" i="1" s="1"/>
  <c r="K54" i="1"/>
  <c r="P54" i="1"/>
  <c r="Q54" i="1"/>
  <c r="U54" i="1"/>
  <c r="G55" i="1"/>
  <c r="I55" i="1"/>
  <c r="K55" i="1"/>
  <c r="P55" i="1"/>
  <c r="Q55" i="1"/>
  <c r="U55" i="1"/>
  <c r="G56" i="1"/>
  <c r="I56" i="1"/>
  <c r="J56" i="1" s="1"/>
  <c r="K56" i="1"/>
  <c r="P56" i="1"/>
  <c r="Q56" i="1"/>
  <c r="U56" i="1"/>
  <c r="G57" i="1"/>
  <c r="I57" i="1"/>
  <c r="J57" i="1" s="1"/>
  <c r="K57" i="1"/>
  <c r="P57" i="1"/>
  <c r="Q57" i="1"/>
  <c r="U57" i="1"/>
  <c r="G58" i="1"/>
  <c r="I58" i="1"/>
  <c r="J58" i="1" s="1"/>
  <c r="K58" i="1"/>
  <c r="P58" i="1"/>
  <c r="Q58" i="1"/>
  <c r="U58" i="1"/>
  <c r="G59" i="1"/>
  <c r="I59" i="1"/>
  <c r="K59" i="1"/>
  <c r="P59" i="1"/>
  <c r="Q59" i="1"/>
  <c r="U59" i="1"/>
  <c r="G60" i="1"/>
  <c r="I60" i="1"/>
  <c r="K60" i="1"/>
  <c r="P60" i="1"/>
  <c r="Q60" i="1"/>
  <c r="U60" i="1"/>
  <c r="G61" i="1"/>
  <c r="I61" i="1"/>
  <c r="K61" i="1"/>
  <c r="P61" i="1"/>
  <c r="Q61" i="1"/>
  <c r="U61" i="1"/>
  <c r="G62" i="1"/>
  <c r="I62" i="1"/>
  <c r="J62" i="1" s="1"/>
  <c r="K62" i="1"/>
  <c r="P62" i="1"/>
  <c r="Q62" i="1"/>
  <c r="U62" i="1"/>
  <c r="G73" i="1"/>
  <c r="I73" i="1"/>
  <c r="K73" i="1"/>
  <c r="P73" i="1"/>
  <c r="Q73" i="1"/>
  <c r="U73" i="1"/>
  <c r="G63" i="1"/>
  <c r="I63" i="1"/>
  <c r="J63" i="1" s="1"/>
  <c r="K63" i="1"/>
  <c r="P63" i="1"/>
  <c r="Q63" i="1"/>
  <c r="U63" i="1"/>
  <c r="G64" i="1"/>
  <c r="I64" i="1"/>
  <c r="J64" i="1" s="1"/>
  <c r="K64" i="1"/>
  <c r="P64" i="1"/>
  <c r="Q64" i="1"/>
  <c r="U64" i="1"/>
  <c r="G65" i="1"/>
  <c r="I65" i="1"/>
  <c r="J65" i="1" s="1"/>
  <c r="K65" i="1"/>
  <c r="P65" i="1"/>
  <c r="Q65" i="1"/>
  <c r="U65" i="1"/>
  <c r="G66" i="1"/>
  <c r="I66" i="1"/>
  <c r="J66" i="1" s="1"/>
  <c r="K66" i="1"/>
  <c r="P66" i="1"/>
  <c r="Q66" i="1"/>
  <c r="U66" i="1"/>
  <c r="G67" i="1"/>
  <c r="I67" i="1"/>
  <c r="J67" i="1" s="1"/>
  <c r="K67" i="1"/>
  <c r="P67" i="1"/>
  <c r="Q67" i="1"/>
  <c r="U67" i="1"/>
  <c r="G68" i="1"/>
  <c r="I68" i="1"/>
  <c r="J68" i="1" s="1"/>
  <c r="K68" i="1"/>
  <c r="P68" i="1"/>
  <c r="Q68" i="1"/>
  <c r="U68" i="1"/>
  <c r="G69" i="1"/>
  <c r="I69" i="1"/>
  <c r="O69" i="1" s="1"/>
  <c r="K69" i="1"/>
  <c r="P69" i="1"/>
  <c r="Q69" i="1"/>
  <c r="U69" i="1"/>
  <c r="G70" i="1"/>
  <c r="I70" i="1"/>
  <c r="K70" i="1"/>
  <c r="P70" i="1"/>
  <c r="Q70" i="1"/>
  <c r="U70" i="1"/>
  <c r="G71" i="1"/>
  <c r="I71" i="1"/>
  <c r="J71" i="1" s="1"/>
  <c r="K71" i="1"/>
  <c r="P71" i="1"/>
  <c r="Q71" i="1"/>
  <c r="U71" i="1"/>
  <c r="G72" i="1"/>
  <c r="I72" i="1"/>
  <c r="O72" i="1" s="1"/>
  <c r="K72" i="1"/>
  <c r="P72" i="1"/>
  <c r="Q72" i="1"/>
  <c r="U72" i="1"/>
  <c r="G74" i="1"/>
  <c r="I74" i="1"/>
  <c r="O74" i="1" s="1"/>
  <c r="K74" i="1"/>
  <c r="P74" i="1"/>
  <c r="Q74" i="1"/>
  <c r="U74" i="1"/>
  <c r="G75" i="1"/>
  <c r="I75" i="1"/>
  <c r="K75" i="1"/>
  <c r="P75" i="1"/>
  <c r="Q75" i="1"/>
  <c r="U75" i="1"/>
  <c r="G76" i="1"/>
  <c r="I76" i="1"/>
  <c r="J76" i="1" s="1"/>
  <c r="K76" i="1"/>
  <c r="P76" i="1"/>
  <c r="Q76" i="1"/>
  <c r="U76" i="1"/>
  <c r="G77" i="1"/>
  <c r="I77" i="1"/>
  <c r="O77" i="1" s="1"/>
  <c r="K77" i="1"/>
  <c r="P77" i="1"/>
  <c r="Q77" i="1"/>
  <c r="U77" i="1"/>
  <c r="G79" i="1"/>
  <c r="I79" i="1"/>
  <c r="O79" i="1" s="1"/>
  <c r="K79" i="1"/>
  <c r="P79" i="1"/>
  <c r="Q79" i="1"/>
  <c r="U79" i="1"/>
  <c r="G80" i="1"/>
  <c r="I80" i="1"/>
  <c r="O80" i="1" s="1"/>
  <c r="K80" i="1"/>
  <c r="P80" i="1"/>
  <c r="Q80" i="1"/>
  <c r="U80" i="1"/>
  <c r="G81" i="1"/>
  <c r="I81" i="1"/>
  <c r="O81" i="1" s="1"/>
  <c r="K81" i="1"/>
  <c r="P81" i="1"/>
  <c r="Q81" i="1"/>
  <c r="U81" i="1"/>
  <c r="G92" i="1"/>
  <c r="I92" i="1"/>
  <c r="O92" i="1" s="1"/>
  <c r="K92" i="1"/>
  <c r="P92" i="1"/>
  <c r="Q92" i="1"/>
  <c r="U92" i="1"/>
  <c r="G83" i="1"/>
  <c r="I83" i="1"/>
  <c r="O83" i="1" s="1"/>
  <c r="K83" i="1"/>
  <c r="P83" i="1"/>
  <c r="Q83" i="1"/>
  <c r="U83" i="1"/>
  <c r="G84" i="1"/>
  <c r="I84" i="1"/>
  <c r="O84" i="1" s="1"/>
  <c r="K84" i="1"/>
  <c r="P84" i="1"/>
  <c r="Q84" i="1"/>
  <c r="U84" i="1"/>
  <c r="G85" i="1"/>
  <c r="I85" i="1"/>
  <c r="O85" i="1" s="1"/>
  <c r="K85" i="1"/>
  <c r="P85" i="1"/>
  <c r="Q85" i="1"/>
  <c r="U85" i="1"/>
  <c r="G90" i="1"/>
  <c r="I90" i="1"/>
  <c r="O90" i="1" s="1"/>
  <c r="K90" i="1"/>
  <c r="P90" i="1"/>
  <c r="Q90" i="1"/>
  <c r="U90" i="1"/>
  <c r="G91" i="1"/>
  <c r="I91" i="1"/>
  <c r="O91" i="1" s="1"/>
  <c r="K91" i="1"/>
  <c r="P91" i="1"/>
  <c r="Q91" i="1"/>
  <c r="U91" i="1"/>
  <c r="G88" i="1"/>
  <c r="I88" i="1"/>
  <c r="O88" i="1" s="1"/>
  <c r="K88" i="1"/>
  <c r="P88" i="1"/>
  <c r="Q88" i="1"/>
  <c r="U88" i="1"/>
  <c r="G93" i="1"/>
  <c r="I93" i="1"/>
  <c r="O93" i="1" s="1"/>
  <c r="K93" i="1"/>
  <c r="P93" i="1"/>
  <c r="Q93" i="1"/>
  <c r="U93" i="1"/>
  <c r="G94" i="1"/>
  <c r="I94" i="1"/>
  <c r="J94" i="1" s="1"/>
  <c r="K94" i="1"/>
  <c r="P94" i="1"/>
  <c r="Q94" i="1"/>
  <c r="U94" i="1"/>
  <c r="G95" i="1"/>
  <c r="I95" i="1"/>
  <c r="O95" i="1" s="1"/>
  <c r="K95" i="1"/>
  <c r="P95" i="1"/>
  <c r="Q95" i="1"/>
  <c r="U95" i="1"/>
  <c r="G96" i="1"/>
  <c r="I96" i="1"/>
  <c r="J96" i="1" s="1"/>
  <c r="K96" i="1"/>
  <c r="P96" i="1"/>
  <c r="Q96" i="1"/>
  <c r="U96" i="1"/>
  <c r="G97" i="1"/>
  <c r="I97" i="1"/>
  <c r="J97" i="1" s="1"/>
  <c r="K97" i="1"/>
  <c r="P97" i="1"/>
  <c r="Q97" i="1"/>
  <c r="U97" i="1"/>
  <c r="G98" i="1"/>
  <c r="I98" i="1"/>
  <c r="K98" i="1"/>
  <c r="P98" i="1"/>
  <c r="Q98" i="1"/>
  <c r="U98" i="1"/>
  <c r="G104" i="1"/>
  <c r="I104" i="1"/>
  <c r="K104" i="1"/>
  <c r="P104" i="1"/>
  <c r="Q104" i="1"/>
  <c r="U104" i="1"/>
  <c r="G108" i="1"/>
  <c r="I108" i="1"/>
  <c r="J108" i="1" s="1"/>
  <c r="K108" i="1"/>
  <c r="P108" i="1"/>
  <c r="Q108" i="1"/>
  <c r="U108" i="1"/>
  <c r="G109" i="1"/>
  <c r="I109" i="1"/>
  <c r="J109" i="1" s="1"/>
  <c r="K109" i="1"/>
  <c r="P109" i="1"/>
  <c r="Q109" i="1"/>
  <c r="U109" i="1"/>
  <c r="G110" i="1"/>
  <c r="I110" i="1"/>
  <c r="K110" i="1"/>
  <c r="P110" i="1"/>
  <c r="Q110" i="1"/>
  <c r="U110" i="1"/>
  <c r="G111" i="1"/>
  <c r="I111" i="1"/>
  <c r="J111" i="1" s="1"/>
  <c r="K111" i="1"/>
  <c r="P111" i="1"/>
  <c r="Q111" i="1"/>
  <c r="U111" i="1"/>
  <c r="G113" i="1"/>
  <c r="I113" i="1"/>
  <c r="J113" i="1" s="1"/>
  <c r="K113" i="1"/>
  <c r="P113" i="1"/>
  <c r="Q113" i="1"/>
  <c r="U113" i="1"/>
  <c r="G115" i="1"/>
  <c r="I115" i="1"/>
  <c r="J115" i="1" s="1"/>
  <c r="K115" i="1"/>
  <c r="P115" i="1"/>
  <c r="Q115" i="1"/>
  <c r="U115" i="1"/>
  <c r="G116" i="1"/>
  <c r="I116" i="1"/>
  <c r="K116" i="1"/>
  <c r="P116" i="1"/>
  <c r="Q116" i="1"/>
  <c r="U116" i="1"/>
  <c r="G117" i="1"/>
  <c r="I117" i="1"/>
  <c r="J117" i="1" s="1"/>
  <c r="K117" i="1"/>
  <c r="P117" i="1"/>
  <c r="Q117" i="1"/>
  <c r="U117" i="1"/>
  <c r="G118" i="1"/>
  <c r="I118" i="1"/>
  <c r="O118" i="1" s="1"/>
  <c r="K118" i="1"/>
  <c r="P118" i="1"/>
  <c r="Q118" i="1"/>
  <c r="U118" i="1"/>
  <c r="G119" i="1"/>
  <c r="I119" i="1"/>
  <c r="J119" i="1" s="1"/>
  <c r="K119" i="1"/>
  <c r="P119" i="1"/>
  <c r="Q119" i="1"/>
  <c r="U119" i="1"/>
  <c r="G120" i="1"/>
  <c r="I120" i="1"/>
  <c r="O120" i="1" s="1"/>
  <c r="K120" i="1"/>
  <c r="P120" i="1"/>
  <c r="Q120" i="1"/>
  <c r="U120" i="1"/>
  <c r="G123" i="1"/>
  <c r="I123" i="1"/>
  <c r="O123" i="1" s="1"/>
  <c r="K123" i="1"/>
  <c r="P123" i="1"/>
  <c r="Q123" i="1"/>
  <c r="U123" i="1"/>
  <c r="G124" i="1"/>
  <c r="I124" i="1"/>
  <c r="J124" i="1" s="1"/>
  <c r="K124" i="1"/>
  <c r="P124" i="1"/>
  <c r="Q124" i="1"/>
  <c r="U124" i="1"/>
  <c r="G125" i="1"/>
  <c r="I125" i="1"/>
  <c r="O125" i="1" s="1"/>
  <c r="K125" i="1"/>
  <c r="P125" i="1"/>
  <c r="Q125" i="1"/>
  <c r="U125" i="1"/>
  <c r="G126" i="1"/>
  <c r="I126" i="1"/>
  <c r="J126" i="1" s="1"/>
  <c r="K126" i="1"/>
  <c r="P126" i="1"/>
  <c r="Q126" i="1"/>
  <c r="U126" i="1"/>
  <c r="G122" i="1"/>
  <c r="I122" i="1"/>
  <c r="J122" i="1" s="1"/>
  <c r="K122" i="1"/>
  <c r="P122" i="1"/>
  <c r="Q122" i="1"/>
  <c r="U122" i="1"/>
  <c r="G127" i="1"/>
  <c r="I127" i="1"/>
  <c r="J127" i="1" s="1"/>
  <c r="K127" i="1"/>
  <c r="P127" i="1"/>
  <c r="Q127" i="1"/>
  <c r="U127" i="1"/>
  <c r="G128" i="1"/>
  <c r="I128" i="1"/>
  <c r="J128" i="1" s="1"/>
  <c r="K128" i="1"/>
  <c r="P128" i="1"/>
  <c r="Q128" i="1"/>
  <c r="U128" i="1"/>
  <c r="G129" i="1"/>
  <c r="I129" i="1"/>
  <c r="K129" i="1"/>
  <c r="P129" i="1"/>
  <c r="Q129" i="1"/>
  <c r="U129" i="1"/>
  <c r="G130" i="1"/>
  <c r="I130" i="1"/>
  <c r="O130" i="1" s="1"/>
  <c r="K130" i="1"/>
  <c r="P130" i="1"/>
  <c r="Q130" i="1"/>
  <c r="U130" i="1"/>
  <c r="G131" i="1"/>
  <c r="I131" i="1"/>
  <c r="J131" i="1" s="1"/>
  <c r="K131" i="1"/>
  <c r="P131" i="1"/>
  <c r="Q131" i="1"/>
  <c r="U131" i="1"/>
  <c r="G132" i="1"/>
  <c r="I132" i="1"/>
  <c r="J132" i="1" s="1"/>
  <c r="K132" i="1"/>
  <c r="P132" i="1"/>
  <c r="Q132" i="1"/>
  <c r="U132" i="1"/>
  <c r="G133" i="1"/>
  <c r="I133" i="1"/>
  <c r="K133" i="1"/>
  <c r="P133" i="1"/>
  <c r="Q133" i="1"/>
  <c r="U133" i="1"/>
  <c r="G136" i="1"/>
  <c r="I136" i="1"/>
  <c r="O136" i="1" s="1"/>
  <c r="K136" i="1"/>
  <c r="P136" i="1"/>
  <c r="Q136" i="1"/>
  <c r="U136" i="1"/>
  <c r="G138" i="1"/>
  <c r="I138" i="1"/>
  <c r="K138" i="1"/>
  <c r="P138" i="1"/>
  <c r="Q138" i="1"/>
  <c r="U138" i="1"/>
  <c r="G139" i="1"/>
  <c r="I139" i="1"/>
  <c r="J139" i="1" s="1"/>
  <c r="K139" i="1"/>
  <c r="P139" i="1"/>
  <c r="Q139" i="1"/>
  <c r="U139" i="1"/>
  <c r="G141" i="1"/>
  <c r="I141" i="1"/>
  <c r="J141" i="1" s="1"/>
  <c r="K141" i="1"/>
  <c r="P141" i="1"/>
  <c r="Q141" i="1"/>
  <c r="U141" i="1"/>
  <c r="G142" i="1"/>
  <c r="I142" i="1"/>
  <c r="K142" i="1"/>
  <c r="P142" i="1"/>
  <c r="Q142" i="1"/>
  <c r="U142" i="1"/>
  <c r="G143" i="1"/>
  <c r="I143" i="1"/>
  <c r="J143" i="1" s="1"/>
  <c r="K143" i="1"/>
  <c r="P143" i="1"/>
  <c r="Q143" i="1"/>
  <c r="U143" i="1"/>
  <c r="G144" i="1"/>
  <c r="I144" i="1"/>
  <c r="O144" i="1" s="1"/>
  <c r="K144" i="1"/>
  <c r="P144" i="1"/>
  <c r="Q144" i="1"/>
  <c r="U144" i="1"/>
  <c r="G145" i="1"/>
  <c r="I145" i="1"/>
  <c r="J145" i="1" s="1"/>
  <c r="K145" i="1"/>
  <c r="P145" i="1"/>
  <c r="Q145" i="1"/>
  <c r="U145" i="1"/>
  <c r="G146" i="1"/>
  <c r="I146" i="1"/>
  <c r="K146" i="1"/>
  <c r="P146" i="1"/>
  <c r="Q146" i="1"/>
  <c r="U146" i="1"/>
  <c r="G147" i="1"/>
  <c r="I147" i="1"/>
  <c r="J147" i="1" s="1"/>
  <c r="K147" i="1"/>
  <c r="P147" i="1"/>
  <c r="Q147" i="1"/>
  <c r="U147" i="1"/>
  <c r="G148" i="1"/>
  <c r="I148" i="1"/>
  <c r="O148" i="1" s="1"/>
  <c r="K148" i="1"/>
  <c r="P148" i="1"/>
  <c r="Q148" i="1"/>
  <c r="U148" i="1"/>
  <c r="G149" i="1"/>
  <c r="I149" i="1"/>
  <c r="J149" i="1" s="1"/>
  <c r="K149" i="1"/>
  <c r="P149" i="1"/>
  <c r="Q149" i="1"/>
  <c r="U149" i="1"/>
  <c r="G151" i="1"/>
  <c r="I151" i="1"/>
  <c r="J151" i="1" s="1"/>
  <c r="K151" i="1"/>
  <c r="P151" i="1"/>
  <c r="Q151" i="1"/>
  <c r="U151" i="1"/>
  <c r="G152" i="1"/>
  <c r="I152" i="1"/>
  <c r="O152" i="1" s="1"/>
  <c r="K152" i="1"/>
  <c r="P152" i="1"/>
  <c r="Q152" i="1"/>
  <c r="U152" i="1"/>
  <c r="G153" i="1"/>
  <c r="I153" i="1"/>
  <c r="J153" i="1" s="1"/>
  <c r="K153" i="1"/>
  <c r="P153" i="1"/>
  <c r="Q153" i="1"/>
  <c r="U153" i="1"/>
  <c r="G154" i="1"/>
  <c r="I154" i="1"/>
  <c r="K154" i="1"/>
  <c r="P154" i="1"/>
  <c r="Q154" i="1"/>
  <c r="U154" i="1"/>
  <c r="G155" i="1"/>
  <c r="I155" i="1"/>
  <c r="J155" i="1" s="1"/>
  <c r="K155" i="1"/>
  <c r="P155" i="1"/>
  <c r="Q155" i="1"/>
  <c r="U155" i="1"/>
  <c r="G156" i="1"/>
  <c r="I156" i="1"/>
  <c r="O156" i="1" s="1"/>
  <c r="K156" i="1"/>
  <c r="P156" i="1"/>
  <c r="Q156" i="1"/>
  <c r="U156" i="1"/>
  <c r="G157" i="1"/>
  <c r="I157" i="1"/>
  <c r="K157" i="1"/>
  <c r="P157" i="1"/>
  <c r="Q157" i="1"/>
  <c r="U157" i="1"/>
  <c r="G158" i="1"/>
  <c r="I158" i="1"/>
  <c r="K158" i="1"/>
  <c r="P158" i="1"/>
  <c r="Q158" i="1"/>
  <c r="U158" i="1"/>
  <c r="P749" i="1"/>
  <c r="Q749" i="1"/>
  <c r="U749" i="1"/>
  <c r="O750" i="1"/>
  <c r="P750" i="1"/>
  <c r="Q750" i="1"/>
  <c r="U750" i="1"/>
  <c r="J751" i="1"/>
  <c r="P751" i="1"/>
  <c r="Q751" i="1"/>
  <c r="U751" i="1"/>
  <c r="G159" i="1"/>
  <c r="I159" i="1"/>
  <c r="K159" i="1"/>
  <c r="P159" i="1"/>
  <c r="Q159" i="1"/>
  <c r="U159" i="1"/>
  <c r="G160" i="1"/>
  <c r="I160" i="1"/>
  <c r="K160" i="1"/>
  <c r="P160" i="1"/>
  <c r="Q160" i="1"/>
  <c r="U160" i="1"/>
  <c r="G161" i="1"/>
  <c r="I161" i="1"/>
  <c r="O161" i="1" s="1"/>
  <c r="K161" i="1"/>
  <c r="P161" i="1"/>
  <c r="Q161" i="1"/>
  <c r="U161" i="1"/>
  <c r="G162" i="1"/>
  <c r="I162" i="1"/>
  <c r="J162" i="1" s="1"/>
  <c r="K162" i="1"/>
  <c r="P162" i="1"/>
  <c r="Q162" i="1"/>
  <c r="U162" i="1"/>
  <c r="G163" i="1"/>
  <c r="I163" i="1"/>
  <c r="K163" i="1"/>
  <c r="P163" i="1"/>
  <c r="Q163" i="1"/>
  <c r="U163" i="1"/>
  <c r="G164" i="1"/>
  <c r="I164" i="1"/>
  <c r="K164" i="1"/>
  <c r="P164" i="1"/>
  <c r="Q164" i="1"/>
  <c r="U164" i="1"/>
  <c r="G165" i="1"/>
  <c r="I165" i="1"/>
  <c r="K165" i="1"/>
  <c r="P165" i="1"/>
  <c r="Q165" i="1"/>
  <c r="U165" i="1"/>
  <c r="G166" i="1"/>
  <c r="I166" i="1"/>
  <c r="O166" i="1" s="1"/>
  <c r="K166" i="1"/>
  <c r="P166" i="1"/>
  <c r="Q166" i="1"/>
  <c r="U166" i="1"/>
  <c r="G167" i="1"/>
  <c r="I167" i="1"/>
  <c r="K167" i="1"/>
  <c r="P167" i="1"/>
  <c r="Q167" i="1"/>
  <c r="U167" i="1"/>
  <c r="G168" i="1"/>
  <c r="I168" i="1"/>
  <c r="O168" i="1" s="1"/>
  <c r="K168" i="1"/>
  <c r="P168" i="1"/>
  <c r="Q168" i="1"/>
  <c r="U168" i="1"/>
  <c r="G169" i="1"/>
  <c r="I169" i="1"/>
  <c r="K169" i="1"/>
  <c r="P169" i="1"/>
  <c r="Q169" i="1"/>
  <c r="U169" i="1"/>
  <c r="G170" i="1"/>
  <c r="I170" i="1"/>
  <c r="O170" i="1" s="1"/>
  <c r="K170" i="1"/>
  <c r="P170" i="1"/>
  <c r="Q170" i="1"/>
  <c r="U170" i="1"/>
  <c r="G171" i="1"/>
  <c r="I171" i="1"/>
  <c r="K171" i="1"/>
  <c r="P171" i="1"/>
  <c r="Q171" i="1"/>
  <c r="U171" i="1"/>
  <c r="G172" i="1"/>
  <c r="I172" i="1"/>
  <c r="O172" i="1" s="1"/>
  <c r="K172" i="1"/>
  <c r="P172" i="1"/>
  <c r="Q172" i="1"/>
  <c r="U172" i="1"/>
  <c r="G173" i="1"/>
  <c r="I173" i="1"/>
  <c r="K173" i="1"/>
  <c r="P173" i="1"/>
  <c r="Q173" i="1"/>
  <c r="U173" i="1"/>
  <c r="G174" i="1"/>
  <c r="I174" i="1"/>
  <c r="O174" i="1" s="1"/>
  <c r="K174" i="1"/>
  <c r="P174" i="1"/>
  <c r="Q174" i="1"/>
  <c r="U174" i="1"/>
  <c r="G178" i="1"/>
  <c r="I178" i="1"/>
  <c r="O178" i="1" s="1"/>
  <c r="K178" i="1"/>
  <c r="P178" i="1"/>
  <c r="Q178" i="1"/>
  <c r="U178" i="1"/>
  <c r="G180" i="1"/>
  <c r="I180" i="1"/>
  <c r="O180" i="1" s="1"/>
  <c r="K180" i="1"/>
  <c r="P180" i="1"/>
  <c r="Q180" i="1"/>
  <c r="U180" i="1"/>
  <c r="G181" i="1"/>
  <c r="I181" i="1"/>
  <c r="O181" i="1" s="1"/>
  <c r="K181" i="1"/>
  <c r="P181" i="1"/>
  <c r="Q181" i="1"/>
  <c r="U181" i="1"/>
  <c r="G183" i="1"/>
  <c r="I183" i="1"/>
  <c r="K183" i="1"/>
  <c r="P183" i="1"/>
  <c r="Q183" i="1"/>
  <c r="U183" i="1"/>
  <c r="G184" i="1"/>
  <c r="I184" i="1"/>
  <c r="O184" i="1" s="1"/>
  <c r="K184" i="1"/>
  <c r="P184" i="1"/>
  <c r="Q184" i="1"/>
  <c r="U184" i="1"/>
  <c r="G185" i="1"/>
  <c r="I185" i="1"/>
  <c r="J185" i="1" s="1"/>
  <c r="K185" i="1"/>
  <c r="P185" i="1"/>
  <c r="Q185" i="1"/>
  <c r="U185" i="1"/>
  <c r="G187" i="1"/>
  <c r="I187" i="1"/>
  <c r="J187" i="1" s="1"/>
  <c r="K187" i="1"/>
  <c r="P187" i="1"/>
  <c r="Q187" i="1"/>
  <c r="U187" i="1"/>
  <c r="G188" i="1"/>
  <c r="I188" i="1"/>
  <c r="K188" i="1"/>
  <c r="P188" i="1"/>
  <c r="Q188" i="1"/>
  <c r="U188" i="1"/>
  <c r="G189" i="1"/>
  <c r="I189" i="1"/>
  <c r="O189" i="1" s="1"/>
  <c r="K189" i="1"/>
  <c r="P189" i="1"/>
  <c r="Q189" i="1"/>
  <c r="U189" i="1"/>
  <c r="G191" i="1"/>
  <c r="I191" i="1"/>
  <c r="O191" i="1" s="1"/>
  <c r="K191" i="1"/>
  <c r="P191" i="1"/>
  <c r="Q191" i="1"/>
  <c r="U191" i="1"/>
  <c r="G193" i="1"/>
  <c r="I193" i="1"/>
  <c r="J193" i="1" s="1"/>
  <c r="K193" i="1"/>
  <c r="P193" i="1"/>
  <c r="Q193" i="1"/>
  <c r="U193" i="1"/>
  <c r="G194" i="1"/>
  <c r="I194" i="1"/>
  <c r="K194" i="1"/>
  <c r="P194" i="1"/>
  <c r="Q194" i="1"/>
  <c r="U194" i="1"/>
  <c r="G195" i="1"/>
  <c r="I195" i="1"/>
  <c r="K195" i="1"/>
  <c r="P195" i="1"/>
  <c r="Q195" i="1"/>
  <c r="U195" i="1"/>
  <c r="G196" i="1"/>
  <c r="I196" i="1"/>
  <c r="O196" i="1" s="1"/>
  <c r="K196" i="1"/>
  <c r="P196" i="1"/>
  <c r="Q196" i="1"/>
  <c r="U196" i="1"/>
  <c r="G197" i="1"/>
  <c r="I197" i="1"/>
  <c r="K197" i="1"/>
  <c r="P197" i="1"/>
  <c r="Q197" i="1"/>
  <c r="U197" i="1"/>
  <c r="G198" i="1"/>
  <c r="I198" i="1"/>
  <c r="K198" i="1"/>
  <c r="P198" i="1"/>
  <c r="Q198" i="1"/>
  <c r="U198" i="1"/>
  <c r="G199" i="1"/>
  <c r="I199" i="1"/>
  <c r="J199" i="1" s="1"/>
  <c r="K199" i="1"/>
  <c r="P199" i="1"/>
  <c r="Q199" i="1"/>
  <c r="U199" i="1"/>
  <c r="G200" i="1"/>
  <c r="I200" i="1"/>
  <c r="J200" i="1" s="1"/>
  <c r="K200" i="1"/>
  <c r="P200" i="1"/>
  <c r="Q200" i="1"/>
  <c r="U200" i="1"/>
  <c r="G202" i="1"/>
  <c r="I202" i="1"/>
  <c r="J202" i="1" s="1"/>
  <c r="K202" i="1"/>
  <c r="P202" i="1"/>
  <c r="Q202" i="1"/>
  <c r="U202" i="1"/>
  <c r="G203" i="1"/>
  <c r="I203" i="1"/>
  <c r="O203" i="1" s="1"/>
  <c r="K203" i="1"/>
  <c r="P203" i="1"/>
  <c r="Q203" i="1"/>
  <c r="U203" i="1"/>
  <c r="G205" i="1"/>
  <c r="I205" i="1"/>
  <c r="O205" i="1" s="1"/>
  <c r="K205" i="1"/>
  <c r="P205" i="1"/>
  <c r="Q205" i="1"/>
  <c r="U205" i="1"/>
  <c r="G206" i="1"/>
  <c r="I206" i="1"/>
  <c r="O206" i="1" s="1"/>
  <c r="K206" i="1"/>
  <c r="P206" i="1"/>
  <c r="Q206" i="1"/>
  <c r="U206" i="1"/>
  <c r="G207" i="1"/>
  <c r="I207" i="1"/>
  <c r="J207" i="1" s="1"/>
  <c r="K207" i="1"/>
  <c r="P207" i="1"/>
  <c r="Q207" i="1"/>
  <c r="U207" i="1"/>
  <c r="G208" i="1"/>
  <c r="I208" i="1"/>
  <c r="O208" i="1" s="1"/>
  <c r="K208" i="1"/>
  <c r="P208" i="1"/>
  <c r="Q208" i="1"/>
  <c r="U208" i="1"/>
  <c r="G209" i="1"/>
  <c r="I209" i="1"/>
  <c r="K209" i="1"/>
  <c r="P209" i="1"/>
  <c r="Q209" i="1"/>
  <c r="U209" i="1"/>
  <c r="G210" i="1"/>
  <c r="I210" i="1"/>
  <c r="K210" i="1"/>
  <c r="P210" i="1"/>
  <c r="Q210" i="1"/>
  <c r="U210" i="1"/>
  <c r="G211" i="1"/>
  <c r="I211" i="1"/>
  <c r="J211" i="1" s="1"/>
  <c r="K211" i="1"/>
  <c r="P211" i="1"/>
  <c r="Q211" i="1"/>
  <c r="U211" i="1"/>
  <c r="G213" i="1"/>
  <c r="I213" i="1"/>
  <c r="O213" i="1" s="1"/>
  <c r="K213" i="1"/>
  <c r="P213" i="1"/>
  <c r="Q213" i="1"/>
  <c r="U213" i="1"/>
  <c r="G215" i="1"/>
  <c r="I215" i="1"/>
  <c r="K215" i="1"/>
  <c r="P215" i="1"/>
  <c r="Q215" i="1"/>
  <c r="U215" i="1"/>
  <c r="G216" i="1"/>
  <c r="I216" i="1"/>
  <c r="K216" i="1"/>
  <c r="P216" i="1"/>
  <c r="Q216" i="1"/>
  <c r="U216" i="1"/>
  <c r="G217" i="1"/>
  <c r="I217" i="1"/>
  <c r="K217" i="1"/>
  <c r="P217" i="1"/>
  <c r="Q217" i="1"/>
  <c r="U217" i="1"/>
  <c r="G218" i="1"/>
  <c r="I218" i="1"/>
  <c r="O218" i="1" s="1"/>
  <c r="K218" i="1"/>
  <c r="P218" i="1"/>
  <c r="Q218" i="1"/>
  <c r="U218" i="1"/>
  <c r="G219" i="1"/>
  <c r="I219" i="1"/>
  <c r="O219" i="1" s="1"/>
  <c r="K219" i="1"/>
  <c r="P219" i="1"/>
  <c r="Q219" i="1"/>
  <c r="U219" i="1"/>
  <c r="G220" i="1"/>
  <c r="I220" i="1"/>
  <c r="K220" i="1"/>
  <c r="P220" i="1"/>
  <c r="Q220" i="1"/>
  <c r="U220" i="1"/>
  <c r="G221" i="1"/>
  <c r="I221" i="1"/>
  <c r="J221" i="1" s="1"/>
  <c r="K221" i="1"/>
  <c r="P221" i="1"/>
  <c r="Q221" i="1"/>
  <c r="U221" i="1"/>
  <c r="G223" i="1"/>
  <c r="I223" i="1"/>
  <c r="J223" i="1" s="1"/>
  <c r="K223" i="1"/>
  <c r="P223" i="1"/>
  <c r="Q223" i="1"/>
  <c r="U223" i="1"/>
  <c r="G224" i="1"/>
  <c r="I224" i="1"/>
  <c r="J224" i="1" s="1"/>
  <c r="K224" i="1"/>
  <c r="P224" i="1"/>
  <c r="Q224" i="1"/>
  <c r="U224" i="1"/>
  <c r="G227" i="1"/>
  <c r="I227" i="1"/>
  <c r="K227" i="1"/>
  <c r="P227" i="1"/>
  <c r="Q227" i="1"/>
  <c r="U227" i="1"/>
  <c r="G228" i="1"/>
  <c r="I228" i="1"/>
  <c r="J228" i="1" s="1"/>
  <c r="K228" i="1"/>
  <c r="P228" i="1"/>
  <c r="Q228" i="1"/>
  <c r="U228" i="1"/>
  <c r="G229" i="1"/>
  <c r="I229" i="1"/>
  <c r="J229" i="1" s="1"/>
  <c r="K229" i="1"/>
  <c r="P229" i="1"/>
  <c r="Q229" i="1"/>
  <c r="U229" i="1"/>
  <c r="G230" i="1"/>
  <c r="I230" i="1"/>
  <c r="J230" i="1" s="1"/>
  <c r="K230" i="1"/>
  <c r="P230" i="1"/>
  <c r="Q230" i="1"/>
  <c r="U230" i="1"/>
  <c r="G231" i="1"/>
  <c r="I231" i="1"/>
  <c r="K231" i="1"/>
  <c r="P231" i="1"/>
  <c r="Q231" i="1"/>
  <c r="U231" i="1"/>
  <c r="G233" i="1"/>
  <c r="I233" i="1"/>
  <c r="O233" i="1" s="1"/>
  <c r="K233" i="1"/>
  <c r="P233" i="1"/>
  <c r="Q233" i="1"/>
  <c r="U233" i="1"/>
  <c r="G234" i="1"/>
  <c r="I234" i="1"/>
  <c r="J234" i="1" s="1"/>
  <c r="K234" i="1"/>
  <c r="P234" i="1"/>
  <c r="Q234" i="1"/>
  <c r="U234" i="1"/>
  <c r="G235" i="1"/>
  <c r="I235" i="1"/>
  <c r="O235" i="1" s="1"/>
  <c r="K235" i="1"/>
  <c r="P235" i="1"/>
  <c r="Q235" i="1"/>
  <c r="U235" i="1"/>
  <c r="G236" i="1"/>
  <c r="I236" i="1"/>
  <c r="J236" i="1" s="1"/>
  <c r="K236" i="1"/>
  <c r="P236" i="1"/>
  <c r="Q236" i="1"/>
  <c r="U236" i="1"/>
  <c r="G237" i="1"/>
  <c r="I237" i="1"/>
  <c r="K237" i="1"/>
  <c r="P237" i="1"/>
  <c r="Q237" i="1"/>
  <c r="U237" i="1"/>
  <c r="G238" i="1"/>
  <c r="I238" i="1"/>
  <c r="J238" i="1" s="1"/>
  <c r="K238" i="1"/>
  <c r="P238" i="1"/>
  <c r="Q238" i="1"/>
  <c r="U238" i="1"/>
  <c r="G239" i="1"/>
  <c r="I239" i="1"/>
  <c r="O239" i="1" s="1"/>
  <c r="K239" i="1"/>
  <c r="P239" i="1"/>
  <c r="Q239" i="1"/>
  <c r="U239" i="1"/>
  <c r="G240" i="1"/>
  <c r="I240" i="1"/>
  <c r="J240" i="1" s="1"/>
  <c r="K240" i="1"/>
  <c r="P240" i="1"/>
  <c r="Q240" i="1"/>
  <c r="U240" i="1"/>
  <c r="G242" i="1"/>
  <c r="I242" i="1"/>
  <c r="K242" i="1"/>
  <c r="P242" i="1"/>
  <c r="Q242" i="1"/>
  <c r="U242" i="1"/>
  <c r="G243" i="1"/>
  <c r="I243" i="1"/>
  <c r="O243" i="1" s="1"/>
  <c r="K243" i="1"/>
  <c r="P243" i="1"/>
  <c r="Q243" i="1"/>
  <c r="U243" i="1"/>
  <c r="G245" i="1"/>
  <c r="I245" i="1"/>
  <c r="K245" i="1"/>
  <c r="P245" i="1"/>
  <c r="Q245" i="1"/>
  <c r="U245" i="1"/>
  <c r="G246" i="1"/>
  <c r="I246" i="1"/>
  <c r="K246" i="1"/>
  <c r="P246" i="1"/>
  <c r="Q246" i="1"/>
  <c r="U246" i="1"/>
  <c r="G247" i="1"/>
  <c r="I247" i="1"/>
  <c r="J247" i="1" s="1"/>
  <c r="K247" i="1"/>
  <c r="P247" i="1"/>
  <c r="Q247" i="1"/>
  <c r="U247" i="1"/>
  <c r="G249" i="1"/>
  <c r="I249" i="1"/>
  <c r="O249" i="1" s="1"/>
  <c r="K249" i="1"/>
  <c r="P249" i="1"/>
  <c r="Q249" i="1"/>
  <c r="U249" i="1"/>
  <c r="G250" i="1"/>
  <c r="I250" i="1"/>
  <c r="K250" i="1"/>
  <c r="P250" i="1"/>
  <c r="Q250" i="1"/>
  <c r="U250" i="1"/>
  <c r="G251" i="1"/>
  <c r="I251" i="1"/>
  <c r="O251" i="1" s="1"/>
  <c r="K251" i="1"/>
  <c r="P251" i="1"/>
  <c r="Q251" i="1"/>
  <c r="U251" i="1"/>
  <c r="G252" i="1"/>
  <c r="I252" i="1"/>
  <c r="O252" i="1" s="1"/>
  <c r="K252" i="1"/>
  <c r="P252" i="1"/>
  <c r="Q252" i="1"/>
  <c r="U252" i="1"/>
  <c r="G254" i="1"/>
  <c r="I254" i="1"/>
  <c r="J254" i="1" s="1"/>
  <c r="K254" i="1"/>
  <c r="P254" i="1"/>
  <c r="Q254" i="1"/>
  <c r="U254" i="1"/>
  <c r="G256" i="1"/>
  <c r="I256" i="1"/>
  <c r="J256" i="1" s="1"/>
  <c r="K256" i="1"/>
  <c r="P256" i="1"/>
  <c r="Q256" i="1"/>
  <c r="U256" i="1"/>
  <c r="G258" i="1"/>
  <c r="I258" i="1"/>
  <c r="J258" i="1" s="1"/>
  <c r="K258" i="1"/>
  <c r="P258" i="1"/>
  <c r="Q258" i="1"/>
  <c r="U258" i="1"/>
  <c r="G259" i="1"/>
  <c r="I259" i="1"/>
  <c r="J259" i="1" s="1"/>
  <c r="K259" i="1"/>
  <c r="P259" i="1"/>
  <c r="Q259" i="1"/>
  <c r="U259" i="1"/>
  <c r="G260" i="1"/>
  <c r="I260" i="1"/>
  <c r="J260" i="1" s="1"/>
  <c r="K260" i="1"/>
  <c r="P260" i="1"/>
  <c r="Q260" i="1"/>
  <c r="U260" i="1"/>
  <c r="G262" i="1"/>
  <c r="I262" i="1"/>
  <c r="J262" i="1" s="1"/>
  <c r="K262" i="1"/>
  <c r="P262" i="1"/>
  <c r="Q262" i="1"/>
  <c r="U262" i="1"/>
  <c r="G264" i="1"/>
  <c r="I264" i="1"/>
  <c r="J264" i="1" s="1"/>
  <c r="K264" i="1"/>
  <c r="P264" i="1"/>
  <c r="Q264" i="1"/>
  <c r="U264" i="1"/>
  <c r="G265" i="1"/>
  <c r="I265" i="1"/>
  <c r="J265" i="1" s="1"/>
  <c r="K265" i="1"/>
  <c r="P265" i="1"/>
  <c r="Q265" i="1"/>
  <c r="U265" i="1"/>
  <c r="G266" i="1"/>
  <c r="I266" i="1"/>
  <c r="J266" i="1" s="1"/>
  <c r="K266" i="1"/>
  <c r="P266" i="1"/>
  <c r="Q266" i="1"/>
  <c r="U266" i="1"/>
  <c r="G267" i="1"/>
  <c r="I267" i="1"/>
  <c r="J267" i="1" s="1"/>
  <c r="K267" i="1"/>
  <c r="P267" i="1"/>
  <c r="Q267" i="1"/>
  <c r="U267" i="1"/>
  <c r="G269" i="1"/>
  <c r="I269" i="1"/>
  <c r="J269" i="1" s="1"/>
  <c r="K269" i="1"/>
  <c r="P269" i="1"/>
  <c r="Q269" i="1"/>
  <c r="U269" i="1"/>
  <c r="G270" i="1"/>
  <c r="I270" i="1"/>
  <c r="J270" i="1" s="1"/>
  <c r="K270" i="1"/>
  <c r="P270" i="1"/>
  <c r="Q270" i="1"/>
  <c r="U270" i="1"/>
  <c r="G271" i="1"/>
  <c r="I271" i="1"/>
  <c r="J271" i="1" s="1"/>
  <c r="K271" i="1"/>
  <c r="P271" i="1"/>
  <c r="Q271" i="1"/>
  <c r="U271" i="1"/>
  <c r="G272" i="1"/>
  <c r="I272" i="1"/>
  <c r="J272" i="1" s="1"/>
  <c r="K272" i="1"/>
  <c r="P272" i="1"/>
  <c r="Q272" i="1"/>
  <c r="U272" i="1"/>
  <c r="G273" i="1"/>
  <c r="I273" i="1"/>
  <c r="J273" i="1" s="1"/>
  <c r="K273" i="1"/>
  <c r="P273" i="1"/>
  <c r="Q273" i="1"/>
  <c r="U273" i="1"/>
  <c r="G274" i="1"/>
  <c r="I274" i="1"/>
  <c r="J274" i="1" s="1"/>
  <c r="K274" i="1"/>
  <c r="P274" i="1"/>
  <c r="Q274" i="1"/>
  <c r="U274" i="1"/>
  <c r="G275" i="1"/>
  <c r="I275" i="1"/>
  <c r="J275" i="1" s="1"/>
  <c r="K275" i="1"/>
  <c r="P275" i="1"/>
  <c r="Q275" i="1"/>
  <c r="U275" i="1"/>
  <c r="G276" i="1"/>
  <c r="I276" i="1"/>
  <c r="J276" i="1" s="1"/>
  <c r="K276" i="1"/>
  <c r="P276" i="1"/>
  <c r="Q276" i="1"/>
  <c r="U276" i="1"/>
  <c r="G277" i="1"/>
  <c r="I277" i="1"/>
  <c r="J277" i="1" s="1"/>
  <c r="K277" i="1"/>
  <c r="P277" i="1"/>
  <c r="Q277" i="1"/>
  <c r="U277" i="1"/>
  <c r="G278" i="1"/>
  <c r="I278" i="1"/>
  <c r="J278" i="1" s="1"/>
  <c r="K278" i="1"/>
  <c r="P278" i="1"/>
  <c r="Q278" i="1"/>
  <c r="U278" i="1"/>
  <c r="J753" i="1"/>
  <c r="P753" i="1"/>
  <c r="Q753" i="1"/>
  <c r="U753" i="1"/>
  <c r="J754" i="1"/>
  <c r="P754" i="1"/>
  <c r="Q754" i="1"/>
  <c r="U754" i="1"/>
  <c r="J755" i="1"/>
  <c r="P755" i="1"/>
  <c r="Q755" i="1"/>
  <c r="U755" i="1"/>
  <c r="G279" i="1"/>
  <c r="I279" i="1"/>
  <c r="J279" i="1" s="1"/>
  <c r="K279" i="1"/>
  <c r="P279" i="1"/>
  <c r="Q279" i="1"/>
  <c r="U279" i="1"/>
  <c r="G280" i="1"/>
  <c r="I280" i="1"/>
  <c r="J280" i="1" s="1"/>
  <c r="K280" i="1"/>
  <c r="P280" i="1"/>
  <c r="Q280" i="1"/>
  <c r="U280" i="1"/>
  <c r="G281" i="1"/>
  <c r="I281" i="1"/>
  <c r="J281" i="1" s="1"/>
  <c r="K281" i="1"/>
  <c r="P281" i="1"/>
  <c r="Q281" i="1"/>
  <c r="U281" i="1"/>
  <c r="G282" i="1"/>
  <c r="I282" i="1"/>
  <c r="J282" i="1" s="1"/>
  <c r="K282" i="1"/>
  <c r="P282" i="1"/>
  <c r="Q282" i="1"/>
  <c r="U282" i="1"/>
  <c r="G284" i="1"/>
  <c r="I284" i="1"/>
  <c r="K284" i="1"/>
  <c r="P284" i="1"/>
  <c r="Q284" i="1"/>
  <c r="U284" i="1"/>
  <c r="G293" i="1"/>
  <c r="I293" i="1"/>
  <c r="J293" i="1" s="1"/>
  <c r="K293" i="1"/>
  <c r="P293" i="1"/>
  <c r="Q293" i="1"/>
  <c r="U293" i="1"/>
  <c r="G294" i="1"/>
  <c r="I294" i="1"/>
  <c r="K294" i="1"/>
  <c r="P294" i="1"/>
  <c r="Q294" i="1"/>
  <c r="U294" i="1"/>
  <c r="G295" i="1"/>
  <c r="I295" i="1"/>
  <c r="J295" i="1" s="1"/>
  <c r="K295" i="1"/>
  <c r="P295" i="1"/>
  <c r="Q295" i="1"/>
  <c r="U295" i="1"/>
  <c r="G286" i="1"/>
  <c r="I286" i="1"/>
  <c r="K286" i="1"/>
  <c r="P286" i="1"/>
  <c r="Q286" i="1"/>
  <c r="U286" i="1"/>
  <c r="G290" i="1"/>
  <c r="I290" i="1"/>
  <c r="J290" i="1" s="1"/>
  <c r="K290" i="1"/>
  <c r="P290" i="1"/>
  <c r="Q290" i="1"/>
  <c r="U290" i="1"/>
  <c r="G292" i="1"/>
  <c r="I292" i="1"/>
  <c r="K292" i="1"/>
  <c r="P292" i="1"/>
  <c r="Q292" i="1"/>
  <c r="U292" i="1"/>
  <c r="G296" i="1"/>
  <c r="I296" i="1"/>
  <c r="K296" i="1"/>
  <c r="P296" i="1"/>
  <c r="Q296" i="1"/>
  <c r="U296" i="1"/>
  <c r="G297" i="1"/>
  <c r="I297" i="1"/>
  <c r="J297" i="1" s="1"/>
  <c r="K297" i="1"/>
  <c r="P297" i="1"/>
  <c r="Q297" i="1"/>
  <c r="U297" i="1"/>
  <c r="G298" i="1"/>
  <c r="I298" i="1"/>
  <c r="J298" i="1" s="1"/>
  <c r="K298" i="1"/>
  <c r="P298" i="1"/>
  <c r="Q298" i="1"/>
  <c r="U298" i="1"/>
  <c r="G299" i="1"/>
  <c r="I299" i="1"/>
  <c r="J299" i="1" s="1"/>
  <c r="K299" i="1"/>
  <c r="P299" i="1"/>
  <c r="Q299" i="1"/>
  <c r="U299" i="1"/>
  <c r="G300" i="1"/>
  <c r="I300" i="1"/>
  <c r="J300" i="1" s="1"/>
  <c r="K300" i="1"/>
  <c r="P300" i="1"/>
  <c r="Q300" i="1"/>
  <c r="U300" i="1"/>
  <c r="G301" i="1"/>
  <c r="I301" i="1"/>
  <c r="J301" i="1" s="1"/>
  <c r="K301" i="1"/>
  <c r="P301" i="1"/>
  <c r="Q301" i="1"/>
  <c r="U301" i="1"/>
  <c r="G302" i="1"/>
  <c r="I302" i="1"/>
  <c r="J302" i="1" s="1"/>
  <c r="K302" i="1"/>
  <c r="P302" i="1"/>
  <c r="Q302" i="1"/>
  <c r="U302" i="1"/>
  <c r="G303" i="1"/>
  <c r="I303" i="1"/>
  <c r="J303" i="1" s="1"/>
  <c r="K303" i="1"/>
  <c r="P303" i="1"/>
  <c r="Q303" i="1"/>
  <c r="U303" i="1"/>
  <c r="G304" i="1"/>
  <c r="I304" i="1"/>
  <c r="J304" i="1" s="1"/>
  <c r="K304" i="1"/>
  <c r="P304" i="1"/>
  <c r="Q304" i="1"/>
  <c r="U304" i="1"/>
  <c r="G305" i="1"/>
  <c r="I305" i="1"/>
  <c r="J305" i="1" s="1"/>
  <c r="K305" i="1"/>
  <c r="P305" i="1"/>
  <c r="Q305" i="1"/>
  <c r="U305" i="1"/>
  <c r="G307" i="1"/>
  <c r="I307" i="1"/>
  <c r="J307" i="1" s="1"/>
  <c r="K307" i="1"/>
  <c r="P307" i="1"/>
  <c r="Q307" i="1"/>
  <c r="U307" i="1"/>
  <c r="G308" i="1"/>
  <c r="I308" i="1"/>
  <c r="J308" i="1" s="1"/>
  <c r="K308" i="1"/>
  <c r="P308" i="1"/>
  <c r="Q308" i="1"/>
  <c r="U308" i="1"/>
  <c r="G309" i="1"/>
  <c r="I309" i="1"/>
  <c r="J309" i="1" s="1"/>
  <c r="K309" i="1"/>
  <c r="P309" i="1"/>
  <c r="Q309" i="1"/>
  <c r="U309" i="1"/>
  <c r="G306" i="1"/>
  <c r="I306" i="1"/>
  <c r="J306" i="1" s="1"/>
  <c r="K306" i="1"/>
  <c r="P306" i="1"/>
  <c r="Q306" i="1"/>
  <c r="U306" i="1"/>
  <c r="G310" i="1"/>
  <c r="I310" i="1"/>
  <c r="J310" i="1" s="1"/>
  <c r="K310" i="1"/>
  <c r="P310" i="1"/>
  <c r="Q310" i="1"/>
  <c r="U310" i="1"/>
  <c r="G311" i="1"/>
  <c r="I311" i="1"/>
  <c r="J311" i="1" s="1"/>
  <c r="K311" i="1"/>
  <c r="P311" i="1"/>
  <c r="Q311" i="1"/>
  <c r="U311" i="1"/>
  <c r="G312" i="1"/>
  <c r="I312" i="1"/>
  <c r="J312" i="1" s="1"/>
  <c r="K312" i="1"/>
  <c r="P312" i="1"/>
  <c r="Q312" i="1"/>
  <c r="U312" i="1"/>
  <c r="G314" i="1"/>
  <c r="I314" i="1"/>
  <c r="J314" i="1" s="1"/>
  <c r="K314" i="1"/>
  <c r="P314" i="1"/>
  <c r="Q314" i="1"/>
  <c r="U314" i="1"/>
  <c r="G313" i="1"/>
  <c r="I313" i="1"/>
  <c r="O313" i="1" s="1"/>
  <c r="K313" i="1"/>
  <c r="P313" i="1"/>
  <c r="Q313" i="1"/>
  <c r="U313" i="1"/>
  <c r="G315" i="1"/>
  <c r="I315" i="1"/>
  <c r="O315" i="1" s="1"/>
  <c r="K315" i="1"/>
  <c r="P315" i="1"/>
  <c r="Q315" i="1"/>
  <c r="U315" i="1"/>
  <c r="G316" i="1"/>
  <c r="I316" i="1"/>
  <c r="O316" i="1" s="1"/>
  <c r="K316" i="1"/>
  <c r="P316" i="1"/>
  <c r="Q316" i="1"/>
  <c r="U316" i="1"/>
  <c r="G317" i="1"/>
  <c r="I317" i="1"/>
  <c r="O317" i="1" s="1"/>
  <c r="K317" i="1"/>
  <c r="P317" i="1"/>
  <c r="Q317" i="1"/>
  <c r="U317" i="1"/>
  <c r="G318" i="1"/>
  <c r="I318" i="1"/>
  <c r="O318" i="1" s="1"/>
  <c r="K318" i="1"/>
  <c r="P318" i="1"/>
  <c r="Q318" i="1"/>
  <c r="U318" i="1"/>
  <c r="G319" i="1"/>
  <c r="I319" i="1"/>
  <c r="O319" i="1" s="1"/>
  <c r="K319" i="1"/>
  <c r="P319" i="1"/>
  <c r="Q319" i="1"/>
  <c r="U319" i="1"/>
  <c r="G320" i="1"/>
  <c r="I320" i="1"/>
  <c r="O320" i="1" s="1"/>
  <c r="K320" i="1"/>
  <c r="P320" i="1"/>
  <c r="Q320" i="1"/>
  <c r="U320" i="1"/>
  <c r="G321" i="1"/>
  <c r="I321" i="1"/>
  <c r="O321" i="1" s="1"/>
  <c r="K321" i="1"/>
  <c r="P321" i="1"/>
  <c r="Q321" i="1"/>
  <c r="U321" i="1"/>
  <c r="G323" i="1"/>
  <c r="I323" i="1"/>
  <c r="O323" i="1" s="1"/>
  <c r="K323" i="1"/>
  <c r="P323" i="1"/>
  <c r="Q323" i="1"/>
  <c r="U323" i="1"/>
  <c r="G322" i="1"/>
  <c r="I322" i="1"/>
  <c r="O322" i="1" s="1"/>
  <c r="K322" i="1"/>
  <c r="P322" i="1"/>
  <c r="Q322" i="1"/>
  <c r="U322" i="1"/>
  <c r="G324" i="1"/>
  <c r="I324" i="1"/>
  <c r="O324" i="1" s="1"/>
  <c r="K324" i="1"/>
  <c r="P324" i="1"/>
  <c r="Q324" i="1"/>
  <c r="U324" i="1"/>
  <c r="G325" i="1"/>
  <c r="I325" i="1"/>
  <c r="O325" i="1" s="1"/>
  <c r="K325" i="1"/>
  <c r="P325" i="1"/>
  <c r="Q325" i="1"/>
  <c r="U325" i="1"/>
  <c r="G326" i="1"/>
  <c r="I326" i="1"/>
  <c r="O326" i="1" s="1"/>
  <c r="K326" i="1"/>
  <c r="P326" i="1"/>
  <c r="Q326" i="1"/>
  <c r="U326" i="1"/>
  <c r="G327" i="1"/>
  <c r="I327" i="1"/>
  <c r="K327" i="1"/>
  <c r="P327" i="1"/>
  <c r="Q327" i="1"/>
  <c r="U327" i="1"/>
  <c r="G328" i="1"/>
  <c r="I328" i="1"/>
  <c r="K328" i="1"/>
  <c r="P328" i="1"/>
  <c r="Q328" i="1"/>
  <c r="U328" i="1"/>
  <c r="G329" i="1"/>
  <c r="I329" i="1"/>
  <c r="K329" i="1"/>
  <c r="P329" i="1"/>
  <c r="Q329" i="1"/>
  <c r="U329" i="1"/>
  <c r="G330" i="1"/>
  <c r="I330" i="1"/>
  <c r="K330" i="1"/>
  <c r="P330" i="1"/>
  <c r="Q330" i="1"/>
  <c r="U330" i="1"/>
  <c r="G331" i="1"/>
  <c r="I331" i="1"/>
  <c r="K331" i="1"/>
  <c r="P331" i="1"/>
  <c r="Q331" i="1"/>
  <c r="U331" i="1"/>
  <c r="G332" i="1"/>
  <c r="I332" i="1"/>
  <c r="K332" i="1"/>
  <c r="P332" i="1"/>
  <c r="Q332" i="1"/>
  <c r="U332" i="1"/>
  <c r="G333" i="1"/>
  <c r="I333" i="1"/>
  <c r="K333" i="1"/>
  <c r="P333" i="1"/>
  <c r="Q333" i="1"/>
  <c r="U333" i="1"/>
  <c r="G334" i="1"/>
  <c r="I334" i="1"/>
  <c r="K334" i="1"/>
  <c r="P334" i="1"/>
  <c r="Q334" i="1"/>
  <c r="U334" i="1"/>
  <c r="G335" i="1"/>
  <c r="I335" i="1"/>
  <c r="K335" i="1"/>
  <c r="P335" i="1"/>
  <c r="Q335" i="1"/>
  <c r="U335" i="1"/>
  <c r="G336" i="1"/>
  <c r="I336" i="1"/>
  <c r="K336" i="1"/>
  <c r="P336" i="1"/>
  <c r="Q336" i="1"/>
  <c r="U336" i="1"/>
  <c r="G339" i="1"/>
  <c r="I339" i="1"/>
  <c r="K339" i="1"/>
  <c r="P339" i="1"/>
  <c r="Q339" i="1"/>
  <c r="U339" i="1"/>
  <c r="G340" i="1"/>
  <c r="I340" i="1"/>
  <c r="J340" i="1" s="1"/>
  <c r="K340" i="1"/>
  <c r="P340" i="1"/>
  <c r="Q340" i="1"/>
  <c r="U340" i="1"/>
  <c r="G341" i="1"/>
  <c r="I341" i="1"/>
  <c r="K341" i="1"/>
  <c r="P341" i="1"/>
  <c r="Q341" i="1"/>
  <c r="U341" i="1"/>
  <c r="G342" i="1"/>
  <c r="I342" i="1"/>
  <c r="K342" i="1"/>
  <c r="P342" i="1"/>
  <c r="Q342" i="1"/>
  <c r="U342" i="1"/>
  <c r="G343" i="1"/>
  <c r="I343" i="1"/>
  <c r="K343" i="1"/>
  <c r="P343" i="1"/>
  <c r="Q343" i="1"/>
  <c r="U343" i="1"/>
  <c r="G345" i="1"/>
  <c r="I345" i="1"/>
  <c r="K345" i="1"/>
  <c r="P345" i="1"/>
  <c r="Q345" i="1"/>
  <c r="U345" i="1"/>
  <c r="G346" i="1"/>
  <c r="I346" i="1"/>
  <c r="K346" i="1"/>
  <c r="P346" i="1"/>
  <c r="Q346" i="1"/>
  <c r="U346" i="1"/>
  <c r="G347" i="1"/>
  <c r="I347" i="1"/>
  <c r="K347" i="1"/>
  <c r="P347" i="1"/>
  <c r="Q347" i="1"/>
  <c r="U347" i="1"/>
  <c r="G348" i="1"/>
  <c r="I348" i="1"/>
  <c r="K348" i="1"/>
  <c r="P348" i="1"/>
  <c r="Q348" i="1"/>
  <c r="U348" i="1"/>
  <c r="G349" i="1"/>
  <c r="I349" i="1"/>
  <c r="K349" i="1"/>
  <c r="P349" i="1"/>
  <c r="Q349" i="1"/>
  <c r="U349" i="1"/>
  <c r="G351" i="1"/>
  <c r="I351" i="1"/>
  <c r="J351" i="1" s="1"/>
  <c r="K351" i="1"/>
  <c r="P351" i="1"/>
  <c r="Q351" i="1"/>
  <c r="U351" i="1"/>
  <c r="G352" i="1"/>
  <c r="I352" i="1"/>
  <c r="J352" i="1" s="1"/>
  <c r="K352" i="1"/>
  <c r="P352" i="1"/>
  <c r="Q352" i="1"/>
  <c r="U352" i="1"/>
  <c r="G358" i="1"/>
  <c r="I358" i="1"/>
  <c r="J358" i="1" s="1"/>
  <c r="K358" i="1"/>
  <c r="P358" i="1"/>
  <c r="Q358" i="1"/>
  <c r="U358" i="1"/>
  <c r="G359" i="1"/>
  <c r="I359" i="1"/>
  <c r="J359" i="1" s="1"/>
  <c r="K359" i="1"/>
  <c r="P359" i="1"/>
  <c r="Q359" i="1"/>
  <c r="U359" i="1"/>
  <c r="G360" i="1"/>
  <c r="I360" i="1"/>
  <c r="J360" i="1" s="1"/>
  <c r="K360" i="1"/>
  <c r="P360" i="1"/>
  <c r="Q360" i="1"/>
  <c r="U360" i="1"/>
  <c r="G361" i="1"/>
  <c r="I361" i="1"/>
  <c r="K361" i="1"/>
  <c r="P361" i="1"/>
  <c r="Q361" i="1"/>
  <c r="U361" i="1"/>
  <c r="G362" i="1"/>
  <c r="I362" i="1"/>
  <c r="J362" i="1" s="1"/>
  <c r="K362" i="1"/>
  <c r="P362" i="1"/>
  <c r="Q362" i="1"/>
  <c r="U362" i="1"/>
  <c r="G363" i="1"/>
  <c r="I363" i="1"/>
  <c r="J363" i="1" s="1"/>
  <c r="K363" i="1"/>
  <c r="P363" i="1"/>
  <c r="Q363" i="1"/>
  <c r="U363" i="1"/>
  <c r="G364" i="1"/>
  <c r="I364" i="1"/>
  <c r="J364" i="1" s="1"/>
  <c r="K364" i="1"/>
  <c r="P364" i="1"/>
  <c r="Q364" i="1"/>
  <c r="U364" i="1"/>
  <c r="G365" i="1"/>
  <c r="I365" i="1"/>
  <c r="K365" i="1"/>
  <c r="P365" i="1"/>
  <c r="Q365" i="1"/>
  <c r="U365" i="1"/>
  <c r="G366" i="1"/>
  <c r="I366" i="1"/>
  <c r="J366" i="1" s="1"/>
  <c r="K366" i="1"/>
  <c r="P366" i="1"/>
  <c r="Q366" i="1"/>
  <c r="U366" i="1"/>
  <c r="G367" i="1"/>
  <c r="I367" i="1"/>
  <c r="K367" i="1"/>
  <c r="P367" i="1"/>
  <c r="Q367" i="1"/>
  <c r="U367" i="1"/>
  <c r="G368" i="1"/>
  <c r="I368" i="1"/>
  <c r="J368" i="1" s="1"/>
  <c r="K368" i="1"/>
  <c r="P368" i="1"/>
  <c r="Q368" i="1"/>
  <c r="U368" i="1"/>
  <c r="G369" i="1"/>
  <c r="I369" i="1"/>
  <c r="K369" i="1"/>
  <c r="P369" i="1"/>
  <c r="Q369" i="1"/>
  <c r="U369" i="1"/>
  <c r="G370" i="1"/>
  <c r="I370" i="1"/>
  <c r="J370" i="1" s="1"/>
  <c r="K370" i="1"/>
  <c r="P370" i="1"/>
  <c r="Q370" i="1"/>
  <c r="U370" i="1"/>
  <c r="G371" i="1"/>
  <c r="I371" i="1"/>
  <c r="K371" i="1"/>
  <c r="P371" i="1"/>
  <c r="Q371" i="1"/>
  <c r="U371" i="1"/>
  <c r="G372" i="1"/>
  <c r="I372" i="1"/>
  <c r="J372" i="1" s="1"/>
  <c r="K372" i="1"/>
  <c r="P372" i="1"/>
  <c r="Q372" i="1"/>
  <c r="U372" i="1"/>
  <c r="G373" i="1"/>
  <c r="I373" i="1"/>
  <c r="J373" i="1" s="1"/>
  <c r="K373" i="1"/>
  <c r="P373" i="1"/>
  <c r="Q373" i="1"/>
  <c r="U373" i="1"/>
  <c r="G374" i="1"/>
  <c r="I374" i="1"/>
  <c r="J374" i="1" s="1"/>
  <c r="K374" i="1"/>
  <c r="P374" i="1"/>
  <c r="Q374" i="1"/>
  <c r="U374" i="1"/>
  <c r="G377" i="1"/>
  <c r="I377" i="1"/>
  <c r="J377" i="1" s="1"/>
  <c r="K377" i="1"/>
  <c r="P377" i="1"/>
  <c r="Q377" i="1"/>
  <c r="U377" i="1"/>
  <c r="G378" i="1"/>
  <c r="I378" i="1"/>
  <c r="J378" i="1" s="1"/>
  <c r="K378" i="1"/>
  <c r="P378" i="1"/>
  <c r="Q378" i="1"/>
  <c r="U378" i="1"/>
  <c r="G379" i="1"/>
  <c r="I379" i="1"/>
  <c r="K379" i="1"/>
  <c r="P379" i="1"/>
  <c r="Q379" i="1"/>
  <c r="U379" i="1"/>
  <c r="G380" i="1"/>
  <c r="I380" i="1"/>
  <c r="J380" i="1" s="1"/>
  <c r="K380" i="1"/>
  <c r="P380" i="1"/>
  <c r="Q380" i="1"/>
  <c r="U380" i="1"/>
  <c r="G381" i="1"/>
  <c r="I381" i="1"/>
  <c r="J381" i="1" s="1"/>
  <c r="K381" i="1"/>
  <c r="P381" i="1"/>
  <c r="Q381" i="1"/>
  <c r="U381" i="1"/>
  <c r="G383" i="1"/>
  <c r="I383" i="1"/>
  <c r="J383" i="1" s="1"/>
  <c r="K383" i="1"/>
  <c r="P383" i="1"/>
  <c r="Q383" i="1"/>
  <c r="U383" i="1"/>
  <c r="G384" i="1"/>
  <c r="I384" i="1"/>
  <c r="K384" i="1"/>
  <c r="P384" i="1"/>
  <c r="Q384" i="1"/>
  <c r="U384" i="1"/>
  <c r="G385" i="1"/>
  <c r="I385" i="1"/>
  <c r="K385" i="1"/>
  <c r="P385" i="1"/>
  <c r="Q385" i="1"/>
  <c r="U385" i="1"/>
  <c r="G386" i="1"/>
  <c r="I386" i="1"/>
  <c r="K386" i="1"/>
  <c r="P386" i="1"/>
  <c r="Q386" i="1"/>
  <c r="U386" i="1"/>
  <c r="G387" i="1"/>
  <c r="I387" i="1"/>
  <c r="K387" i="1"/>
  <c r="P387" i="1"/>
  <c r="Q387" i="1"/>
  <c r="U387" i="1"/>
  <c r="G412" i="1"/>
  <c r="I412" i="1"/>
  <c r="J412" i="1" s="1"/>
  <c r="K412" i="1"/>
  <c r="P412" i="1"/>
  <c r="Q412" i="1"/>
  <c r="U412" i="1"/>
  <c r="G413" i="1"/>
  <c r="I413" i="1"/>
  <c r="K413" i="1"/>
  <c r="P413" i="1"/>
  <c r="Q413" i="1"/>
  <c r="U413" i="1"/>
  <c r="G414" i="1"/>
  <c r="I414" i="1"/>
  <c r="K414" i="1"/>
  <c r="P414" i="1"/>
  <c r="Q414" i="1"/>
  <c r="U414" i="1"/>
  <c r="G415" i="1"/>
  <c r="I415" i="1"/>
  <c r="K415" i="1"/>
  <c r="P415" i="1"/>
  <c r="Q415" i="1"/>
  <c r="U415" i="1"/>
  <c r="G416" i="1"/>
  <c r="I416" i="1"/>
  <c r="K416" i="1"/>
  <c r="P416" i="1"/>
  <c r="Q416" i="1"/>
  <c r="U416" i="1"/>
  <c r="G417" i="1"/>
  <c r="I417" i="1"/>
  <c r="K417" i="1"/>
  <c r="P417" i="1"/>
  <c r="Q417" i="1"/>
  <c r="U417" i="1"/>
  <c r="G419" i="1"/>
  <c r="I419" i="1"/>
  <c r="K419" i="1"/>
  <c r="P419" i="1"/>
  <c r="Q419" i="1"/>
  <c r="U419" i="1"/>
  <c r="G421" i="1"/>
  <c r="I421" i="1"/>
  <c r="K421" i="1"/>
  <c r="P421" i="1"/>
  <c r="Q421" i="1"/>
  <c r="U421" i="1"/>
  <c r="G422" i="1"/>
  <c r="I422" i="1"/>
  <c r="K422" i="1"/>
  <c r="P422" i="1"/>
  <c r="Q422" i="1"/>
  <c r="U422" i="1"/>
  <c r="G423" i="1"/>
  <c r="I423" i="1"/>
  <c r="K423" i="1"/>
  <c r="P423" i="1"/>
  <c r="Q423" i="1"/>
  <c r="U423" i="1"/>
  <c r="G424" i="1"/>
  <c r="I424" i="1"/>
  <c r="K424" i="1"/>
  <c r="P424" i="1"/>
  <c r="Q424" i="1"/>
  <c r="U424" i="1"/>
  <c r="G426" i="1"/>
  <c r="I426" i="1"/>
  <c r="J426" i="1" s="1"/>
  <c r="K426" i="1"/>
  <c r="P426" i="1"/>
  <c r="Q426" i="1"/>
  <c r="U426" i="1"/>
  <c r="G427" i="1"/>
  <c r="I427" i="1"/>
  <c r="K427" i="1"/>
  <c r="P427" i="1"/>
  <c r="Q427" i="1"/>
  <c r="U427" i="1"/>
  <c r="G428" i="1"/>
  <c r="I428" i="1"/>
  <c r="K428" i="1"/>
  <c r="P428" i="1"/>
  <c r="Q428" i="1"/>
  <c r="U428" i="1"/>
  <c r="G429" i="1"/>
  <c r="I429" i="1"/>
  <c r="J429" i="1" s="1"/>
  <c r="K429" i="1"/>
  <c r="P429" i="1"/>
  <c r="Q429" i="1"/>
  <c r="U429" i="1"/>
  <c r="G430" i="1"/>
  <c r="I430" i="1"/>
  <c r="K430" i="1"/>
  <c r="P430" i="1"/>
  <c r="Q430" i="1"/>
  <c r="U430" i="1"/>
  <c r="G431" i="1"/>
  <c r="I431" i="1"/>
  <c r="J431" i="1" s="1"/>
  <c r="K431" i="1"/>
  <c r="P431" i="1"/>
  <c r="Q431" i="1"/>
  <c r="U431" i="1"/>
  <c r="G432" i="1"/>
  <c r="I432" i="1"/>
  <c r="K432" i="1"/>
  <c r="P432" i="1"/>
  <c r="Q432" i="1"/>
  <c r="U432" i="1"/>
  <c r="G434" i="1"/>
  <c r="I434" i="1"/>
  <c r="J434" i="1" s="1"/>
  <c r="K434" i="1"/>
  <c r="P434" i="1"/>
  <c r="Q434" i="1"/>
  <c r="U434" i="1"/>
  <c r="G442" i="1"/>
  <c r="I442" i="1"/>
  <c r="J442" i="1" s="1"/>
  <c r="K442" i="1"/>
  <c r="P442" i="1"/>
  <c r="Q442" i="1"/>
  <c r="U442" i="1"/>
  <c r="G436" i="1"/>
  <c r="I436" i="1"/>
  <c r="O436" i="1" s="1"/>
  <c r="K436" i="1"/>
  <c r="P436" i="1"/>
  <c r="Q436" i="1"/>
  <c r="U436" i="1"/>
  <c r="G440" i="1"/>
  <c r="I440" i="1"/>
  <c r="J440" i="1" s="1"/>
  <c r="K440" i="1"/>
  <c r="P440" i="1"/>
  <c r="Q440" i="1"/>
  <c r="U440" i="1"/>
  <c r="G441" i="1"/>
  <c r="I441" i="1"/>
  <c r="J441" i="1" s="1"/>
  <c r="K441" i="1"/>
  <c r="P441" i="1"/>
  <c r="Q441" i="1"/>
  <c r="U441" i="1"/>
  <c r="G437" i="1"/>
  <c r="I437" i="1"/>
  <c r="J437" i="1" s="1"/>
  <c r="K437" i="1"/>
  <c r="P437" i="1"/>
  <c r="Q437" i="1"/>
  <c r="U437" i="1"/>
  <c r="G439" i="1"/>
  <c r="I439" i="1"/>
  <c r="K439" i="1"/>
  <c r="P439" i="1"/>
  <c r="Q439" i="1"/>
  <c r="U439" i="1"/>
  <c r="G443" i="1"/>
  <c r="I443" i="1"/>
  <c r="J443" i="1" s="1"/>
  <c r="K443" i="1"/>
  <c r="P443" i="1"/>
  <c r="Q443" i="1"/>
  <c r="U443" i="1"/>
  <c r="G444" i="1"/>
  <c r="I444" i="1"/>
  <c r="J444" i="1" s="1"/>
  <c r="K444" i="1"/>
  <c r="P444" i="1"/>
  <c r="Q444" i="1"/>
  <c r="U444" i="1"/>
  <c r="G445" i="1"/>
  <c r="I445" i="1"/>
  <c r="K445" i="1"/>
  <c r="P445" i="1"/>
  <c r="Q445" i="1"/>
  <c r="U445" i="1"/>
  <c r="G446" i="1"/>
  <c r="I446" i="1"/>
  <c r="K446" i="1"/>
  <c r="P446" i="1"/>
  <c r="Q446" i="1"/>
  <c r="U446" i="1"/>
  <c r="G447" i="1"/>
  <c r="I447" i="1"/>
  <c r="J447" i="1" s="1"/>
  <c r="K447" i="1"/>
  <c r="P447" i="1"/>
  <c r="Q447" i="1"/>
  <c r="U447" i="1"/>
  <c r="G448" i="1"/>
  <c r="I448" i="1"/>
  <c r="J448" i="1" s="1"/>
  <c r="K448" i="1"/>
  <c r="P448" i="1"/>
  <c r="Q448" i="1"/>
  <c r="U448" i="1"/>
  <c r="G449" i="1"/>
  <c r="I449" i="1"/>
  <c r="J449" i="1" s="1"/>
  <c r="K449" i="1"/>
  <c r="P449" i="1"/>
  <c r="Q449" i="1"/>
  <c r="U449" i="1"/>
  <c r="G450" i="1"/>
  <c r="I450" i="1"/>
  <c r="K450" i="1"/>
  <c r="P450" i="1"/>
  <c r="Q450" i="1"/>
  <c r="U450" i="1"/>
  <c r="G451" i="1"/>
  <c r="I451" i="1"/>
  <c r="K451" i="1"/>
  <c r="P451" i="1"/>
  <c r="Q451" i="1"/>
  <c r="U451" i="1"/>
  <c r="G452" i="1"/>
  <c r="I452" i="1"/>
  <c r="J452" i="1" s="1"/>
  <c r="K452" i="1"/>
  <c r="P452" i="1"/>
  <c r="Q452" i="1"/>
  <c r="U452" i="1"/>
  <c r="G453" i="1"/>
  <c r="I453" i="1"/>
  <c r="J453" i="1" s="1"/>
  <c r="K453" i="1"/>
  <c r="P453" i="1"/>
  <c r="Q453" i="1"/>
  <c r="U453" i="1"/>
  <c r="G454" i="1"/>
  <c r="I454" i="1"/>
  <c r="O454" i="1" s="1"/>
  <c r="K454" i="1"/>
  <c r="P454" i="1"/>
  <c r="Q454" i="1"/>
  <c r="U454" i="1"/>
  <c r="G455" i="1"/>
  <c r="I455" i="1"/>
  <c r="J455" i="1" s="1"/>
  <c r="K455" i="1"/>
  <c r="P455" i="1"/>
  <c r="Q455" i="1"/>
  <c r="U455" i="1"/>
  <c r="G456" i="1"/>
  <c r="I456" i="1"/>
  <c r="K456" i="1"/>
  <c r="P456" i="1"/>
  <c r="Q456" i="1"/>
  <c r="U456" i="1"/>
  <c r="G457" i="1"/>
  <c r="I457" i="1"/>
  <c r="J457" i="1" s="1"/>
  <c r="K457" i="1"/>
  <c r="P457" i="1"/>
  <c r="Q457" i="1"/>
  <c r="U457" i="1"/>
  <c r="G459" i="1"/>
  <c r="I459" i="1"/>
  <c r="K459" i="1"/>
  <c r="P459" i="1"/>
  <c r="Q459" i="1"/>
  <c r="U459" i="1"/>
  <c r="G460" i="1"/>
  <c r="I460" i="1"/>
  <c r="J460" i="1" s="1"/>
  <c r="K460" i="1"/>
  <c r="P460" i="1"/>
  <c r="Q460" i="1"/>
  <c r="U460" i="1"/>
  <c r="G461" i="1"/>
  <c r="I461" i="1"/>
  <c r="J461" i="1" s="1"/>
  <c r="K461" i="1"/>
  <c r="P461" i="1"/>
  <c r="Q461" i="1"/>
  <c r="U461" i="1"/>
  <c r="G458" i="1"/>
  <c r="I458" i="1"/>
  <c r="K458" i="1"/>
  <c r="P458" i="1"/>
  <c r="Q458" i="1"/>
  <c r="U458" i="1"/>
  <c r="G462" i="1"/>
  <c r="I462" i="1"/>
  <c r="K462" i="1"/>
  <c r="P462" i="1"/>
  <c r="Q462" i="1"/>
  <c r="U462" i="1"/>
  <c r="G463" i="1"/>
  <c r="I463" i="1"/>
  <c r="J463" i="1" s="1"/>
  <c r="K463" i="1"/>
  <c r="P463" i="1"/>
  <c r="Q463" i="1"/>
  <c r="U463" i="1"/>
  <c r="G464" i="1"/>
  <c r="I464" i="1"/>
  <c r="O464" i="1" s="1"/>
  <c r="K464" i="1"/>
  <c r="P464" i="1"/>
  <c r="Q464" i="1"/>
  <c r="U464" i="1"/>
  <c r="G465" i="1"/>
  <c r="I465" i="1"/>
  <c r="O465" i="1" s="1"/>
  <c r="K465" i="1"/>
  <c r="P465" i="1"/>
  <c r="Q465" i="1"/>
  <c r="U465" i="1"/>
  <c r="G466" i="1"/>
  <c r="I466" i="1"/>
  <c r="J466" i="1" s="1"/>
  <c r="K466" i="1"/>
  <c r="P466" i="1"/>
  <c r="Q466" i="1"/>
  <c r="U466" i="1"/>
  <c r="G467" i="1"/>
  <c r="I467" i="1"/>
  <c r="J467" i="1" s="1"/>
  <c r="K467" i="1"/>
  <c r="P467" i="1"/>
  <c r="Q467" i="1"/>
  <c r="U467" i="1"/>
  <c r="G468" i="1"/>
  <c r="I468" i="1"/>
  <c r="J468" i="1" s="1"/>
  <c r="K468" i="1"/>
  <c r="P468" i="1"/>
  <c r="Q468" i="1"/>
  <c r="U468" i="1"/>
  <c r="G469" i="1"/>
  <c r="I469" i="1"/>
  <c r="O469" i="1" s="1"/>
  <c r="K469" i="1"/>
  <c r="P469" i="1"/>
  <c r="Q469" i="1"/>
  <c r="U469" i="1"/>
  <c r="G470" i="1"/>
  <c r="I470" i="1"/>
  <c r="J470" i="1" s="1"/>
  <c r="K470" i="1"/>
  <c r="P470" i="1"/>
  <c r="Q470" i="1"/>
  <c r="U470" i="1"/>
  <c r="G472" i="1"/>
  <c r="I472" i="1"/>
  <c r="J472" i="1" s="1"/>
  <c r="K472" i="1"/>
  <c r="P472" i="1"/>
  <c r="Q472" i="1"/>
  <c r="U472" i="1"/>
  <c r="G473" i="1"/>
  <c r="I473" i="1"/>
  <c r="J473" i="1" s="1"/>
  <c r="K473" i="1"/>
  <c r="P473" i="1"/>
  <c r="Q473" i="1"/>
  <c r="U473" i="1"/>
  <c r="G474" i="1"/>
  <c r="I474" i="1"/>
  <c r="O474" i="1" s="1"/>
  <c r="K474" i="1"/>
  <c r="P474" i="1"/>
  <c r="Q474" i="1"/>
  <c r="U474" i="1"/>
  <c r="G475" i="1"/>
  <c r="I475" i="1"/>
  <c r="K475" i="1"/>
  <c r="P475" i="1"/>
  <c r="Q475" i="1"/>
  <c r="U475" i="1"/>
  <c r="G476" i="1"/>
  <c r="I476" i="1"/>
  <c r="J476" i="1" s="1"/>
  <c r="K476" i="1"/>
  <c r="P476" i="1"/>
  <c r="Q476" i="1"/>
  <c r="U476" i="1"/>
  <c r="G477" i="1"/>
  <c r="I477" i="1"/>
  <c r="O477" i="1" s="1"/>
  <c r="K477" i="1"/>
  <c r="P477" i="1"/>
  <c r="Q477" i="1"/>
  <c r="U477" i="1"/>
  <c r="G478" i="1"/>
  <c r="I478" i="1"/>
  <c r="K478" i="1"/>
  <c r="P478" i="1"/>
  <c r="Q478" i="1"/>
  <c r="U478" i="1"/>
  <c r="G479" i="1"/>
  <c r="I479" i="1"/>
  <c r="J479" i="1" s="1"/>
  <c r="K479" i="1"/>
  <c r="P479" i="1"/>
  <c r="Q479" i="1"/>
  <c r="U479" i="1"/>
  <c r="G482" i="1"/>
  <c r="I482" i="1"/>
  <c r="J482" i="1" s="1"/>
  <c r="K482" i="1"/>
  <c r="P482" i="1"/>
  <c r="Q482" i="1"/>
  <c r="U482" i="1"/>
  <c r="G483" i="1"/>
  <c r="I483" i="1"/>
  <c r="J483" i="1" s="1"/>
  <c r="K483" i="1"/>
  <c r="P483" i="1"/>
  <c r="Q483" i="1"/>
  <c r="U483" i="1"/>
  <c r="G484" i="1"/>
  <c r="I484" i="1"/>
  <c r="O484" i="1" s="1"/>
  <c r="K484" i="1"/>
  <c r="P484" i="1"/>
  <c r="Q484" i="1"/>
  <c r="U484" i="1"/>
  <c r="G485" i="1"/>
  <c r="I485" i="1"/>
  <c r="O485" i="1" s="1"/>
  <c r="K485" i="1"/>
  <c r="P485" i="1"/>
  <c r="Q485" i="1"/>
  <c r="U485" i="1"/>
  <c r="G486" i="1"/>
  <c r="I486" i="1"/>
  <c r="O486" i="1" s="1"/>
  <c r="K486" i="1"/>
  <c r="P486" i="1"/>
  <c r="Q486" i="1"/>
  <c r="U486" i="1"/>
  <c r="G487" i="1"/>
  <c r="I487" i="1"/>
  <c r="J487" i="1" s="1"/>
  <c r="K487" i="1"/>
  <c r="P487" i="1"/>
  <c r="Q487" i="1"/>
  <c r="U487" i="1"/>
  <c r="G488" i="1"/>
  <c r="I488" i="1"/>
  <c r="J488" i="1" s="1"/>
  <c r="K488" i="1"/>
  <c r="P488" i="1"/>
  <c r="Q488" i="1"/>
  <c r="U488" i="1"/>
  <c r="O757" i="1"/>
  <c r="P757" i="1"/>
  <c r="Q757" i="1"/>
  <c r="U757" i="1"/>
  <c r="J758" i="1"/>
  <c r="P758" i="1"/>
  <c r="Q758" i="1"/>
  <c r="U758" i="1"/>
  <c r="J759" i="1"/>
  <c r="P759" i="1"/>
  <c r="Q759" i="1"/>
  <c r="U759" i="1"/>
  <c r="G493" i="1"/>
  <c r="I493" i="1"/>
  <c r="O493" i="1" s="1"/>
  <c r="K493" i="1"/>
  <c r="P493" i="1"/>
  <c r="Q493" i="1"/>
  <c r="U493" i="1"/>
  <c r="G494" i="1"/>
  <c r="I494" i="1"/>
  <c r="K494" i="1"/>
  <c r="P494" i="1"/>
  <c r="Q494" i="1"/>
  <c r="U494" i="1"/>
  <c r="G496" i="1"/>
  <c r="I496" i="1"/>
  <c r="K496" i="1"/>
  <c r="P496" i="1"/>
  <c r="Q496" i="1"/>
  <c r="U496" i="1"/>
  <c r="G495" i="1"/>
  <c r="I495" i="1"/>
  <c r="J495" i="1" s="1"/>
  <c r="K495" i="1"/>
  <c r="P495" i="1"/>
  <c r="Q495" i="1"/>
  <c r="U495" i="1"/>
  <c r="G497" i="1"/>
  <c r="I497" i="1"/>
  <c r="O497" i="1" s="1"/>
  <c r="K497" i="1"/>
  <c r="P497" i="1"/>
  <c r="Q497" i="1"/>
  <c r="U497" i="1"/>
  <c r="G498" i="1"/>
  <c r="I498" i="1"/>
  <c r="O498" i="1" s="1"/>
  <c r="K498" i="1"/>
  <c r="P498" i="1"/>
  <c r="Q498" i="1"/>
  <c r="U498" i="1"/>
  <c r="G499" i="1"/>
  <c r="I499" i="1"/>
  <c r="J499" i="1" s="1"/>
  <c r="K499" i="1"/>
  <c r="P499" i="1"/>
  <c r="Q499" i="1"/>
  <c r="U499" i="1"/>
  <c r="G489" i="1"/>
  <c r="I489" i="1"/>
  <c r="J489" i="1" s="1"/>
  <c r="K489" i="1"/>
  <c r="P489" i="1"/>
  <c r="Q489" i="1"/>
  <c r="U489" i="1"/>
  <c r="G490" i="1"/>
  <c r="I490" i="1"/>
  <c r="O490" i="1" s="1"/>
  <c r="K490" i="1"/>
  <c r="P490" i="1"/>
  <c r="Q490" i="1"/>
  <c r="U490" i="1"/>
  <c r="G491" i="1"/>
  <c r="I491" i="1"/>
  <c r="O491" i="1" s="1"/>
  <c r="K491" i="1"/>
  <c r="P491" i="1"/>
  <c r="Q491" i="1"/>
  <c r="U491" i="1"/>
  <c r="G492" i="1"/>
  <c r="I492" i="1"/>
  <c r="J492" i="1" s="1"/>
  <c r="K492" i="1"/>
  <c r="P492" i="1"/>
  <c r="Q492" i="1"/>
  <c r="U492" i="1"/>
  <c r="G480" i="1"/>
  <c r="I480" i="1"/>
  <c r="J480" i="1" s="1"/>
  <c r="K480" i="1"/>
  <c r="P480" i="1"/>
  <c r="Q480" i="1"/>
  <c r="U480" i="1"/>
  <c r="G481" i="1"/>
  <c r="I481" i="1"/>
  <c r="O481" i="1" s="1"/>
  <c r="K481" i="1"/>
  <c r="P481" i="1"/>
  <c r="Q481" i="1"/>
  <c r="U481" i="1"/>
  <c r="G500" i="1"/>
  <c r="I500" i="1"/>
  <c r="O500" i="1" s="1"/>
  <c r="K500" i="1"/>
  <c r="P500" i="1"/>
  <c r="Q500" i="1"/>
  <c r="U500" i="1"/>
  <c r="G501" i="1"/>
  <c r="I501" i="1"/>
  <c r="J501" i="1" s="1"/>
  <c r="K501" i="1"/>
  <c r="P501" i="1"/>
  <c r="Q501" i="1"/>
  <c r="U501" i="1"/>
  <c r="G502" i="1"/>
  <c r="I502" i="1"/>
  <c r="J502" i="1" s="1"/>
  <c r="K502" i="1"/>
  <c r="P502" i="1"/>
  <c r="Q502" i="1"/>
  <c r="U502" i="1"/>
  <c r="G503" i="1"/>
  <c r="I503" i="1"/>
  <c r="O503" i="1" s="1"/>
  <c r="K503" i="1"/>
  <c r="P503" i="1"/>
  <c r="Q503" i="1"/>
  <c r="U503" i="1"/>
  <c r="G504" i="1"/>
  <c r="I504" i="1"/>
  <c r="O504" i="1" s="1"/>
  <c r="K504" i="1"/>
  <c r="P504" i="1"/>
  <c r="Q504" i="1"/>
  <c r="U504" i="1"/>
  <c r="G505" i="1"/>
  <c r="I505" i="1"/>
  <c r="K505" i="1"/>
  <c r="P505" i="1"/>
  <c r="Q505" i="1"/>
  <c r="U505" i="1"/>
  <c r="G506" i="1"/>
  <c r="I506" i="1"/>
  <c r="J506" i="1" s="1"/>
  <c r="K506" i="1"/>
  <c r="P506" i="1"/>
  <c r="Q506" i="1"/>
  <c r="U506" i="1"/>
  <c r="G507" i="1"/>
  <c r="I507" i="1"/>
  <c r="O507" i="1" s="1"/>
  <c r="K507" i="1"/>
  <c r="P507" i="1"/>
  <c r="Q507" i="1"/>
  <c r="U507" i="1"/>
  <c r="G509" i="1"/>
  <c r="I509" i="1"/>
  <c r="K509" i="1"/>
  <c r="P509" i="1"/>
  <c r="Q509" i="1"/>
  <c r="U509" i="1"/>
  <c r="G510" i="1"/>
  <c r="I510" i="1"/>
  <c r="K510" i="1"/>
  <c r="P510" i="1"/>
  <c r="Q510" i="1"/>
  <c r="U510" i="1"/>
  <c r="G511" i="1"/>
  <c r="I511" i="1"/>
  <c r="K511" i="1"/>
  <c r="P511" i="1"/>
  <c r="Q511" i="1"/>
  <c r="U511" i="1"/>
  <c r="G512" i="1"/>
  <c r="I512" i="1"/>
  <c r="K512" i="1"/>
  <c r="P512" i="1"/>
  <c r="Q512" i="1"/>
  <c r="U512" i="1"/>
  <c r="G513" i="1"/>
  <c r="I513" i="1"/>
  <c r="K513" i="1"/>
  <c r="P513" i="1"/>
  <c r="Q513" i="1"/>
  <c r="U513" i="1"/>
  <c r="G514" i="1"/>
  <c r="I514" i="1"/>
  <c r="K514" i="1"/>
  <c r="P514" i="1"/>
  <c r="Q514" i="1"/>
  <c r="U514" i="1"/>
  <c r="G515" i="1"/>
  <c r="I515" i="1"/>
  <c r="K515" i="1"/>
  <c r="P515" i="1"/>
  <c r="Q515" i="1"/>
  <c r="U515" i="1"/>
  <c r="G516" i="1"/>
  <c r="I516" i="1"/>
  <c r="K516" i="1"/>
  <c r="P516" i="1"/>
  <c r="Q516" i="1"/>
  <c r="U516" i="1"/>
  <c r="G517" i="1"/>
  <c r="I517" i="1"/>
  <c r="K517" i="1"/>
  <c r="P517" i="1"/>
  <c r="Q517" i="1"/>
  <c r="U517" i="1"/>
  <c r="G518" i="1"/>
  <c r="I518" i="1"/>
  <c r="K518" i="1"/>
  <c r="P518" i="1"/>
  <c r="Q518" i="1"/>
  <c r="U518" i="1"/>
  <c r="G519" i="1"/>
  <c r="I519" i="1"/>
  <c r="K519" i="1"/>
  <c r="P519" i="1"/>
  <c r="Q519" i="1"/>
  <c r="U519" i="1"/>
  <c r="G543" i="1"/>
  <c r="I543" i="1"/>
  <c r="O543" i="1" s="1"/>
  <c r="K543" i="1"/>
  <c r="P543" i="1"/>
  <c r="Q543" i="1"/>
  <c r="U543" i="1"/>
  <c r="G544" i="1"/>
  <c r="I544" i="1"/>
  <c r="J544" i="1" s="1"/>
  <c r="K544" i="1"/>
  <c r="P544" i="1"/>
  <c r="Q544" i="1"/>
  <c r="U544" i="1"/>
  <c r="G545" i="1"/>
  <c r="I545" i="1"/>
  <c r="J545" i="1" s="1"/>
  <c r="K545" i="1"/>
  <c r="P545" i="1"/>
  <c r="Q545" i="1"/>
  <c r="U545" i="1"/>
  <c r="G549" i="1"/>
  <c r="I549" i="1"/>
  <c r="J549" i="1" s="1"/>
  <c r="K549" i="1"/>
  <c r="P549" i="1"/>
  <c r="Q549" i="1"/>
  <c r="U549" i="1"/>
  <c r="G551" i="1"/>
  <c r="I551" i="1"/>
  <c r="J551" i="1" s="1"/>
  <c r="K551" i="1"/>
  <c r="P551" i="1"/>
  <c r="Q551" i="1"/>
  <c r="U551" i="1"/>
  <c r="G552" i="1"/>
  <c r="I552" i="1"/>
  <c r="J552" i="1" s="1"/>
  <c r="K552" i="1"/>
  <c r="P552" i="1"/>
  <c r="Q552" i="1"/>
  <c r="U552" i="1"/>
  <c r="G553" i="1"/>
  <c r="I553" i="1"/>
  <c r="O553" i="1" s="1"/>
  <c r="K553" i="1"/>
  <c r="P553" i="1"/>
  <c r="Q553" i="1"/>
  <c r="U553" i="1"/>
  <c r="G554" i="1"/>
  <c r="I554" i="1"/>
  <c r="J554" i="1" s="1"/>
  <c r="K554" i="1"/>
  <c r="P554" i="1"/>
  <c r="Q554" i="1"/>
  <c r="U554" i="1"/>
  <c r="G555" i="1"/>
  <c r="I555" i="1"/>
  <c r="J555" i="1" s="1"/>
  <c r="K555" i="1"/>
  <c r="P555" i="1"/>
  <c r="Q555" i="1"/>
  <c r="U555" i="1"/>
  <c r="G556" i="1"/>
  <c r="I556" i="1"/>
  <c r="O556" i="1" s="1"/>
  <c r="K556" i="1"/>
  <c r="P556" i="1"/>
  <c r="Q556" i="1"/>
  <c r="U556" i="1"/>
  <c r="G557" i="1"/>
  <c r="I557" i="1"/>
  <c r="J557" i="1" s="1"/>
  <c r="K557" i="1"/>
  <c r="P557" i="1"/>
  <c r="Q557" i="1"/>
  <c r="U557" i="1"/>
  <c r="G558" i="1"/>
  <c r="I558" i="1"/>
  <c r="J558" i="1" s="1"/>
  <c r="K558" i="1"/>
  <c r="P558" i="1"/>
  <c r="Q558" i="1"/>
  <c r="U558" i="1"/>
  <c r="G559" i="1"/>
  <c r="I559" i="1"/>
  <c r="J559" i="1" s="1"/>
  <c r="K559" i="1"/>
  <c r="P559" i="1"/>
  <c r="Q559" i="1"/>
  <c r="U559" i="1"/>
  <c r="G560" i="1"/>
  <c r="I560" i="1"/>
  <c r="O560" i="1" s="1"/>
  <c r="K560" i="1"/>
  <c r="P560" i="1"/>
  <c r="Q560" i="1"/>
  <c r="U560" i="1"/>
  <c r="G562" i="1"/>
  <c r="I562" i="1"/>
  <c r="O562" i="1" s="1"/>
  <c r="K562" i="1"/>
  <c r="P562" i="1"/>
  <c r="Q562" i="1"/>
  <c r="U562" i="1"/>
  <c r="G563" i="1"/>
  <c r="I563" i="1"/>
  <c r="O563" i="1" s="1"/>
  <c r="K563" i="1"/>
  <c r="P563" i="1"/>
  <c r="Q563" i="1"/>
  <c r="U563" i="1"/>
  <c r="G565" i="1"/>
  <c r="I565" i="1"/>
  <c r="O565" i="1" s="1"/>
  <c r="K565" i="1"/>
  <c r="P565" i="1"/>
  <c r="Q565" i="1"/>
  <c r="U565" i="1"/>
  <c r="G566" i="1"/>
  <c r="I566" i="1"/>
  <c r="O566" i="1" s="1"/>
  <c r="K566" i="1"/>
  <c r="P566" i="1"/>
  <c r="Q566" i="1"/>
  <c r="U566" i="1"/>
  <c r="G568" i="1"/>
  <c r="I568" i="1"/>
  <c r="J568" i="1" s="1"/>
  <c r="K568" i="1"/>
  <c r="P568" i="1"/>
  <c r="Q568" i="1"/>
  <c r="T567" i="1"/>
  <c r="U568" i="1"/>
  <c r="U567" i="1" s="1"/>
  <c r="G570" i="1"/>
  <c r="I570" i="1"/>
  <c r="J570" i="1" s="1"/>
  <c r="K570" i="1"/>
  <c r="P570" i="1"/>
  <c r="Q570" i="1"/>
  <c r="U570" i="1"/>
  <c r="G571" i="1"/>
  <c r="I571" i="1"/>
  <c r="O571" i="1" s="1"/>
  <c r="K571" i="1"/>
  <c r="P571" i="1"/>
  <c r="Q571" i="1"/>
  <c r="U571" i="1"/>
  <c r="G573" i="1"/>
  <c r="I573" i="1"/>
  <c r="O573" i="1" s="1"/>
  <c r="K573" i="1"/>
  <c r="P573" i="1"/>
  <c r="Q573" i="1"/>
  <c r="U573" i="1"/>
  <c r="G574" i="1"/>
  <c r="I574" i="1"/>
  <c r="O574" i="1" s="1"/>
  <c r="K574" i="1"/>
  <c r="P574" i="1"/>
  <c r="Q574" i="1"/>
  <c r="U574" i="1"/>
  <c r="G575" i="1"/>
  <c r="I575" i="1"/>
  <c r="O575" i="1" s="1"/>
  <c r="K575" i="1"/>
  <c r="P575" i="1"/>
  <c r="Q575" i="1"/>
  <c r="U575" i="1"/>
  <c r="G576" i="1"/>
  <c r="I576" i="1"/>
  <c r="O576" i="1" s="1"/>
  <c r="K576" i="1"/>
  <c r="P576" i="1"/>
  <c r="Q576" i="1"/>
  <c r="U576" i="1"/>
  <c r="G577" i="1"/>
  <c r="I577" i="1"/>
  <c r="O577" i="1" s="1"/>
  <c r="K577" i="1"/>
  <c r="P577" i="1"/>
  <c r="Q577" i="1"/>
  <c r="U577" i="1"/>
  <c r="G578" i="1"/>
  <c r="I578" i="1"/>
  <c r="O578" i="1" s="1"/>
  <c r="K578" i="1"/>
  <c r="P578" i="1"/>
  <c r="Q578" i="1"/>
  <c r="U578" i="1"/>
  <c r="G579" i="1"/>
  <c r="I579" i="1"/>
  <c r="O579" i="1" s="1"/>
  <c r="K579" i="1"/>
  <c r="P579" i="1"/>
  <c r="Q579" i="1"/>
  <c r="U579" i="1"/>
  <c r="G580" i="1"/>
  <c r="I580" i="1"/>
  <c r="O580" i="1" s="1"/>
  <c r="K580" i="1"/>
  <c r="P580" i="1"/>
  <c r="Q580" i="1"/>
  <c r="U580" i="1"/>
  <c r="G581" i="1"/>
  <c r="I581" i="1"/>
  <c r="O581" i="1" s="1"/>
  <c r="K581" i="1"/>
  <c r="P581" i="1"/>
  <c r="Q581" i="1"/>
  <c r="U581" i="1"/>
  <c r="G582" i="1"/>
  <c r="I582" i="1"/>
  <c r="O582" i="1" s="1"/>
  <c r="K582" i="1"/>
  <c r="P582" i="1"/>
  <c r="Q582" i="1"/>
  <c r="U582" i="1"/>
  <c r="G583" i="1"/>
  <c r="I583" i="1"/>
  <c r="O583" i="1" s="1"/>
  <c r="K583" i="1"/>
  <c r="P583" i="1"/>
  <c r="Q583" i="1"/>
  <c r="U583" i="1"/>
  <c r="G584" i="1"/>
  <c r="I584" i="1"/>
  <c r="O584" i="1" s="1"/>
  <c r="K584" i="1"/>
  <c r="P584" i="1"/>
  <c r="Q584" i="1"/>
  <c r="U584" i="1"/>
  <c r="G586" i="1"/>
  <c r="I586" i="1"/>
  <c r="K586" i="1"/>
  <c r="P586" i="1"/>
  <c r="Q586" i="1"/>
  <c r="U586" i="1"/>
  <c r="G587" i="1"/>
  <c r="I587" i="1"/>
  <c r="J587" i="1" s="1"/>
  <c r="K587" i="1"/>
  <c r="P587" i="1"/>
  <c r="Q587" i="1"/>
  <c r="U587" i="1"/>
  <c r="G589" i="1"/>
  <c r="I589" i="1"/>
  <c r="J589" i="1" s="1"/>
  <c r="K589" i="1"/>
  <c r="P589" i="1"/>
  <c r="Q589" i="1"/>
  <c r="U589" i="1"/>
  <c r="G591" i="1"/>
  <c r="I591" i="1"/>
  <c r="J591" i="1" s="1"/>
  <c r="K591" i="1"/>
  <c r="P591" i="1"/>
  <c r="Q591" i="1"/>
  <c r="U591" i="1"/>
  <c r="G592" i="1"/>
  <c r="I592" i="1"/>
  <c r="O592" i="1" s="1"/>
  <c r="K592" i="1"/>
  <c r="P592" i="1"/>
  <c r="Q592" i="1"/>
  <c r="U592" i="1"/>
  <c r="G593" i="1"/>
  <c r="I593" i="1"/>
  <c r="K593" i="1"/>
  <c r="P593" i="1"/>
  <c r="Q593" i="1"/>
  <c r="U593" i="1"/>
  <c r="G594" i="1"/>
  <c r="I594" i="1"/>
  <c r="K594" i="1"/>
  <c r="P594" i="1"/>
  <c r="Q594" i="1"/>
  <c r="U594" i="1"/>
  <c r="G595" i="1"/>
  <c r="I595" i="1"/>
  <c r="J595" i="1" s="1"/>
  <c r="K595" i="1"/>
  <c r="P595" i="1"/>
  <c r="Q595" i="1"/>
  <c r="U595" i="1"/>
  <c r="G596" i="1"/>
  <c r="I596" i="1"/>
  <c r="O596" i="1" s="1"/>
  <c r="K596" i="1"/>
  <c r="P596" i="1"/>
  <c r="Q596" i="1"/>
  <c r="U596" i="1"/>
  <c r="G597" i="1"/>
  <c r="I597" i="1"/>
  <c r="O597" i="1" s="1"/>
  <c r="K597" i="1"/>
  <c r="P597" i="1"/>
  <c r="Q597" i="1"/>
  <c r="U597" i="1"/>
  <c r="G598" i="1"/>
  <c r="I598" i="1"/>
  <c r="K598" i="1"/>
  <c r="P598" i="1"/>
  <c r="Q598" i="1"/>
  <c r="U598" i="1"/>
  <c r="G599" i="1"/>
  <c r="I599" i="1"/>
  <c r="J599" i="1" s="1"/>
  <c r="K599" i="1"/>
  <c r="P599" i="1"/>
  <c r="Q599" i="1"/>
  <c r="U599" i="1"/>
  <c r="G600" i="1"/>
  <c r="I600" i="1"/>
  <c r="J600" i="1" s="1"/>
  <c r="K600" i="1"/>
  <c r="P600" i="1"/>
  <c r="Q600" i="1"/>
  <c r="U600" i="1"/>
  <c r="G602" i="1"/>
  <c r="I602" i="1"/>
  <c r="J602" i="1" s="1"/>
  <c r="K602" i="1"/>
  <c r="P602" i="1"/>
  <c r="Q602" i="1"/>
  <c r="U602" i="1"/>
  <c r="G603" i="1"/>
  <c r="I603" i="1"/>
  <c r="O603" i="1" s="1"/>
  <c r="K603" i="1"/>
  <c r="P603" i="1"/>
  <c r="Q603" i="1"/>
  <c r="U603" i="1"/>
  <c r="G604" i="1"/>
  <c r="I604" i="1"/>
  <c r="O604" i="1" s="1"/>
  <c r="K604" i="1"/>
  <c r="P604" i="1"/>
  <c r="Q604" i="1"/>
  <c r="U604" i="1"/>
  <c r="G605" i="1"/>
  <c r="I605" i="1"/>
  <c r="J605" i="1" s="1"/>
  <c r="K605" i="1"/>
  <c r="P605" i="1"/>
  <c r="Q605" i="1"/>
  <c r="U605" i="1"/>
  <c r="G606" i="1"/>
  <c r="I606" i="1"/>
  <c r="J606" i="1" s="1"/>
  <c r="K606" i="1"/>
  <c r="P606" i="1"/>
  <c r="Q606" i="1"/>
  <c r="U606" i="1"/>
  <c r="G607" i="1"/>
  <c r="I607" i="1"/>
  <c r="J607" i="1" s="1"/>
  <c r="K607" i="1"/>
  <c r="P607" i="1"/>
  <c r="Q607" i="1"/>
  <c r="U607" i="1"/>
  <c r="G608" i="1"/>
  <c r="I608" i="1"/>
  <c r="K608" i="1"/>
  <c r="P608" i="1"/>
  <c r="Q608" i="1"/>
  <c r="U608" i="1"/>
  <c r="G609" i="1"/>
  <c r="I609" i="1"/>
  <c r="K609" i="1"/>
  <c r="P609" i="1"/>
  <c r="Q609" i="1"/>
  <c r="U609" i="1"/>
  <c r="G610" i="1"/>
  <c r="I610" i="1"/>
  <c r="J610" i="1" s="1"/>
  <c r="K610" i="1"/>
  <c r="P610" i="1"/>
  <c r="Q610" i="1"/>
  <c r="U610" i="1"/>
  <c r="G611" i="1"/>
  <c r="I611" i="1"/>
  <c r="O611" i="1" s="1"/>
  <c r="K611" i="1"/>
  <c r="P611" i="1"/>
  <c r="Q611" i="1"/>
  <c r="U611" i="1"/>
  <c r="G613" i="1"/>
  <c r="I613" i="1"/>
  <c r="K613" i="1"/>
  <c r="P613" i="1"/>
  <c r="Q613" i="1"/>
  <c r="U613" i="1"/>
  <c r="G614" i="1"/>
  <c r="I614" i="1"/>
  <c r="K614" i="1"/>
  <c r="P614" i="1"/>
  <c r="Q614" i="1"/>
  <c r="U614" i="1"/>
  <c r="G616" i="1"/>
  <c r="I616" i="1"/>
  <c r="K616" i="1"/>
  <c r="P616" i="1"/>
  <c r="Q616" i="1"/>
  <c r="U616" i="1"/>
  <c r="G617" i="1"/>
  <c r="I617" i="1"/>
  <c r="K617" i="1"/>
  <c r="P617" i="1"/>
  <c r="Q617" i="1"/>
  <c r="U617" i="1"/>
  <c r="G618" i="1"/>
  <c r="I618" i="1"/>
  <c r="O618" i="1" s="1"/>
  <c r="K618" i="1"/>
  <c r="P618" i="1"/>
  <c r="Q618" i="1"/>
  <c r="U618" i="1"/>
  <c r="G619" i="1"/>
  <c r="I619" i="1"/>
  <c r="K619" i="1"/>
  <c r="P619" i="1"/>
  <c r="Q619" i="1"/>
  <c r="U619" i="1"/>
  <c r="G620" i="1"/>
  <c r="I620" i="1"/>
  <c r="K620" i="1"/>
  <c r="P620" i="1"/>
  <c r="Q620" i="1"/>
  <c r="U620" i="1"/>
  <c r="G621" i="1"/>
  <c r="I621" i="1"/>
  <c r="K621" i="1"/>
  <c r="P621" i="1"/>
  <c r="Q621" i="1"/>
  <c r="U621" i="1"/>
  <c r="G622" i="1"/>
  <c r="I622" i="1"/>
  <c r="K622" i="1"/>
  <c r="P622" i="1"/>
  <c r="Q622" i="1"/>
  <c r="U622" i="1"/>
  <c r="G623" i="1"/>
  <c r="I623" i="1"/>
  <c r="K623" i="1"/>
  <c r="P623" i="1"/>
  <c r="Q623" i="1"/>
  <c r="U623" i="1"/>
  <c r="G624" i="1"/>
  <c r="I624" i="1"/>
  <c r="K624" i="1"/>
  <c r="P624" i="1"/>
  <c r="Q624" i="1"/>
  <c r="U624" i="1"/>
  <c r="G625" i="1"/>
  <c r="I625" i="1"/>
  <c r="K625" i="1"/>
  <c r="P625" i="1"/>
  <c r="Q625" i="1"/>
  <c r="U625" i="1"/>
  <c r="G626" i="1"/>
  <c r="I626" i="1"/>
  <c r="O626" i="1" s="1"/>
  <c r="K626" i="1"/>
  <c r="P626" i="1"/>
  <c r="Q626" i="1"/>
  <c r="U626" i="1"/>
  <c r="G627" i="1"/>
  <c r="I627" i="1"/>
  <c r="J627" i="1" s="1"/>
  <c r="K627" i="1"/>
  <c r="P627" i="1"/>
  <c r="Q627" i="1"/>
  <c r="U627" i="1"/>
  <c r="G628" i="1"/>
  <c r="I628" i="1"/>
  <c r="J628" i="1" s="1"/>
  <c r="K628" i="1"/>
  <c r="P628" i="1"/>
  <c r="Q628" i="1"/>
  <c r="U628" i="1"/>
  <c r="G629" i="1"/>
  <c r="I629" i="1"/>
  <c r="J629" i="1" s="1"/>
  <c r="K629" i="1"/>
  <c r="P629" i="1"/>
  <c r="Q629" i="1"/>
  <c r="U629" i="1"/>
  <c r="G630" i="1"/>
  <c r="I630" i="1"/>
  <c r="O630" i="1" s="1"/>
  <c r="K630" i="1"/>
  <c r="P630" i="1"/>
  <c r="Q630" i="1"/>
  <c r="U630" i="1"/>
  <c r="G632" i="1"/>
  <c r="I632" i="1"/>
  <c r="J632" i="1" s="1"/>
  <c r="K632" i="1"/>
  <c r="P632" i="1"/>
  <c r="Q632" i="1"/>
  <c r="U632" i="1"/>
  <c r="G633" i="1"/>
  <c r="I633" i="1"/>
  <c r="J633" i="1" s="1"/>
  <c r="K633" i="1"/>
  <c r="P633" i="1"/>
  <c r="Q633" i="1"/>
  <c r="U633" i="1"/>
  <c r="G635" i="1"/>
  <c r="I635" i="1"/>
  <c r="J635" i="1" s="1"/>
  <c r="K635" i="1"/>
  <c r="P635" i="1"/>
  <c r="Q635" i="1"/>
  <c r="U635" i="1"/>
  <c r="G636" i="1"/>
  <c r="I636" i="1"/>
  <c r="J636" i="1" s="1"/>
  <c r="K636" i="1"/>
  <c r="P636" i="1"/>
  <c r="Q636" i="1"/>
  <c r="U636" i="1"/>
  <c r="G637" i="1"/>
  <c r="I637" i="1"/>
  <c r="J637" i="1" s="1"/>
  <c r="K637" i="1"/>
  <c r="P637" i="1"/>
  <c r="Q637" i="1"/>
  <c r="U637" i="1"/>
  <c r="G638" i="1"/>
  <c r="I638" i="1"/>
  <c r="J638" i="1" s="1"/>
  <c r="K638" i="1"/>
  <c r="P638" i="1"/>
  <c r="Q638" i="1"/>
  <c r="U638" i="1"/>
  <c r="G639" i="1"/>
  <c r="I639" i="1"/>
  <c r="J639" i="1" s="1"/>
  <c r="K639" i="1"/>
  <c r="P639" i="1"/>
  <c r="Q639" i="1"/>
  <c r="U639" i="1"/>
  <c r="G640" i="1"/>
  <c r="I640" i="1"/>
  <c r="J640" i="1" s="1"/>
  <c r="K640" i="1"/>
  <c r="P640" i="1"/>
  <c r="Q640" i="1"/>
  <c r="U640" i="1"/>
  <c r="G641" i="1"/>
  <c r="I641" i="1"/>
  <c r="J641" i="1" s="1"/>
  <c r="K641" i="1"/>
  <c r="P641" i="1"/>
  <c r="Q641" i="1"/>
  <c r="U641" i="1"/>
  <c r="G643" i="1"/>
  <c r="I643" i="1"/>
  <c r="J643" i="1" s="1"/>
  <c r="K643" i="1"/>
  <c r="P643" i="1"/>
  <c r="Q643" i="1"/>
  <c r="U643" i="1"/>
  <c r="G645" i="1"/>
  <c r="I645" i="1"/>
  <c r="J645" i="1" s="1"/>
  <c r="K645" i="1"/>
  <c r="P645" i="1"/>
  <c r="Q645" i="1"/>
  <c r="U645" i="1"/>
  <c r="G646" i="1"/>
  <c r="I646" i="1"/>
  <c r="J646" i="1" s="1"/>
  <c r="K646" i="1"/>
  <c r="P646" i="1"/>
  <c r="Q646" i="1"/>
  <c r="U646" i="1"/>
  <c r="G647" i="1"/>
  <c r="I647" i="1"/>
  <c r="O647" i="1" s="1"/>
  <c r="K647" i="1"/>
  <c r="P647" i="1"/>
  <c r="Q647" i="1"/>
  <c r="U647" i="1"/>
  <c r="G648" i="1"/>
  <c r="I648" i="1"/>
  <c r="J648" i="1" s="1"/>
  <c r="K648" i="1"/>
  <c r="P648" i="1"/>
  <c r="Q648" i="1"/>
  <c r="U648" i="1"/>
  <c r="G649" i="1"/>
  <c r="I649" i="1"/>
  <c r="J649" i="1" s="1"/>
  <c r="K649" i="1"/>
  <c r="P649" i="1"/>
  <c r="Q649" i="1"/>
  <c r="U649" i="1"/>
  <c r="G650" i="1"/>
  <c r="I650" i="1"/>
  <c r="O650" i="1" s="1"/>
  <c r="K650" i="1"/>
  <c r="P650" i="1"/>
  <c r="Q650" i="1"/>
  <c r="U650" i="1"/>
  <c r="G651" i="1"/>
  <c r="I651" i="1"/>
  <c r="J651" i="1" s="1"/>
  <c r="K651" i="1"/>
  <c r="P651" i="1"/>
  <c r="Q651" i="1"/>
  <c r="U651" i="1"/>
  <c r="G652" i="1"/>
  <c r="I652" i="1"/>
  <c r="K652" i="1"/>
  <c r="P652" i="1"/>
  <c r="Q652" i="1"/>
  <c r="U652" i="1"/>
  <c r="G654" i="1"/>
  <c r="I654" i="1"/>
  <c r="J654" i="1" s="1"/>
  <c r="K654" i="1"/>
  <c r="P654" i="1"/>
  <c r="Q654" i="1"/>
  <c r="U654" i="1"/>
  <c r="G655" i="1"/>
  <c r="I655" i="1"/>
  <c r="O655" i="1" s="1"/>
  <c r="K655" i="1"/>
  <c r="P655" i="1"/>
  <c r="Q655" i="1"/>
  <c r="U655" i="1"/>
  <c r="G656" i="1"/>
  <c r="I656" i="1"/>
  <c r="J656" i="1" s="1"/>
  <c r="K656" i="1"/>
  <c r="P656" i="1"/>
  <c r="Q656" i="1"/>
  <c r="U656" i="1"/>
  <c r="G657" i="1"/>
  <c r="I657" i="1"/>
  <c r="K657" i="1"/>
  <c r="P657" i="1"/>
  <c r="Q657" i="1"/>
  <c r="U657" i="1"/>
  <c r="G658" i="1"/>
  <c r="I658" i="1"/>
  <c r="J658" i="1" s="1"/>
  <c r="K658" i="1"/>
  <c r="P658" i="1"/>
  <c r="Q658" i="1"/>
  <c r="U658" i="1"/>
  <c r="G659" i="1"/>
  <c r="I659" i="1"/>
  <c r="O659" i="1" s="1"/>
  <c r="K659" i="1"/>
  <c r="P659" i="1"/>
  <c r="Q659" i="1"/>
  <c r="U659" i="1"/>
  <c r="G660" i="1"/>
  <c r="I660" i="1"/>
  <c r="J660" i="1" s="1"/>
  <c r="K660" i="1"/>
  <c r="P660" i="1"/>
  <c r="Q660" i="1"/>
  <c r="U660" i="1"/>
  <c r="G661" i="1"/>
  <c r="I661" i="1"/>
  <c r="K661" i="1"/>
  <c r="P661" i="1"/>
  <c r="Q661" i="1"/>
  <c r="U661" i="1"/>
  <c r="G662" i="1"/>
  <c r="I662" i="1"/>
  <c r="J662" i="1" s="1"/>
  <c r="K662" i="1"/>
  <c r="P662" i="1"/>
  <c r="Q662" i="1"/>
  <c r="U662" i="1"/>
  <c r="G664" i="1"/>
  <c r="I664" i="1"/>
  <c r="O664" i="1" s="1"/>
  <c r="K664" i="1"/>
  <c r="P664" i="1"/>
  <c r="Q664" i="1"/>
  <c r="U664" i="1"/>
  <c r="G665" i="1"/>
  <c r="I665" i="1"/>
  <c r="O665" i="1" s="1"/>
  <c r="K665" i="1"/>
  <c r="P665" i="1"/>
  <c r="Q665" i="1"/>
  <c r="U665" i="1"/>
  <c r="G666" i="1"/>
  <c r="I666" i="1"/>
  <c r="O666" i="1" s="1"/>
  <c r="K666" i="1"/>
  <c r="P666" i="1"/>
  <c r="Q666" i="1"/>
  <c r="U666" i="1"/>
  <c r="G667" i="1"/>
  <c r="I667" i="1"/>
  <c r="K667" i="1"/>
  <c r="P667" i="1"/>
  <c r="Q667" i="1"/>
  <c r="U667" i="1"/>
  <c r="G668" i="1"/>
  <c r="I668" i="1"/>
  <c r="K668" i="1"/>
  <c r="P668" i="1"/>
  <c r="Q668" i="1"/>
  <c r="U668" i="1"/>
  <c r="G669" i="1"/>
  <c r="I669" i="1"/>
  <c r="O669" i="1" s="1"/>
  <c r="K669" i="1"/>
  <c r="P669" i="1"/>
  <c r="Q669" i="1"/>
  <c r="U669" i="1"/>
  <c r="G670" i="1"/>
  <c r="I670" i="1"/>
  <c r="J670" i="1" s="1"/>
  <c r="K670" i="1"/>
  <c r="P670" i="1"/>
  <c r="Q670" i="1"/>
  <c r="U670" i="1"/>
  <c r="G671" i="1"/>
  <c r="I671" i="1"/>
  <c r="O671" i="1" s="1"/>
  <c r="K671" i="1"/>
  <c r="P671" i="1"/>
  <c r="Q671" i="1"/>
  <c r="U671" i="1"/>
  <c r="G672" i="1"/>
  <c r="I672" i="1"/>
  <c r="J672" i="1" s="1"/>
  <c r="K672" i="1"/>
  <c r="P672" i="1"/>
  <c r="Q672" i="1"/>
  <c r="U672" i="1"/>
  <c r="G673" i="1"/>
  <c r="I673" i="1"/>
  <c r="O673" i="1" s="1"/>
  <c r="K673" i="1"/>
  <c r="P673" i="1"/>
  <c r="Q673" i="1"/>
  <c r="U673" i="1"/>
  <c r="G674" i="1"/>
  <c r="I674" i="1"/>
  <c r="J674" i="1" s="1"/>
  <c r="K674" i="1"/>
  <c r="P674" i="1"/>
  <c r="Q674" i="1"/>
  <c r="U674" i="1"/>
  <c r="G675" i="1"/>
  <c r="I675" i="1"/>
  <c r="K675" i="1"/>
  <c r="P675" i="1"/>
  <c r="Q675" i="1"/>
  <c r="U675" i="1"/>
  <c r="G676" i="1"/>
  <c r="I676" i="1"/>
  <c r="J676" i="1" s="1"/>
  <c r="K676" i="1"/>
  <c r="P676" i="1"/>
  <c r="Q676" i="1"/>
  <c r="U676" i="1"/>
  <c r="G677" i="1"/>
  <c r="I677" i="1"/>
  <c r="K677" i="1"/>
  <c r="P677" i="1"/>
  <c r="Q677" i="1"/>
  <c r="U677" i="1"/>
  <c r="G678" i="1"/>
  <c r="I678" i="1"/>
  <c r="K678" i="1"/>
  <c r="P678" i="1"/>
  <c r="Q678" i="1"/>
  <c r="U678" i="1"/>
  <c r="G680" i="1"/>
  <c r="I680" i="1"/>
  <c r="K680" i="1"/>
  <c r="P680" i="1"/>
  <c r="Q680" i="1"/>
  <c r="U680" i="1"/>
  <c r="G681" i="1"/>
  <c r="I681" i="1"/>
  <c r="K681" i="1"/>
  <c r="P681" i="1"/>
  <c r="Q681" i="1"/>
  <c r="U681" i="1"/>
  <c r="G683" i="1"/>
  <c r="I683" i="1"/>
  <c r="J683" i="1" s="1"/>
  <c r="K683" i="1"/>
  <c r="P683" i="1"/>
  <c r="Q683" i="1"/>
  <c r="U683" i="1"/>
  <c r="G684" i="1"/>
  <c r="I684" i="1"/>
  <c r="O684" i="1" s="1"/>
  <c r="K684" i="1"/>
  <c r="P684" i="1"/>
  <c r="Q684" i="1"/>
  <c r="U684" i="1"/>
  <c r="G685" i="1"/>
  <c r="I685" i="1"/>
  <c r="J685" i="1" s="1"/>
  <c r="K685" i="1"/>
  <c r="P685" i="1"/>
  <c r="Q685" i="1"/>
  <c r="U685" i="1"/>
  <c r="G686" i="1"/>
  <c r="I686" i="1"/>
  <c r="J686" i="1" s="1"/>
  <c r="K686" i="1"/>
  <c r="P686" i="1"/>
  <c r="Q686" i="1"/>
  <c r="U686" i="1"/>
  <c r="G687" i="1"/>
  <c r="I687" i="1"/>
  <c r="J687" i="1" s="1"/>
  <c r="K687" i="1"/>
  <c r="P687" i="1"/>
  <c r="Q687" i="1"/>
  <c r="U687" i="1"/>
  <c r="G688" i="1"/>
  <c r="I688" i="1"/>
  <c r="J688" i="1" s="1"/>
  <c r="K688" i="1"/>
  <c r="P688" i="1"/>
  <c r="Q688" i="1"/>
  <c r="U688" i="1"/>
  <c r="G689" i="1"/>
  <c r="I689" i="1"/>
  <c r="J689" i="1" s="1"/>
  <c r="K689" i="1"/>
  <c r="P689" i="1"/>
  <c r="Q689" i="1"/>
  <c r="U689" i="1"/>
  <c r="G690" i="1"/>
  <c r="I690" i="1"/>
  <c r="O690" i="1" s="1"/>
  <c r="K690" i="1"/>
  <c r="P690" i="1"/>
  <c r="Q690" i="1"/>
  <c r="U690" i="1"/>
  <c r="G691" i="1"/>
  <c r="I691" i="1"/>
  <c r="J691" i="1" s="1"/>
  <c r="K691" i="1"/>
  <c r="P691" i="1"/>
  <c r="Q691" i="1"/>
  <c r="U691" i="1"/>
  <c r="G692" i="1"/>
  <c r="I692" i="1"/>
  <c r="O692" i="1" s="1"/>
  <c r="K692" i="1"/>
  <c r="P692" i="1"/>
  <c r="Q692" i="1"/>
  <c r="U692" i="1"/>
  <c r="G694" i="1"/>
  <c r="I694" i="1"/>
  <c r="K694" i="1"/>
  <c r="P694" i="1"/>
  <c r="Q694" i="1"/>
  <c r="U694" i="1"/>
  <c r="G695" i="1"/>
  <c r="I695" i="1"/>
  <c r="K695" i="1"/>
  <c r="P695" i="1"/>
  <c r="Q695" i="1"/>
  <c r="U695" i="1"/>
  <c r="G696" i="1"/>
  <c r="I696" i="1"/>
  <c r="K696" i="1"/>
  <c r="P696" i="1"/>
  <c r="Q696" i="1"/>
  <c r="U696" i="1"/>
  <c r="G697" i="1"/>
  <c r="I697" i="1"/>
  <c r="K697" i="1"/>
  <c r="P697" i="1"/>
  <c r="Q697" i="1"/>
  <c r="U697" i="1"/>
  <c r="G699" i="1"/>
  <c r="I699" i="1"/>
  <c r="O699" i="1" s="1"/>
  <c r="K699" i="1"/>
  <c r="P699" i="1"/>
  <c r="Q699" i="1"/>
  <c r="U699" i="1"/>
  <c r="G700" i="1"/>
  <c r="I700" i="1"/>
  <c r="O700" i="1" s="1"/>
  <c r="K700" i="1"/>
  <c r="P700" i="1"/>
  <c r="Q700" i="1"/>
  <c r="U700" i="1"/>
  <c r="G701" i="1"/>
  <c r="I701" i="1"/>
  <c r="J701" i="1" s="1"/>
  <c r="K701" i="1"/>
  <c r="P701" i="1"/>
  <c r="Q701" i="1"/>
  <c r="U701" i="1"/>
  <c r="G702" i="1"/>
  <c r="I702" i="1"/>
  <c r="J702" i="1" s="1"/>
  <c r="K702" i="1"/>
  <c r="P702" i="1"/>
  <c r="Q702" i="1"/>
  <c r="U702" i="1"/>
  <c r="G703" i="1"/>
  <c r="I703" i="1"/>
  <c r="O703" i="1" s="1"/>
  <c r="K703" i="1"/>
  <c r="P703" i="1"/>
  <c r="Q703" i="1"/>
  <c r="U703" i="1"/>
  <c r="G709" i="1"/>
  <c r="I709" i="1"/>
  <c r="J709" i="1" s="1"/>
  <c r="K709" i="1"/>
  <c r="P709" i="1"/>
  <c r="Q709" i="1"/>
  <c r="U709" i="1"/>
  <c r="G710" i="1"/>
  <c r="I710" i="1"/>
  <c r="J710" i="1" s="1"/>
  <c r="K710" i="1"/>
  <c r="P710" i="1"/>
  <c r="Q710" i="1"/>
  <c r="U710" i="1"/>
  <c r="G711" i="1"/>
  <c r="I711" i="1"/>
  <c r="J711" i="1" s="1"/>
  <c r="K711" i="1"/>
  <c r="P711" i="1"/>
  <c r="Q711" i="1"/>
  <c r="U711" i="1"/>
  <c r="G712" i="1"/>
  <c r="I712" i="1"/>
  <c r="J712" i="1" s="1"/>
  <c r="K712" i="1"/>
  <c r="P712" i="1"/>
  <c r="Q712" i="1"/>
  <c r="U712" i="1"/>
  <c r="G714" i="1"/>
  <c r="I714" i="1"/>
  <c r="J714" i="1" s="1"/>
  <c r="K714" i="1"/>
  <c r="P714" i="1"/>
  <c r="Q714" i="1"/>
  <c r="U714" i="1"/>
  <c r="G715" i="1"/>
  <c r="I715" i="1"/>
  <c r="J715" i="1" s="1"/>
  <c r="K715" i="1"/>
  <c r="P715" i="1"/>
  <c r="Q715" i="1"/>
  <c r="U715" i="1"/>
  <c r="G716" i="1"/>
  <c r="I716" i="1"/>
  <c r="J716" i="1" s="1"/>
  <c r="K716" i="1"/>
  <c r="P716" i="1"/>
  <c r="Q716" i="1"/>
  <c r="U716" i="1"/>
  <c r="G717" i="1"/>
  <c r="I717" i="1"/>
  <c r="J717" i="1" s="1"/>
  <c r="K717" i="1"/>
  <c r="P717" i="1"/>
  <c r="Q717" i="1"/>
  <c r="U717" i="1"/>
  <c r="G718" i="1"/>
  <c r="I718" i="1"/>
  <c r="J718" i="1" s="1"/>
  <c r="K718" i="1"/>
  <c r="P718" i="1"/>
  <c r="Q718" i="1"/>
  <c r="U718" i="1"/>
  <c r="G724" i="1"/>
  <c r="I724" i="1"/>
  <c r="J724" i="1" s="1"/>
  <c r="K724" i="1"/>
  <c r="P724" i="1"/>
  <c r="Q724" i="1"/>
  <c r="U724" i="1"/>
  <c r="G725" i="1"/>
  <c r="I725" i="1"/>
  <c r="J725" i="1" s="1"/>
  <c r="K725" i="1"/>
  <c r="P725" i="1"/>
  <c r="Q725" i="1"/>
  <c r="U725" i="1"/>
  <c r="G726" i="1"/>
  <c r="I726" i="1"/>
  <c r="J726" i="1" s="1"/>
  <c r="K726" i="1"/>
  <c r="P726" i="1"/>
  <c r="Q726" i="1"/>
  <c r="U726" i="1"/>
  <c r="G727" i="1"/>
  <c r="I727" i="1"/>
  <c r="J727" i="1" s="1"/>
  <c r="K727" i="1"/>
  <c r="P727" i="1"/>
  <c r="Q727" i="1"/>
  <c r="U727" i="1"/>
  <c r="G728" i="1"/>
  <c r="I728" i="1"/>
  <c r="J728" i="1" s="1"/>
  <c r="K728" i="1"/>
  <c r="P728" i="1"/>
  <c r="Q728" i="1"/>
  <c r="U728" i="1"/>
  <c r="G730" i="1"/>
  <c r="I730" i="1"/>
  <c r="J730" i="1" s="1"/>
  <c r="K730" i="1"/>
  <c r="P730" i="1"/>
  <c r="Q730" i="1"/>
  <c r="U730" i="1"/>
  <c r="G731" i="1"/>
  <c r="I731" i="1"/>
  <c r="K731" i="1"/>
  <c r="P731" i="1"/>
  <c r="Q731" i="1"/>
  <c r="U731" i="1"/>
  <c r="G732" i="1"/>
  <c r="I732" i="1"/>
  <c r="O732" i="1" s="1"/>
  <c r="K732" i="1"/>
  <c r="P732" i="1"/>
  <c r="Q732" i="1"/>
  <c r="U732" i="1"/>
  <c r="G733" i="1"/>
  <c r="I733" i="1"/>
  <c r="O733" i="1" s="1"/>
  <c r="K733" i="1"/>
  <c r="P733" i="1"/>
  <c r="Q733" i="1"/>
  <c r="U733" i="1"/>
  <c r="G734" i="1"/>
  <c r="I734" i="1"/>
  <c r="K734" i="1"/>
  <c r="P734" i="1"/>
  <c r="Q734" i="1"/>
  <c r="U734" i="1"/>
  <c r="G735" i="1"/>
  <c r="I735" i="1"/>
  <c r="O735" i="1" s="1"/>
  <c r="K735" i="1"/>
  <c r="P735" i="1"/>
  <c r="Q735" i="1"/>
  <c r="U735" i="1"/>
  <c r="G737" i="1"/>
  <c r="I737" i="1"/>
  <c r="J737" i="1" s="1"/>
  <c r="K737" i="1"/>
  <c r="P737" i="1"/>
  <c r="Q737" i="1"/>
  <c r="U737" i="1"/>
  <c r="G738" i="1"/>
  <c r="I738" i="1"/>
  <c r="J738" i="1" s="1"/>
  <c r="K738" i="1"/>
  <c r="P738" i="1"/>
  <c r="Q738" i="1"/>
  <c r="U738" i="1"/>
  <c r="G739" i="1"/>
  <c r="I739" i="1"/>
  <c r="J739" i="1" s="1"/>
  <c r="K739" i="1"/>
  <c r="P739" i="1"/>
  <c r="Q739" i="1"/>
  <c r="U739" i="1"/>
  <c r="G740" i="1"/>
  <c r="I740" i="1"/>
  <c r="J740" i="1" s="1"/>
  <c r="K740" i="1"/>
  <c r="P740" i="1"/>
  <c r="Q740" i="1"/>
  <c r="U740" i="1"/>
  <c r="G741" i="1"/>
  <c r="I741" i="1"/>
  <c r="J741" i="1" s="1"/>
  <c r="K741" i="1"/>
  <c r="P741" i="1"/>
  <c r="Q741" i="1"/>
  <c r="U741" i="1"/>
  <c r="G743" i="1"/>
  <c r="I743" i="1"/>
  <c r="J743" i="1" s="1"/>
  <c r="K743" i="1"/>
  <c r="P743" i="1"/>
  <c r="Q743" i="1"/>
  <c r="U743" i="1"/>
  <c r="G744" i="1"/>
  <c r="I744" i="1"/>
  <c r="J744" i="1" s="1"/>
  <c r="K744" i="1"/>
  <c r="P744" i="1"/>
  <c r="Q744" i="1"/>
  <c r="U744" i="1"/>
  <c r="G745" i="1"/>
  <c r="I745" i="1"/>
  <c r="K745" i="1"/>
  <c r="P745" i="1"/>
  <c r="Q745" i="1"/>
  <c r="U745" i="1"/>
  <c r="G746" i="1"/>
  <c r="I746" i="1"/>
  <c r="J746" i="1" s="1"/>
  <c r="K746" i="1"/>
  <c r="P746" i="1"/>
  <c r="Q746" i="1"/>
  <c r="U746" i="1"/>
  <c r="G747" i="1"/>
  <c r="I747" i="1"/>
  <c r="J747" i="1" s="1"/>
  <c r="K747" i="1"/>
  <c r="P747" i="1"/>
  <c r="Q747" i="1"/>
  <c r="U747" i="1"/>
  <c r="G761" i="1"/>
  <c r="I761" i="1"/>
  <c r="K761" i="1"/>
  <c r="P761" i="1"/>
  <c r="Q761" i="1"/>
  <c r="U761" i="1"/>
  <c r="G763" i="1"/>
  <c r="I763" i="1"/>
  <c r="K763" i="1"/>
  <c r="P763" i="1"/>
  <c r="Q763" i="1"/>
  <c r="U763" i="1"/>
  <c r="G764" i="1"/>
  <c r="I764" i="1"/>
  <c r="K764" i="1"/>
  <c r="P764" i="1"/>
  <c r="Q764" i="1"/>
  <c r="U764" i="1"/>
  <c r="G766" i="1"/>
  <c r="I766" i="1"/>
  <c r="K766" i="1"/>
  <c r="P766" i="1"/>
  <c r="Q766" i="1"/>
  <c r="U766" i="1"/>
  <c r="G767" i="1"/>
  <c r="I767" i="1"/>
  <c r="O767" i="1" s="1"/>
  <c r="K767" i="1"/>
  <c r="P767" i="1"/>
  <c r="Q767" i="1"/>
  <c r="U767" i="1"/>
  <c r="G769" i="1"/>
  <c r="I769" i="1"/>
  <c r="K769" i="1"/>
  <c r="P769" i="1"/>
  <c r="Q769" i="1"/>
  <c r="U769" i="1"/>
  <c r="G771" i="1"/>
  <c r="I771" i="1"/>
  <c r="J771" i="1" s="1"/>
  <c r="K771" i="1"/>
  <c r="P771" i="1"/>
  <c r="Q771" i="1"/>
  <c r="U771" i="1"/>
  <c r="G772" i="1"/>
  <c r="I772" i="1"/>
  <c r="J772" i="1" s="1"/>
  <c r="K772" i="1"/>
  <c r="P772" i="1"/>
  <c r="Q772" i="1"/>
  <c r="U772" i="1"/>
  <c r="G773" i="1"/>
  <c r="I773" i="1"/>
  <c r="J773" i="1" s="1"/>
  <c r="K773" i="1"/>
  <c r="P773" i="1"/>
  <c r="Q773" i="1"/>
  <c r="U773" i="1"/>
  <c r="G774" i="1"/>
  <c r="I774" i="1"/>
  <c r="J774" i="1" s="1"/>
  <c r="K774" i="1"/>
  <c r="P774" i="1"/>
  <c r="Q774" i="1"/>
  <c r="U774" i="1"/>
  <c r="G775" i="1"/>
  <c r="I775" i="1"/>
  <c r="J775" i="1" s="1"/>
  <c r="K775" i="1"/>
  <c r="P775" i="1"/>
  <c r="Q775" i="1"/>
  <c r="U775" i="1"/>
  <c r="G777" i="1"/>
  <c r="I777" i="1"/>
  <c r="O777" i="1" s="1"/>
  <c r="K777" i="1"/>
  <c r="P777" i="1"/>
  <c r="Q777" i="1"/>
  <c r="U777" i="1"/>
  <c r="G778" i="1"/>
  <c r="I778" i="1"/>
  <c r="O778" i="1" s="1"/>
  <c r="K778" i="1"/>
  <c r="P778" i="1"/>
  <c r="Q778" i="1"/>
  <c r="U778" i="1"/>
  <c r="G779" i="1"/>
  <c r="I779" i="1"/>
  <c r="O779" i="1" s="1"/>
  <c r="K779" i="1"/>
  <c r="P779" i="1"/>
  <c r="Q779" i="1"/>
  <c r="U779" i="1"/>
  <c r="G780" i="1"/>
  <c r="I780" i="1"/>
  <c r="J780" i="1" s="1"/>
  <c r="K780" i="1"/>
  <c r="P780" i="1"/>
  <c r="Q780" i="1"/>
  <c r="U780" i="1"/>
  <c r="O788" i="1"/>
  <c r="O781" i="1" s="1"/>
  <c r="P788" i="1"/>
  <c r="Q788" i="1"/>
  <c r="Q781" i="1" s="1"/>
  <c r="T781" i="1"/>
  <c r="U788" i="1"/>
  <c r="G790" i="1"/>
  <c r="I790" i="1"/>
  <c r="J790" i="1" s="1"/>
  <c r="K790" i="1"/>
  <c r="P790" i="1"/>
  <c r="Q790" i="1"/>
  <c r="U790" i="1"/>
  <c r="G791" i="1"/>
  <c r="I791" i="1"/>
  <c r="J791" i="1" s="1"/>
  <c r="K791" i="1"/>
  <c r="P791" i="1"/>
  <c r="Q791" i="1"/>
  <c r="U791" i="1"/>
  <c r="G792" i="1"/>
  <c r="I792" i="1"/>
  <c r="J792" i="1" s="1"/>
  <c r="K792" i="1"/>
  <c r="P792" i="1"/>
  <c r="Q792" i="1"/>
  <c r="U792" i="1"/>
  <c r="G793" i="1"/>
  <c r="I793" i="1"/>
  <c r="J793" i="1" s="1"/>
  <c r="K793" i="1"/>
  <c r="P793" i="1"/>
  <c r="Q793" i="1"/>
  <c r="U793" i="1"/>
  <c r="G794" i="1"/>
  <c r="I794" i="1"/>
  <c r="J794" i="1" s="1"/>
  <c r="K794" i="1"/>
  <c r="P794" i="1"/>
  <c r="Q794" i="1"/>
  <c r="U794" i="1"/>
  <c r="G795" i="1"/>
  <c r="I795" i="1"/>
  <c r="J795" i="1" s="1"/>
  <c r="K795" i="1"/>
  <c r="P795" i="1"/>
  <c r="Q795" i="1"/>
  <c r="U795" i="1"/>
  <c r="G796" i="1"/>
  <c r="I796" i="1"/>
  <c r="J796" i="1" s="1"/>
  <c r="K796" i="1"/>
  <c r="P796" i="1"/>
  <c r="Q796" i="1"/>
  <c r="U796" i="1"/>
  <c r="G798" i="1"/>
  <c r="I798" i="1"/>
  <c r="J798" i="1" s="1"/>
  <c r="K798" i="1"/>
  <c r="P798" i="1"/>
  <c r="Q798" i="1"/>
  <c r="U798" i="1"/>
  <c r="G799" i="1"/>
  <c r="I799" i="1"/>
  <c r="J799" i="1" s="1"/>
  <c r="K799" i="1"/>
  <c r="P799" i="1"/>
  <c r="Q799" i="1"/>
  <c r="U799" i="1"/>
  <c r="G800" i="1"/>
  <c r="I800" i="1"/>
  <c r="J800" i="1" s="1"/>
  <c r="K800" i="1"/>
  <c r="P800" i="1"/>
  <c r="Q800" i="1"/>
  <c r="U800" i="1"/>
  <c r="G802" i="1"/>
  <c r="I802" i="1"/>
  <c r="J802" i="1" s="1"/>
  <c r="K802" i="1"/>
  <c r="P802" i="1"/>
  <c r="Q802" i="1"/>
  <c r="U802" i="1"/>
  <c r="G803" i="1"/>
  <c r="I803" i="1"/>
  <c r="J803" i="1" s="1"/>
  <c r="K803" i="1"/>
  <c r="P803" i="1"/>
  <c r="Q803" i="1"/>
  <c r="U803" i="1"/>
  <c r="G809" i="1"/>
  <c r="I809" i="1"/>
  <c r="J809" i="1" s="1"/>
  <c r="K809" i="1"/>
  <c r="P809" i="1"/>
  <c r="Q809" i="1"/>
  <c r="U809" i="1"/>
  <c r="G810" i="1"/>
  <c r="I810" i="1"/>
  <c r="J810" i="1" s="1"/>
  <c r="K810" i="1"/>
  <c r="P810" i="1"/>
  <c r="Q810" i="1"/>
  <c r="U810" i="1"/>
  <c r="G811" i="1"/>
  <c r="I811" i="1"/>
  <c r="J811" i="1" s="1"/>
  <c r="K811" i="1"/>
  <c r="P811" i="1"/>
  <c r="Q811" i="1"/>
  <c r="U811" i="1"/>
  <c r="G813" i="1"/>
  <c r="I813" i="1"/>
  <c r="J813" i="1" s="1"/>
  <c r="K813" i="1"/>
  <c r="P813" i="1"/>
  <c r="Q813" i="1"/>
  <c r="U813" i="1"/>
  <c r="G814" i="1"/>
  <c r="I814" i="1"/>
  <c r="J814" i="1" s="1"/>
  <c r="K814" i="1"/>
  <c r="P814" i="1"/>
  <c r="Q814" i="1"/>
  <c r="U814" i="1"/>
  <c r="G815" i="1"/>
  <c r="I815" i="1"/>
  <c r="J815" i="1" s="1"/>
  <c r="K815" i="1"/>
  <c r="P815" i="1"/>
  <c r="Q815" i="1"/>
  <c r="U815" i="1"/>
  <c r="G816" i="1"/>
  <c r="I816" i="1"/>
  <c r="J816" i="1" s="1"/>
  <c r="K816" i="1"/>
  <c r="P816" i="1"/>
  <c r="Q816" i="1"/>
  <c r="U816" i="1"/>
  <c r="G818" i="1"/>
  <c r="I818" i="1"/>
  <c r="K818" i="1"/>
  <c r="P818" i="1"/>
  <c r="Q818" i="1"/>
  <c r="U818" i="1"/>
  <c r="G819" i="1"/>
  <c r="I819" i="1"/>
  <c r="K819" i="1"/>
  <c r="P819" i="1"/>
  <c r="Q819" i="1"/>
  <c r="U819" i="1"/>
  <c r="G820" i="1"/>
  <c r="I820" i="1"/>
  <c r="K820" i="1"/>
  <c r="P820" i="1"/>
  <c r="Q820" i="1"/>
  <c r="U820" i="1"/>
  <c r="G821" i="1"/>
  <c r="I821" i="1"/>
  <c r="K821" i="1"/>
  <c r="P821" i="1"/>
  <c r="Q821" i="1"/>
  <c r="U821" i="1"/>
  <c r="G822" i="1"/>
  <c r="I822" i="1"/>
  <c r="J822" i="1" s="1"/>
  <c r="K822" i="1"/>
  <c r="P822" i="1"/>
  <c r="Q822" i="1"/>
  <c r="U822" i="1"/>
  <c r="G823" i="1"/>
  <c r="I823" i="1"/>
  <c r="J823" i="1" s="1"/>
  <c r="K823" i="1"/>
  <c r="P823" i="1"/>
  <c r="Q823" i="1"/>
  <c r="U823" i="1"/>
  <c r="G832" i="1"/>
  <c r="I832" i="1"/>
  <c r="K832" i="1"/>
  <c r="P832" i="1"/>
  <c r="Q832" i="1"/>
  <c r="U832" i="1"/>
  <c r="G833" i="1"/>
  <c r="I833" i="1"/>
  <c r="K833" i="1"/>
  <c r="P833" i="1"/>
  <c r="Q833" i="1"/>
  <c r="U833" i="1"/>
  <c r="G834" i="1"/>
  <c r="I834" i="1"/>
  <c r="K834" i="1"/>
  <c r="P834" i="1"/>
  <c r="Q834" i="1"/>
  <c r="U834" i="1"/>
  <c r="G835" i="1"/>
  <c r="I835" i="1"/>
  <c r="K835" i="1"/>
  <c r="P835" i="1"/>
  <c r="Q835" i="1"/>
  <c r="U835" i="1"/>
  <c r="G836" i="1"/>
  <c r="I836" i="1"/>
  <c r="K836" i="1"/>
  <c r="P836" i="1"/>
  <c r="Q836" i="1"/>
  <c r="U836" i="1"/>
  <c r="G837" i="1"/>
  <c r="I837" i="1"/>
  <c r="K837" i="1"/>
  <c r="P837" i="1"/>
  <c r="Q837" i="1"/>
  <c r="U837" i="1"/>
  <c r="G838" i="1"/>
  <c r="I838" i="1"/>
  <c r="K838" i="1"/>
  <c r="P838" i="1"/>
  <c r="Q838" i="1"/>
  <c r="U838" i="1"/>
  <c r="G839" i="1"/>
  <c r="I839" i="1"/>
  <c r="K839" i="1"/>
  <c r="P839" i="1"/>
  <c r="Q839" i="1"/>
  <c r="U839" i="1"/>
  <c r="G841" i="1"/>
  <c r="I841" i="1"/>
  <c r="K841" i="1"/>
  <c r="P841" i="1"/>
  <c r="Q841" i="1"/>
  <c r="U841" i="1"/>
  <c r="G842" i="1"/>
  <c r="I842" i="1"/>
  <c r="O842" i="1" s="1"/>
  <c r="K842" i="1"/>
  <c r="P842" i="1"/>
  <c r="Q842" i="1"/>
  <c r="U842" i="1"/>
  <c r="G843" i="1"/>
  <c r="I843" i="1"/>
  <c r="J843" i="1" s="1"/>
  <c r="K843" i="1"/>
  <c r="P843" i="1"/>
  <c r="Q843" i="1"/>
  <c r="U843" i="1"/>
  <c r="G844" i="1"/>
  <c r="I844" i="1"/>
  <c r="J844" i="1" s="1"/>
  <c r="K844" i="1"/>
  <c r="P844" i="1"/>
  <c r="Q844" i="1"/>
  <c r="U844" i="1"/>
  <c r="G845" i="1"/>
  <c r="I845" i="1"/>
  <c r="J845" i="1" s="1"/>
  <c r="K845" i="1"/>
  <c r="P845" i="1"/>
  <c r="Q845" i="1"/>
  <c r="U845" i="1"/>
  <c r="G846" i="1"/>
  <c r="I846" i="1"/>
  <c r="J846" i="1" s="1"/>
  <c r="K846" i="1"/>
  <c r="P846" i="1"/>
  <c r="Q846" i="1"/>
  <c r="U846" i="1"/>
  <c r="G847" i="1"/>
  <c r="I847" i="1"/>
  <c r="K847" i="1"/>
  <c r="P847" i="1"/>
  <c r="Q847" i="1"/>
  <c r="U847" i="1"/>
  <c r="G848" i="1"/>
  <c r="I848" i="1"/>
  <c r="O848" i="1" s="1"/>
  <c r="K848" i="1"/>
  <c r="P848" i="1"/>
  <c r="Q848" i="1"/>
  <c r="U848" i="1"/>
  <c r="G850" i="1"/>
  <c r="I850" i="1"/>
  <c r="J850" i="1" s="1"/>
  <c r="K850" i="1"/>
  <c r="P850" i="1"/>
  <c r="Q850" i="1"/>
  <c r="U850" i="1"/>
  <c r="G851" i="1"/>
  <c r="I851" i="1"/>
  <c r="O851" i="1" s="1"/>
  <c r="K851" i="1"/>
  <c r="P851" i="1"/>
  <c r="Q851" i="1"/>
  <c r="U851" i="1"/>
  <c r="G852" i="1"/>
  <c r="I852" i="1"/>
  <c r="K852" i="1"/>
  <c r="P852" i="1"/>
  <c r="Q852" i="1"/>
  <c r="U852" i="1"/>
  <c r="G853" i="1"/>
  <c r="I853" i="1"/>
  <c r="O853" i="1" s="1"/>
  <c r="K853" i="1"/>
  <c r="P853" i="1"/>
  <c r="Q853" i="1"/>
  <c r="U853" i="1"/>
  <c r="G854" i="1"/>
  <c r="I854" i="1"/>
  <c r="K854" i="1"/>
  <c r="P854" i="1"/>
  <c r="Q854" i="1"/>
  <c r="U854" i="1"/>
  <c r="G855" i="1"/>
  <c r="I855" i="1"/>
  <c r="J855" i="1" s="1"/>
  <c r="K855" i="1"/>
  <c r="P855" i="1"/>
  <c r="Q855" i="1"/>
  <c r="U855" i="1"/>
  <c r="G857" i="1"/>
  <c r="I857" i="1"/>
  <c r="J857" i="1" s="1"/>
  <c r="K857" i="1"/>
  <c r="P857" i="1"/>
  <c r="Q857" i="1"/>
  <c r="U857" i="1"/>
  <c r="G858" i="1"/>
  <c r="I858" i="1"/>
  <c r="J858" i="1" s="1"/>
  <c r="K858" i="1"/>
  <c r="P858" i="1"/>
  <c r="Q858" i="1"/>
  <c r="U858" i="1"/>
  <c r="G859" i="1"/>
  <c r="I859" i="1"/>
  <c r="K859" i="1"/>
  <c r="P859" i="1"/>
  <c r="Q859" i="1"/>
  <c r="U859" i="1"/>
  <c r="G860" i="1"/>
  <c r="I860" i="1"/>
  <c r="J860" i="1" s="1"/>
  <c r="K860" i="1"/>
  <c r="P860" i="1"/>
  <c r="Q860" i="1"/>
  <c r="U860" i="1"/>
  <c r="G861" i="1"/>
  <c r="I861" i="1"/>
  <c r="J861" i="1" s="1"/>
  <c r="K861" i="1"/>
  <c r="P861" i="1"/>
  <c r="Q861" i="1"/>
  <c r="U861" i="1"/>
  <c r="G862" i="1"/>
  <c r="I862" i="1"/>
  <c r="J862" i="1" s="1"/>
  <c r="K862" i="1"/>
  <c r="P862" i="1"/>
  <c r="Q862" i="1"/>
  <c r="U862" i="1"/>
  <c r="G864" i="1"/>
  <c r="I864" i="1"/>
  <c r="O864" i="1" s="1"/>
  <c r="K864" i="1"/>
  <c r="P864" i="1"/>
  <c r="Q864" i="1"/>
  <c r="U864" i="1"/>
  <c r="G865" i="1"/>
  <c r="I865" i="1"/>
  <c r="O865" i="1" s="1"/>
  <c r="K865" i="1"/>
  <c r="P865" i="1"/>
  <c r="Q865" i="1"/>
  <c r="U865" i="1"/>
  <c r="G866" i="1"/>
  <c r="I866" i="1"/>
  <c r="K866" i="1"/>
  <c r="P866" i="1"/>
  <c r="Q866" i="1"/>
  <c r="U866" i="1"/>
  <c r="G867" i="1"/>
  <c r="I867" i="1"/>
  <c r="J867" i="1" s="1"/>
  <c r="K867" i="1"/>
  <c r="P867" i="1"/>
  <c r="Q867" i="1"/>
  <c r="U867" i="1"/>
  <c r="G869" i="1"/>
  <c r="I869" i="1"/>
  <c r="K869" i="1"/>
  <c r="P869" i="1"/>
  <c r="Q869" i="1"/>
  <c r="U869" i="1"/>
  <c r="G870" i="1"/>
  <c r="I870" i="1"/>
  <c r="K870" i="1"/>
  <c r="P870" i="1"/>
  <c r="Q870" i="1"/>
  <c r="U870" i="1"/>
  <c r="G871" i="1"/>
  <c r="I871" i="1"/>
  <c r="K871" i="1"/>
  <c r="P871" i="1"/>
  <c r="Q871" i="1"/>
  <c r="U871" i="1"/>
  <c r="G872" i="1"/>
  <c r="I872" i="1"/>
  <c r="O872" i="1" s="1"/>
  <c r="K872" i="1"/>
  <c r="P872" i="1"/>
  <c r="Q872" i="1"/>
  <c r="U872" i="1"/>
  <c r="G873" i="1"/>
  <c r="I873" i="1"/>
  <c r="K873" i="1"/>
  <c r="P873" i="1"/>
  <c r="Q873" i="1"/>
  <c r="U873" i="1"/>
  <c r="G875" i="1"/>
  <c r="I875" i="1"/>
  <c r="O875" i="1" s="1"/>
  <c r="K875" i="1"/>
  <c r="P875" i="1"/>
  <c r="Q875" i="1"/>
  <c r="U875" i="1"/>
  <c r="G876" i="1"/>
  <c r="I876" i="1"/>
  <c r="J876" i="1" s="1"/>
  <c r="K876" i="1"/>
  <c r="P876" i="1"/>
  <c r="Q876" i="1"/>
  <c r="U876" i="1"/>
  <c r="G877" i="1"/>
  <c r="I877" i="1"/>
  <c r="J877" i="1" s="1"/>
  <c r="K877" i="1"/>
  <c r="P877" i="1"/>
  <c r="Q877" i="1"/>
  <c r="U877" i="1"/>
  <c r="G879" i="1"/>
  <c r="I879" i="1"/>
  <c r="J879" i="1" s="1"/>
  <c r="K879" i="1"/>
  <c r="P879" i="1"/>
  <c r="Q879" i="1"/>
  <c r="U879" i="1"/>
  <c r="G880" i="1"/>
  <c r="I880" i="1"/>
  <c r="K880" i="1"/>
  <c r="P880" i="1"/>
  <c r="Q880" i="1"/>
  <c r="U880" i="1"/>
  <c r="G881" i="1"/>
  <c r="I881" i="1"/>
  <c r="J881" i="1" s="1"/>
  <c r="K881" i="1"/>
  <c r="P881" i="1"/>
  <c r="Q881" i="1"/>
  <c r="U881" i="1"/>
  <c r="G883" i="1"/>
  <c r="I883" i="1"/>
  <c r="K883" i="1"/>
  <c r="P883" i="1"/>
  <c r="Q883" i="1"/>
  <c r="U883" i="1"/>
  <c r="G884" i="1"/>
  <c r="I884" i="1"/>
  <c r="J884" i="1" s="1"/>
  <c r="K884" i="1"/>
  <c r="P884" i="1"/>
  <c r="Q884" i="1"/>
  <c r="U884" i="1"/>
  <c r="G885" i="1"/>
  <c r="I885" i="1"/>
  <c r="K885" i="1"/>
  <c r="P885" i="1"/>
  <c r="Q885" i="1"/>
  <c r="U885" i="1"/>
  <c r="G886" i="1"/>
  <c r="I886" i="1"/>
  <c r="J886" i="1" s="1"/>
  <c r="K886" i="1"/>
  <c r="P886" i="1"/>
  <c r="Q886" i="1"/>
  <c r="U886" i="1"/>
  <c r="G887" i="1"/>
  <c r="I887" i="1"/>
  <c r="J887" i="1" s="1"/>
  <c r="K887" i="1"/>
  <c r="P887" i="1"/>
  <c r="Q887" i="1"/>
  <c r="U887" i="1"/>
  <c r="G888" i="1"/>
  <c r="I888" i="1"/>
  <c r="O888" i="1" s="1"/>
  <c r="K888" i="1"/>
  <c r="P888" i="1"/>
  <c r="Q888" i="1"/>
  <c r="U888" i="1"/>
  <c r="G889" i="1"/>
  <c r="I889" i="1"/>
  <c r="O889" i="1" s="1"/>
  <c r="K889" i="1"/>
  <c r="P889" i="1"/>
  <c r="Q889" i="1"/>
  <c r="U889" i="1"/>
  <c r="G890" i="1"/>
  <c r="I890" i="1"/>
  <c r="O890" i="1" s="1"/>
  <c r="K890" i="1"/>
  <c r="P890" i="1"/>
  <c r="Q890" i="1"/>
  <c r="U890" i="1"/>
  <c r="G891" i="1"/>
  <c r="I891" i="1"/>
  <c r="K891" i="1"/>
  <c r="P891" i="1"/>
  <c r="Q891" i="1"/>
  <c r="U891" i="1"/>
  <c r="G892" i="1"/>
  <c r="I892" i="1"/>
  <c r="J892" i="1" s="1"/>
  <c r="K892" i="1"/>
  <c r="P892" i="1"/>
  <c r="Q892" i="1"/>
  <c r="U892" i="1"/>
  <c r="G893" i="1"/>
  <c r="I893" i="1"/>
  <c r="K893" i="1"/>
  <c r="P893" i="1"/>
  <c r="Q893" i="1"/>
  <c r="U893" i="1"/>
  <c r="G894" i="1"/>
  <c r="I894" i="1"/>
  <c r="J894" i="1" s="1"/>
  <c r="K894" i="1"/>
  <c r="P894" i="1"/>
  <c r="Q894" i="1"/>
  <c r="U894" i="1"/>
  <c r="G895" i="1"/>
  <c r="I895" i="1"/>
  <c r="J895" i="1" s="1"/>
  <c r="K895" i="1"/>
  <c r="P895" i="1"/>
  <c r="Q895" i="1"/>
  <c r="U895" i="1"/>
  <c r="G897" i="1"/>
  <c r="I897" i="1"/>
  <c r="J897" i="1" s="1"/>
  <c r="K897" i="1"/>
  <c r="P897" i="1"/>
  <c r="Q897" i="1"/>
  <c r="U897" i="1"/>
  <c r="G898" i="1"/>
  <c r="I898" i="1"/>
  <c r="K898" i="1"/>
  <c r="P898" i="1"/>
  <c r="Q898" i="1"/>
  <c r="U898" i="1"/>
  <c r="G899" i="1"/>
  <c r="I899" i="1"/>
  <c r="J899" i="1" s="1"/>
  <c r="K899" i="1"/>
  <c r="P899" i="1"/>
  <c r="Q899" i="1"/>
  <c r="U899" i="1"/>
  <c r="G901" i="1"/>
  <c r="I901" i="1"/>
  <c r="O901" i="1" s="1"/>
  <c r="K901" i="1"/>
  <c r="P901" i="1"/>
  <c r="Q901" i="1"/>
  <c r="U901" i="1"/>
  <c r="G902" i="1"/>
  <c r="I902" i="1"/>
  <c r="J902" i="1" s="1"/>
  <c r="K902" i="1"/>
  <c r="P902" i="1"/>
  <c r="Q902" i="1"/>
  <c r="U902" i="1"/>
  <c r="G903" i="1"/>
  <c r="I903" i="1"/>
  <c r="J903" i="1" s="1"/>
  <c r="K903" i="1"/>
  <c r="P903" i="1"/>
  <c r="Q903" i="1"/>
  <c r="U903" i="1"/>
  <c r="G904" i="1"/>
  <c r="I904" i="1"/>
  <c r="O904" i="1" s="1"/>
  <c r="K904" i="1"/>
  <c r="P904" i="1"/>
  <c r="Q904" i="1"/>
  <c r="U904" i="1"/>
  <c r="G905" i="1"/>
  <c r="I905" i="1"/>
  <c r="O905" i="1" s="1"/>
  <c r="K905" i="1"/>
  <c r="P905" i="1"/>
  <c r="Q905" i="1"/>
  <c r="U905" i="1"/>
  <c r="G906" i="1"/>
  <c r="I906" i="1"/>
  <c r="O906" i="1" s="1"/>
  <c r="K906" i="1"/>
  <c r="P906" i="1"/>
  <c r="Q906" i="1"/>
  <c r="U906" i="1"/>
  <c r="G907" i="1"/>
  <c r="I907" i="1"/>
  <c r="K907" i="1"/>
  <c r="P907" i="1"/>
  <c r="Q907" i="1"/>
  <c r="U907" i="1"/>
  <c r="G908" i="1"/>
  <c r="I908" i="1"/>
  <c r="J908" i="1" s="1"/>
  <c r="K908" i="1"/>
  <c r="P908" i="1"/>
  <c r="Q908" i="1"/>
  <c r="U908" i="1"/>
  <c r="G909" i="1"/>
  <c r="I909" i="1"/>
  <c r="O909" i="1" s="1"/>
  <c r="K909" i="1"/>
  <c r="P909" i="1"/>
  <c r="Q909" i="1"/>
  <c r="U909" i="1"/>
  <c r="G910" i="1"/>
  <c r="I910" i="1"/>
  <c r="O910" i="1" s="1"/>
  <c r="K910" i="1"/>
  <c r="P910" i="1"/>
  <c r="Q910" i="1"/>
  <c r="U910" i="1"/>
  <c r="G911" i="1"/>
  <c r="I911" i="1"/>
  <c r="J911" i="1" s="1"/>
  <c r="K911" i="1"/>
  <c r="P911" i="1"/>
  <c r="Q911" i="1"/>
  <c r="U911" i="1"/>
  <c r="G912" i="1"/>
  <c r="I912" i="1"/>
  <c r="O912" i="1" s="1"/>
  <c r="K912" i="1"/>
  <c r="P912" i="1"/>
  <c r="Q912" i="1"/>
  <c r="U912" i="1"/>
  <c r="G913" i="1"/>
  <c r="I913" i="1"/>
  <c r="K913" i="1"/>
  <c r="P913" i="1"/>
  <c r="Q913" i="1"/>
  <c r="U913" i="1"/>
  <c r="G914" i="1"/>
  <c r="I914" i="1"/>
  <c r="K914" i="1"/>
  <c r="P914" i="1"/>
  <c r="Q914" i="1"/>
  <c r="U914" i="1"/>
  <c r="G915" i="1"/>
  <c r="I915" i="1"/>
  <c r="K915" i="1"/>
  <c r="P915" i="1"/>
  <c r="Q915" i="1"/>
  <c r="U915" i="1"/>
  <c r="G916" i="1"/>
  <c r="I916" i="1"/>
  <c r="J916" i="1" s="1"/>
  <c r="K916" i="1"/>
  <c r="P916" i="1"/>
  <c r="Q916" i="1"/>
  <c r="U916" i="1"/>
  <c r="G917" i="1"/>
  <c r="I917" i="1"/>
  <c r="O917" i="1" s="1"/>
  <c r="K917" i="1"/>
  <c r="P917" i="1"/>
  <c r="Q917" i="1"/>
  <c r="U917" i="1"/>
  <c r="G918" i="1"/>
  <c r="I918" i="1"/>
  <c r="O918" i="1" s="1"/>
  <c r="K918" i="1"/>
  <c r="P918" i="1"/>
  <c r="Q918" i="1"/>
  <c r="U918" i="1"/>
  <c r="G919" i="1"/>
  <c r="I919" i="1"/>
  <c r="J919" i="1" s="1"/>
  <c r="K919" i="1"/>
  <c r="P919" i="1"/>
  <c r="Q919" i="1"/>
  <c r="U919" i="1"/>
  <c r="G920" i="1"/>
  <c r="I920" i="1"/>
  <c r="O920" i="1" s="1"/>
  <c r="K920" i="1"/>
  <c r="P920" i="1"/>
  <c r="Q920" i="1"/>
  <c r="U920" i="1"/>
  <c r="G924" i="1"/>
  <c r="I924" i="1"/>
  <c r="O924" i="1" s="1"/>
  <c r="K924" i="1"/>
  <c r="P924" i="1"/>
  <c r="Q924" i="1"/>
  <c r="U924" i="1"/>
  <c r="G926" i="1"/>
  <c r="I926" i="1"/>
  <c r="O926" i="1" s="1"/>
  <c r="K926" i="1"/>
  <c r="P926" i="1"/>
  <c r="Q926" i="1"/>
  <c r="U926" i="1"/>
  <c r="G927" i="1"/>
  <c r="I927" i="1"/>
  <c r="K927" i="1"/>
  <c r="P927" i="1"/>
  <c r="Q927" i="1"/>
  <c r="U927" i="1"/>
  <c r="G928" i="1"/>
  <c r="I928" i="1"/>
  <c r="J928" i="1" s="1"/>
  <c r="K928" i="1"/>
  <c r="P928" i="1"/>
  <c r="Q928" i="1"/>
  <c r="U928" i="1"/>
  <c r="G929" i="1"/>
  <c r="I929" i="1"/>
  <c r="O929" i="1" s="1"/>
  <c r="K929" i="1"/>
  <c r="P929" i="1"/>
  <c r="Q929" i="1"/>
  <c r="U929" i="1"/>
  <c r="G930" i="1"/>
  <c r="I930" i="1"/>
  <c r="J930" i="1" s="1"/>
  <c r="K930" i="1"/>
  <c r="P930" i="1"/>
  <c r="Q930" i="1"/>
  <c r="U930" i="1"/>
  <c r="G931" i="1"/>
  <c r="I931" i="1"/>
  <c r="J931" i="1" s="1"/>
  <c r="K931" i="1"/>
  <c r="P931" i="1"/>
  <c r="Q931" i="1"/>
  <c r="U931" i="1"/>
  <c r="G932" i="1"/>
  <c r="I932" i="1"/>
  <c r="O932" i="1" s="1"/>
  <c r="K932" i="1"/>
  <c r="P932" i="1"/>
  <c r="Q932" i="1"/>
  <c r="U932" i="1"/>
  <c r="G933" i="1"/>
  <c r="I933" i="1"/>
  <c r="K933" i="1"/>
  <c r="P933" i="1"/>
  <c r="Q933" i="1"/>
  <c r="U933" i="1"/>
  <c r="G934" i="1"/>
  <c r="I934" i="1"/>
  <c r="K934" i="1"/>
  <c r="P934" i="1"/>
  <c r="Q934" i="1"/>
  <c r="U934" i="1"/>
  <c r="G935" i="1"/>
  <c r="I935" i="1"/>
  <c r="K935" i="1"/>
  <c r="P935" i="1"/>
  <c r="Q935" i="1"/>
  <c r="U935" i="1"/>
  <c r="G936" i="1"/>
  <c r="I936" i="1"/>
  <c r="J936" i="1" s="1"/>
  <c r="K936" i="1"/>
  <c r="P936" i="1"/>
  <c r="Q936" i="1"/>
  <c r="U936" i="1"/>
  <c r="G937" i="1"/>
  <c r="I937" i="1"/>
  <c r="O937" i="1" s="1"/>
  <c r="K937" i="1"/>
  <c r="P937" i="1"/>
  <c r="Q937" i="1"/>
  <c r="U937" i="1"/>
  <c r="G938" i="1"/>
  <c r="I938" i="1"/>
  <c r="J938" i="1" s="1"/>
  <c r="K938" i="1"/>
  <c r="P938" i="1"/>
  <c r="Q938" i="1"/>
  <c r="U938" i="1"/>
  <c r="G939" i="1"/>
  <c r="I939" i="1"/>
  <c r="J939" i="1" s="1"/>
  <c r="K939" i="1"/>
  <c r="P939" i="1"/>
  <c r="Q939" i="1"/>
  <c r="U939" i="1"/>
  <c r="G940" i="1"/>
  <c r="I940" i="1"/>
  <c r="O940" i="1" s="1"/>
  <c r="K940" i="1"/>
  <c r="P940" i="1"/>
  <c r="Q940" i="1"/>
  <c r="U940" i="1"/>
  <c r="G941" i="1"/>
  <c r="I941" i="1"/>
  <c r="O941" i="1" s="1"/>
  <c r="K941" i="1"/>
  <c r="P941" i="1"/>
  <c r="Q941" i="1"/>
  <c r="U941" i="1"/>
  <c r="G942" i="1"/>
  <c r="I942" i="1"/>
  <c r="O942" i="1" s="1"/>
  <c r="K942" i="1"/>
  <c r="P942" i="1"/>
  <c r="Q942" i="1"/>
  <c r="U942" i="1"/>
  <c r="G943" i="1"/>
  <c r="I943" i="1"/>
  <c r="J943" i="1" s="1"/>
  <c r="K943" i="1"/>
  <c r="P943" i="1"/>
  <c r="Q943" i="1"/>
  <c r="U943" i="1"/>
  <c r="G945" i="1"/>
  <c r="I945" i="1"/>
  <c r="J945" i="1" s="1"/>
  <c r="K945" i="1"/>
  <c r="P945" i="1"/>
  <c r="Q945" i="1"/>
  <c r="U945" i="1"/>
  <c r="G946" i="1"/>
  <c r="I946" i="1"/>
  <c r="O946" i="1" s="1"/>
  <c r="K946" i="1"/>
  <c r="P946" i="1"/>
  <c r="Q946" i="1"/>
  <c r="U946" i="1"/>
  <c r="G947" i="1"/>
  <c r="I947" i="1"/>
  <c r="O947" i="1" s="1"/>
  <c r="K947" i="1"/>
  <c r="P947" i="1"/>
  <c r="Q947" i="1"/>
  <c r="U947" i="1"/>
  <c r="G948" i="1"/>
  <c r="I948" i="1"/>
  <c r="J948" i="1" s="1"/>
  <c r="K948" i="1"/>
  <c r="P948" i="1"/>
  <c r="Q948" i="1"/>
  <c r="U948" i="1"/>
  <c r="G949" i="1"/>
  <c r="I949" i="1"/>
  <c r="O949" i="1" s="1"/>
  <c r="K949" i="1"/>
  <c r="P949" i="1"/>
  <c r="Q949" i="1"/>
  <c r="U949" i="1"/>
  <c r="G950" i="1"/>
  <c r="I950" i="1"/>
  <c r="O950" i="1" s="1"/>
  <c r="K950" i="1"/>
  <c r="P950" i="1"/>
  <c r="Q950" i="1"/>
  <c r="U950" i="1"/>
  <c r="G951" i="1"/>
  <c r="I951" i="1"/>
  <c r="K951" i="1"/>
  <c r="P951" i="1"/>
  <c r="Q951" i="1"/>
  <c r="U951" i="1"/>
  <c r="G952" i="1"/>
  <c r="I952" i="1"/>
  <c r="K952" i="1"/>
  <c r="P952" i="1"/>
  <c r="Q952" i="1"/>
  <c r="U952" i="1"/>
  <c r="G954" i="1"/>
  <c r="I954" i="1"/>
  <c r="J954" i="1" s="1"/>
  <c r="K954" i="1"/>
  <c r="P954" i="1"/>
  <c r="Q954" i="1"/>
  <c r="U954" i="1"/>
  <c r="G955" i="1"/>
  <c r="I955" i="1"/>
  <c r="O955" i="1" s="1"/>
  <c r="K955" i="1"/>
  <c r="P955" i="1"/>
  <c r="Q955" i="1"/>
  <c r="U955" i="1"/>
  <c r="G956" i="1"/>
  <c r="I956" i="1"/>
  <c r="O956" i="1" s="1"/>
  <c r="K956" i="1"/>
  <c r="P956" i="1"/>
  <c r="Q956" i="1"/>
  <c r="U956" i="1"/>
  <c r="G958" i="1"/>
  <c r="I958" i="1"/>
  <c r="J958" i="1" s="1"/>
  <c r="K958" i="1"/>
  <c r="P958" i="1"/>
  <c r="Q958" i="1"/>
  <c r="U958" i="1"/>
  <c r="G959" i="1"/>
  <c r="I959" i="1"/>
  <c r="J959" i="1" s="1"/>
  <c r="K959" i="1"/>
  <c r="P959" i="1"/>
  <c r="Q959" i="1"/>
  <c r="U959" i="1"/>
  <c r="G960" i="1"/>
  <c r="I960" i="1"/>
  <c r="O960" i="1" s="1"/>
  <c r="K960" i="1"/>
  <c r="P960" i="1"/>
  <c r="Q960" i="1"/>
  <c r="U960" i="1"/>
  <c r="G961" i="1"/>
  <c r="I961" i="1"/>
  <c r="O961" i="1" s="1"/>
  <c r="K961" i="1"/>
  <c r="P961" i="1"/>
  <c r="Q961" i="1"/>
  <c r="U961" i="1"/>
  <c r="G962" i="1"/>
  <c r="I962" i="1"/>
  <c r="J962" i="1" s="1"/>
  <c r="K962" i="1"/>
  <c r="P962" i="1"/>
  <c r="Q962" i="1"/>
  <c r="U962" i="1"/>
  <c r="G963" i="1"/>
  <c r="I963" i="1"/>
  <c r="J963" i="1" s="1"/>
  <c r="K963" i="1"/>
  <c r="P963" i="1"/>
  <c r="Q963" i="1"/>
  <c r="U963" i="1"/>
  <c r="G964" i="1"/>
  <c r="I964" i="1"/>
  <c r="O964" i="1" s="1"/>
  <c r="K964" i="1"/>
  <c r="P964" i="1"/>
  <c r="Q964" i="1"/>
  <c r="U964" i="1"/>
  <c r="G965" i="1"/>
  <c r="I965" i="1"/>
  <c r="O965" i="1" s="1"/>
  <c r="K965" i="1"/>
  <c r="P965" i="1"/>
  <c r="Q965" i="1"/>
  <c r="U965" i="1"/>
  <c r="G966" i="1"/>
  <c r="I966" i="1"/>
  <c r="J966" i="1" s="1"/>
  <c r="K966" i="1"/>
  <c r="P966" i="1"/>
  <c r="Q966" i="1"/>
  <c r="U966" i="1"/>
  <c r="G969" i="1"/>
  <c r="I969" i="1"/>
  <c r="J969" i="1" s="1"/>
  <c r="K969" i="1"/>
  <c r="P969" i="1"/>
  <c r="Q969" i="1"/>
  <c r="U969" i="1"/>
  <c r="G971" i="1"/>
  <c r="I971" i="1"/>
  <c r="K971" i="1"/>
  <c r="P971" i="1"/>
  <c r="Q971" i="1"/>
  <c r="U971" i="1"/>
  <c r="G972" i="1"/>
  <c r="I972" i="1"/>
  <c r="K972" i="1"/>
  <c r="P972" i="1"/>
  <c r="Q972" i="1"/>
  <c r="U972" i="1"/>
  <c r="G973" i="1"/>
  <c r="I973" i="1"/>
  <c r="K973" i="1"/>
  <c r="P973" i="1"/>
  <c r="Q973" i="1"/>
  <c r="U973" i="1"/>
  <c r="G974" i="1"/>
  <c r="I974" i="1"/>
  <c r="K974" i="1"/>
  <c r="P974" i="1"/>
  <c r="Q974" i="1"/>
  <c r="U974" i="1"/>
  <c r="G975" i="1"/>
  <c r="I975" i="1"/>
  <c r="K975" i="1"/>
  <c r="P975" i="1"/>
  <c r="Q975" i="1"/>
  <c r="U975" i="1"/>
  <c r="G976" i="1"/>
  <c r="I976" i="1"/>
  <c r="K976" i="1"/>
  <c r="P976" i="1"/>
  <c r="Q976" i="1"/>
  <c r="U976" i="1"/>
  <c r="G977" i="1"/>
  <c r="I977" i="1"/>
  <c r="K977" i="1"/>
  <c r="P977" i="1"/>
  <c r="Q977" i="1"/>
  <c r="U977" i="1"/>
  <c r="G978" i="1"/>
  <c r="I978" i="1"/>
  <c r="K978" i="1"/>
  <c r="P978" i="1"/>
  <c r="Q978" i="1"/>
  <c r="U978" i="1"/>
  <c r="G979" i="1"/>
  <c r="I979" i="1"/>
  <c r="K979" i="1"/>
  <c r="P979" i="1"/>
  <c r="Q979" i="1"/>
  <c r="U979" i="1"/>
  <c r="G980" i="1"/>
  <c r="I980" i="1"/>
  <c r="K980" i="1"/>
  <c r="P980" i="1"/>
  <c r="Q980" i="1"/>
  <c r="U980" i="1"/>
  <c r="G981" i="1"/>
  <c r="I981" i="1"/>
  <c r="K981" i="1"/>
  <c r="P981" i="1"/>
  <c r="Q981" i="1"/>
  <c r="U981" i="1"/>
  <c r="G982" i="1"/>
  <c r="I982" i="1"/>
  <c r="K982" i="1"/>
  <c r="P982" i="1"/>
  <c r="Q982" i="1"/>
  <c r="U982" i="1"/>
  <c r="G983" i="1"/>
  <c r="I983" i="1"/>
  <c r="K983" i="1"/>
  <c r="P983" i="1"/>
  <c r="Q983" i="1"/>
  <c r="U983" i="1"/>
  <c r="G984" i="1"/>
  <c r="I984" i="1"/>
  <c r="K984" i="1"/>
  <c r="P984" i="1"/>
  <c r="Q984" i="1"/>
  <c r="U984" i="1"/>
  <c r="G985" i="1"/>
  <c r="I985" i="1"/>
  <c r="K985" i="1"/>
  <c r="P985" i="1"/>
  <c r="Q985" i="1"/>
  <c r="U985" i="1"/>
  <c r="G986" i="1"/>
  <c r="I986" i="1"/>
  <c r="K986" i="1"/>
  <c r="P986" i="1"/>
  <c r="Q986" i="1"/>
  <c r="U986" i="1"/>
  <c r="G989" i="1"/>
  <c r="I989" i="1"/>
  <c r="K989" i="1"/>
  <c r="P989" i="1"/>
  <c r="Q989" i="1"/>
  <c r="U989" i="1"/>
  <c r="G990" i="1"/>
  <c r="I990" i="1"/>
  <c r="K990" i="1"/>
  <c r="P990" i="1"/>
  <c r="Q990" i="1"/>
  <c r="U990" i="1"/>
  <c r="G991" i="1"/>
  <c r="I991" i="1"/>
  <c r="K991" i="1"/>
  <c r="P991" i="1"/>
  <c r="Q991" i="1"/>
  <c r="U991" i="1"/>
  <c r="G992" i="1"/>
  <c r="I992" i="1"/>
  <c r="K992" i="1"/>
  <c r="P992" i="1"/>
  <c r="Q992" i="1"/>
  <c r="U992" i="1"/>
  <c r="G994" i="1"/>
  <c r="I994" i="1"/>
  <c r="J994" i="1" s="1"/>
  <c r="K994" i="1"/>
  <c r="P994" i="1"/>
  <c r="Q994" i="1"/>
  <c r="U994" i="1"/>
  <c r="G995" i="1"/>
  <c r="I995" i="1"/>
  <c r="J995" i="1" s="1"/>
  <c r="K995" i="1"/>
  <c r="P995" i="1"/>
  <c r="Q995" i="1"/>
  <c r="U995" i="1"/>
  <c r="G996" i="1"/>
  <c r="I996" i="1"/>
  <c r="K996" i="1"/>
  <c r="P996" i="1"/>
  <c r="Q996" i="1"/>
  <c r="U996" i="1"/>
  <c r="G997" i="1"/>
  <c r="I997" i="1"/>
  <c r="J997" i="1" s="1"/>
  <c r="K997" i="1"/>
  <c r="P997" i="1"/>
  <c r="Q997" i="1"/>
  <c r="U997" i="1"/>
  <c r="G999" i="1"/>
  <c r="I999" i="1"/>
  <c r="J999" i="1" s="1"/>
  <c r="K999" i="1"/>
  <c r="P999" i="1"/>
  <c r="Q999" i="1"/>
  <c r="U999" i="1"/>
  <c r="G1000" i="1"/>
  <c r="I1000" i="1"/>
  <c r="K1000" i="1"/>
  <c r="P1000" i="1"/>
  <c r="Q1000" i="1"/>
  <c r="U1000" i="1"/>
  <c r="G1001" i="1"/>
  <c r="I1001" i="1"/>
  <c r="J1001" i="1" s="1"/>
  <c r="K1001" i="1"/>
  <c r="P1001" i="1"/>
  <c r="Q1001" i="1"/>
  <c r="U1001" i="1"/>
  <c r="G1002" i="1"/>
  <c r="I1002" i="1"/>
  <c r="K1002" i="1"/>
  <c r="P1002" i="1"/>
  <c r="Q1002" i="1"/>
  <c r="U1002" i="1"/>
  <c r="G1003" i="1"/>
  <c r="I1003" i="1"/>
  <c r="J1003" i="1" s="1"/>
  <c r="K1003" i="1"/>
  <c r="P1003" i="1"/>
  <c r="Q1003" i="1"/>
  <c r="U1003" i="1"/>
  <c r="G1004" i="1"/>
  <c r="I1004" i="1"/>
  <c r="J1004" i="1" s="1"/>
  <c r="K1004" i="1"/>
  <c r="P1004" i="1"/>
  <c r="Q1004" i="1"/>
  <c r="U1004" i="1"/>
  <c r="G1005" i="1"/>
  <c r="I1005" i="1"/>
  <c r="K1005" i="1"/>
  <c r="P1005" i="1"/>
  <c r="Q1005" i="1"/>
  <c r="U1005" i="1"/>
  <c r="G1006" i="1"/>
  <c r="I1006" i="1"/>
  <c r="J1006" i="1" s="1"/>
  <c r="K1006" i="1"/>
  <c r="P1006" i="1"/>
  <c r="Q1006" i="1"/>
  <c r="U1006" i="1"/>
  <c r="G1007" i="1"/>
  <c r="I1007" i="1"/>
  <c r="O1007" i="1" s="1"/>
  <c r="K1007" i="1"/>
  <c r="P1007" i="1"/>
  <c r="Q1007" i="1"/>
  <c r="U1007" i="1"/>
  <c r="G1009" i="1"/>
  <c r="I1009" i="1"/>
  <c r="J1009" i="1" s="1"/>
  <c r="K1009" i="1"/>
  <c r="P1009" i="1"/>
  <c r="Q1009" i="1"/>
  <c r="U1009" i="1"/>
  <c r="G1010" i="1"/>
  <c r="I1010" i="1"/>
  <c r="O1010" i="1" s="1"/>
  <c r="K1010" i="1"/>
  <c r="P1010" i="1"/>
  <c r="Q1010" i="1"/>
  <c r="U1010" i="1"/>
  <c r="G1011" i="1"/>
  <c r="I1011" i="1"/>
  <c r="O1011" i="1" s="1"/>
  <c r="K1011" i="1"/>
  <c r="P1011" i="1"/>
  <c r="Q1011" i="1"/>
  <c r="U1011" i="1"/>
  <c r="G1012" i="1"/>
  <c r="I1012" i="1"/>
  <c r="O1012" i="1" s="1"/>
  <c r="K1012" i="1"/>
  <c r="P1012" i="1"/>
  <c r="Q1012" i="1"/>
  <c r="U1012" i="1"/>
  <c r="G1013" i="1"/>
  <c r="I1013" i="1"/>
  <c r="J1013" i="1" s="1"/>
  <c r="K1013" i="1"/>
  <c r="P1013" i="1"/>
  <c r="Q1013" i="1"/>
  <c r="U1013" i="1"/>
  <c r="G1014" i="1"/>
  <c r="I1014" i="1"/>
  <c r="J1014" i="1" s="1"/>
  <c r="K1014" i="1"/>
  <c r="P1014" i="1"/>
  <c r="Q1014" i="1"/>
  <c r="U1014" i="1"/>
  <c r="G1015" i="1"/>
  <c r="I1015" i="1"/>
  <c r="O1015" i="1" s="1"/>
  <c r="K1015" i="1"/>
  <c r="P1015" i="1"/>
  <c r="Q1015" i="1"/>
  <c r="U1015" i="1"/>
  <c r="G1016" i="1"/>
  <c r="I1016" i="1"/>
  <c r="J1016" i="1" s="1"/>
  <c r="K1016" i="1"/>
  <c r="P1016" i="1"/>
  <c r="Q1016" i="1"/>
  <c r="U1016" i="1"/>
  <c r="G1017" i="1"/>
  <c r="I1017" i="1"/>
  <c r="J1017" i="1" s="1"/>
  <c r="K1017" i="1"/>
  <c r="P1017" i="1"/>
  <c r="Q1017" i="1"/>
  <c r="U1017" i="1"/>
  <c r="G1018" i="1"/>
  <c r="I1018" i="1"/>
  <c r="J1018" i="1" s="1"/>
  <c r="K1018" i="1"/>
  <c r="P1018" i="1"/>
  <c r="Q1018" i="1"/>
  <c r="U1018" i="1"/>
  <c r="G1019" i="1"/>
  <c r="I1019" i="1"/>
  <c r="O1019" i="1" s="1"/>
  <c r="K1019" i="1"/>
  <c r="P1019" i="1"/>
  <c r="Q1019" i="1"/>
  <c r="U1019" i="1"/>
  <c r="G1020" i="1"/>
  <c r="I1020" i="1"/>
  <c r="O1020" i="1" s="1"/>
  <c r="K1020" i="1"/>
  <c r="P1020" i="1"/>
  <c r="Q1020" i="1"/>
  <c r="U1020" i="1"/>
  <c r="G1022" i="1"/>
  <c r="I1022" i="1"/>
  <c r="O1022" i="1" s="1"/>
  <c r="K1022" i="1"/>
  <c r="P1022" i="1"/>
  <c r="Q1022" i="1"/>
  <c r="U1022" i="1"/>
  <c r="G1023" i="1"/>
  <c r="I1023" i="1"/>
  <c r="O1023" i="1" s="1"/>
  <c r="K1023" i="1"/>
  <c r="P1023" i="1"/>
  <c r="Q1023" i="1"/>
  <c r="U1023" i="1"/>
  <c r="G1024" i="1"/>
  <c r="I1024" i="1"/>
  <c r="J1024" i="1" s="1"/>
  <c r="K1024" i="1"/>
  <c r="P1024" i="1"/>
  <c r="Q1024" i="1"/>
  <c r="U1024" i="1"/>
  <c r="G1025" i="1"/>
  <c r="I1025" i="1"/>
  <c r="O1025" i="1" s="1"/>
  <c r="K1025" i="1"/>
  <c r="P1025" i="1"/>
  <c r="Q1025" i="1"/>
  <c r="U1025" i="1"/>
  <c r="G1026" i="1"/>
  <c r="I1026" i="1"/>
  <c r="O1026" i="1" s="1"/>
  <c r="K1026" i="1"/>
  <c r="P1026" i="1"/>
  <c r="Q1026" i="1"/>
  <c r="U1026" i="1"/>
  <c r="G1027" i="1"/>
  <c r="I1027" i="1"/>
  <c r="O1027" i="1" s="1"/>
  <c r="K1027" i="1"/>
  <c r="P1027" i="1"/>
  <c r="Q1027" i="1"/>
  <c r="U1027" i="1"/>
  <c r="G1028" i="1"/>
  <c r="I1028" i="1"/>
  <c r="J1028" i="1" s="1"/>
  <c r="K1028" i="1"/>
  <c r="P1028" i="1"/>
  <c r="Q1028" i="1"/>
  <c r="U1028" i="1"/>
  <c r="G1029" i="1"/>
  <c r="I1029" i="1"/>
  <c r="O1029" i="1" s="1"/>
  <c r="K1029" i="1"/>
  <c r="P1029" i="1"/>
  <c r="Q1029" i="1"/>
  <c r="U1029" i="1"/>
  <c r="G1030" i="1"/>
  <c r="I1030" i="1"/>
  <c r="O1030" i="1" s="1"/>
  <c r="K1030" i="1"/>
  <c r="P1030" i="1"/>
  <c r="Q1030" i="1"/>
  <c r="U1030" i="1"/>
  <c r="G1031" i="1"/>
  <c r="I1031" i="1"/>
  <c r="O1031" i="1" s="1"/>
  <c r="K1031" i="1"/>
  <c r="P1031" i="1"/>
  <c r="Q1031" i="1"/>
  <c r="U1031" i="1"/>
  <c r="G1032" i="1"/>
  <c r="I1032" i="1"/>
  <c r="J1032" i="1" s="1"/>
  <c r="K1032" i="1"/>
  <c r="P1032" i="1"/>
  <c r="Q1032" i="1"/>
  <c r="U1032" i="1"/>
  <c r="G1033" i="1"/>
  <c r="I1033" i="1"/>
  <c r="O1033" i="1" s="1"/>
  <c r="K1033" i="1"/>
  <c r="P1033" i="1"/>
  <c r="Q1033" i="1"/>
  <c r="U1033" i="1"/>
  <c r="G1035" i="1"/>
  <c r="I1035" i="1"/>
  <c r="K1035" i="1"/>
  <c r="P1035" i="1"/>
  <c r="Q1035" i="1"/>
  <c r="U1035" i="1"/>
  <c r="G1036" i="1"/>
  <c r="I1036" i="1"/>
  <c r="J1036" i="1" s="1"/>
  <c r="K1036" i="1"/>
  <c r="P1036" i="1"/>
  <c r="Q1036" i="1"/>
  <c r="U1036" i="1"/>
  <c r="G1037" i="1"/>
  <c r="I1037" i="1"/>
  <c r="J1037" i="1" s="1"/>
  <c r="K1037" i="1"/>
  <c r="P1037" i="1"/>
  <c r="Q1037" i="1"/>
  <c r="U1037" i="1"/>
  <c r="G1038" i="1"/>
  <c r="I1038" i="1"/>
  <c r="J1038" i="1" s="1"/>
  <c r="K1038" i="1"/>
  <c r="P1038" i="1"/>
  <c r="Q1038" i="1"/>
  <c r="U1038" i="1"/>
  <c r="G1039" i="1"/>
  <c r="I1039" i="1"/>
  <c r="J1039" i="1" s="1"/>
  <c r="K1039" i="1"/>
  <c r="P1039" i="1"/>
  <c r="Q1039" i="1"/>
  <c r="U1039" i="1"/>
  <c r="G1040" i="1"/>
  <c r="I1040" i="1"/>
  <c r="J1040" i="1" s="1"/>
  <c r="K1040" i="1"/>
  <c r="P1040" i="1"/>
  <c r="Q1040" i="1"/>
  <c r="U1040" i="1"/>
  <c r="G1041" i="1"/>
  <c r="I1041" i="1"/>
  <c r="J1041" i="1" s="1"/>
  <c r="K1041" i="1"/>
  <c r="P1041" i="1"/>
  <c r="Q1041" i="1"/>
  <c r="U1041" i="1"/>
  <c r="G1042" i="1"/>
  <c r="I1042" i="1"/>
  <c r="J1042" i="1" s="1"/>
  <c r="K1042" i="1"/>
  <c r="P1042" i="1"/>
  <c r="Q1042" i="1"/>
  <c r="U1042" i="1"/>
  <c r="G1043" i="1"/>
  <c r="I1043" i="1"/>
  <c r="J1043" i="1" s="1"/>
  <c r="K1043" i="1"/>
  <c r="P1043" i="1"/>
  <c r="Q1043" i="1"/>
  <c r="U1043" i="1"/>
  <c r="G1044" i="1"/>
  <c r="I1044" i="1"/>
  <c r="J1044" i="1" s="1"/>
  <c r="K1044" i="1"/>
  <c r="P1044" i="1"/>
  <c r="Q1044" i="1"/>
  <c r="U1044" i="1"/>
  <c r="G1045" i="1"/>
  <c r="I1045" i="1"/>
  <c r="J1045" i="1" s="1"/>
  <c r="K1045" i="1"/>
  <c r="P1045" i="1"/>
  <c r="Q1045" i="1"/>
  <c r="U1045" i="1"/>
  <c r="G1046" i="1"/>
  <c r="I1046" i="1"/>
  <c r="K1046" i="1"/>
  <c r="P1046" i="1"/>
  <c r="Q1046" i="1"/>
  <c r="U1046" i="1"/>
  <c r="G1047" i="1"/>
  <c r="I1047" i="1"/>
  <c r="O1047" i="1" s="1"/>
  <c r="K1047" i="1"/>
  <c r="P1047" i="1"/>
  <c r="Q1047" i="1"/>
  <c r="U1047" i="1"/>
  <c r="G1048" i="1"/>
  <c r="I1048" i="1"/>
  <c r="O1048" i="1" s="1"/>
  <c r="K1048" i="1"/>
  <c r="P1048" i="1"/>
  <c r="Q1048" i="1"/>
  <c r="U1048" i="1"/>
  <c r="G1050" i="1"/>
  <c r="I1050" i="1"/>
  <c r="K1050" i="1"/>
  <c r="P1050" i="1"/>
  <c r="Q1050" i="1"/>
  <c r="U1050" i="1"/>
  <c r="G1051" i="1"/>
  <c r="I1051" i="1"/>
  <c r="J1051" i="1" s="1"/>
  <c r="K1051" i="1"/>
  <c r="P1051" i="1"/>
  <c r="Q1051" i="1"/>
  <c r="U1051" i="1"/>
  <c r="G1052" i="1"/>
  <c r="I1052" i="1"/>
  <c r="J1052" i="1" s="1"/>
  <c r="K1052" i="1"/>
  <c r="P1052" i="1"/>
  <c r="Q1052" i="1"/>
  <c r="U1052" i="1"/>
  <c r="G1053" i="1"/>
  <c r="I1053" i="1"/>
  <c r="J1053" i="1" s="1"/>
  <c r="K1053" i="1"/>
  <c r="P1053" i="1"/>
  <c r="Q1053" i="1"/>
  <c r="U1053" i="1"/>
  <c r="G1054" i="1"/>
  <c r="I1054" i="1"/>
  <c r="J1054" i="1" s="1"/>
  <c r="K1054" i="1"/>
  <c r="P1054" i="1"/>
  <c r="Q1054" i="1"/>
  <c r="U1054" i="1"/>
  <c r="G1055" i="1"/>
  <c r="I1055" i="1"/>
  <c r="J1055" i="1" s="1"/>
  <c r="K1055" i="1"/>
  <c r="P1055" i="1"/>
  <c r="Q1055" i="1"/>
  <c r="U1055" i="1"/>
  <c r="G1056" i="1"/>
  <c r="I1056" i="1"/>
  <c r="J1056" i="1" s="1"/>
  <c r="K1056" i="1"/>
  <c r="P1056" i="1"/>
  <c r="Q1056" i="1"/>
  <c r="U1056" i="1"/>
  <c r="G1057" i="1"/>
  <c r="I1057" i="1"/>
  <c r="K1057" i="1"/>
  <c r="P1057" i="1"/>
  <c r="Q1057" i="1"/>
  <c r="U1057" i="1"/>
  <c r="G1058" i="1"/>
  <c r="I1058" i="1"/>
  <c r="J1058" i="1" s="1"/>
  <c r="K1058" i="1"/>
  <c r="P1058" i="1"/>
  <c r="Q1058" i="1"/>
  <c r="U1058" i="1"/>
  <c r="G1059" i="1"/>
  <c r="I1059" i="1"/>
  <c r="J1059" i="1" s="1"/>
  <c r="K1059" i="1"/>
  <c r="P1059" i="1"/>
  <c r="Q1059" i="1"/>
  <c r="U1059" i="1"/>
  <c r="G1061" i="1"/>
  <c r="I1061" i="1"/>
  <c r="J1061" i="1" s="1"/>
  <c r="K1061" i="1"/>
  <c r="P1061" i="1"/>
  <c r="Q1061" i="1"/>
  <c r="U1061" i="1"/>
  <c r="G1062" i="1"/>
  <c r="I1062" i="1"/>
  <c r="J1062" i="1" s="1"/>
  <c r="K1062" i="1"/>
  <c r="P1062" i="1"/>
  <c r="Q1062" i="1"/>
  <c r="U1062" i="1"/>
  <c r="G1063" i="1"/>
  <c r="I1063" i="1"/>
  <c r="K1063" i="1"/>
  <c r="P1063" i="1"/>
  <c r="Q1063" i="1"/>
  <c r="U1063" i="1"/>
  <c r="G1064" i="1"/>
  <c r="I1064" i="1"/>
  <c r="K1064" i="1"/>
  <c r="P1064" i="1"/>
  <c r="Q1064" i="1"/>
  <c r="U1064" i="1"/>
  <c r="G1065" i="1"/>
  <c r="I1065" i="1"/>
  <c r="J1065" i="1" s="1"/>
  <c r="K1065" i="1"/>
  <c r="P1065" i="1"/>
  <c r="Q1065" i="1"/>
  <c r="U1065" i="1"/>
  <c r="G1066" i="1"/>
  <c r="I1066" i="1"/>
  <c r="O1066" i="1" s="1"/>
  <c r="K1066" i="1"/>
  <c r="P1066" i="1"/>
  <c r="Q1066" i="1"/>
  <c r="U1066" i="1"/>
  <c r="G1067" i="1"/>
  <c r="I1067" i="1"/>
  <c r="K1067" i="1"/>
  <c r="P1067" i="1"/>
  <c r="Q1067" i="1"/>
  <c r="U1067" i="1"/>
  <c r="G1068" i="1"/>
  <c r="I1068" i="1"/>
  <c r="K1068" i="1"/>
  <c r="P1068" i="1"/>
  <c r="Q1068" i="1"/>
  <c r="U1068" i="1"/>
  <c r="G1069" i="1"/>
  <c r="I1069" i="1"/>
  <c r="J1069" i="1" s="1"/>
  <c r="K1069" i="1"/>
  <c r="P1069" i="1"/>
  <c r="Q1069" i="1"/>
  <c r="U1069" i="1"/>
  <c r="G1070" i="1"/>
  <c r="I1070" i="1"/>
  <c r="J1070" i="1" s="1"/>
  <c r="K1070" i="1"/>
  <c r="P1070" i="1"/>
  <c r="Q1070" i="1"/>
  <c r="U1070" i="1"/>
  <c r="G1071" i="1"/>
  <c r="I1071" i="1"/>
  <c r="K1071" i="1"/>
  <c r="P1071" i="1"/>
  <c r="Q1071" i="1"/>
  <c r="U1071" i="1"/>
  <c r="G1072" i="1"/>
  <c r="I1072" i="1"/>
  <c r="K1072" i="1"/>
  <c r="P1072" i="1"/>
  <c r="Q1072" i="1"/>
  <c r="U1072" i="1"/>
  <c r="G1073" i="1"/>
  <c r="I1073" i="1"/>
  <c r="J1073" i="1" s="1"/>
  <c r="K1073" i="1"/>
  <c r="P1073" i="1"/>
  <c r="Q1073" i="1"/>
  <c r="U1073" i="1"/>
  <c r="G1075" i="1"/>
  <c r="I1075" i="1"/>
  <c r="O1075" i="1" s="1"/>
  <c r="K1075" i="1"/>
  <c r="P1075" i="1"/>
  <c r="Q1075" i="1"/>
  <c r="U1075" i="1"/>
  <c r="G1076" i="1"/>
  <c r="I1076" i="1"/>
  <c r="K1076" i="1"/>
  <c r="P1076" i="1"/>
  <c r="Q1076" i="1"/>
  <c r="U1076" i="1"/>
  <c r="G1077" i="1"/>
  <c r="I1077" i="1"/>
  <c r="K1077" i="1"/>
  <c r="P1077" i="1"/>
  <c r="Q1077" i="1"/>
  <c r="U1077" i="1"/>
  <c r="G1078" i="1"/>
  <c r="I1078" i="1"/>
  <c r="J1078" i="1" s="1"/>
  <c r="K1078" i="1"/>
  <c r="P1078" i="1"/>
  <c r="Q1078" i="1"/>
  <c r="U1078" i="1"/>
  <c r="G1079" i="1"/>
  <c r="I1079" i="1"/>
  <c r="K1079" i="1"/>
  <c r="P1079" i="1"/>
  <c r="Q1079" i="1"/>
  <c r="U1079" i="1"/>
  <c r="G1080" i="1"/>
  <c r="I1080" i="1"/>
  <c r="K1080" i="1"/>
  <c r="P1080" i="1"/>
  <c r="Q1080" i="1"/>
  <c r="U1080" i="1"/>
  <c r="G1081" i="1"/>
  <c r="I1081" i="1"/>
  <c r="K1081" i="1"/>
  <c r="P1081" i="1"/>
  <c r="Q1081" i="1"/>
  <c r="U1081" i="1"/>
  <c r="G1082" i="1"/>
  <c r="I1082" i="1"/>
  <c r="K1082" i="1"/>
  <c r="P1082" i="1"/>
  <c r="Q1082" i="1"/>
  <c r="U1082" i="1"/>
  <c r="G1083" i="1"/>
  <c r="I1083" i="1"/>
  <c r="J1083" i="1" s="1"/>
  <c r="K1083" i="1"/>
  <c r="P1083" i="1"/>
  <c r="Q1083" i="1"/>
  <c r="U1083" i="1"/>
  <c r="G1085" i="1"/>
  <c r="I1085" i="1"/>
  <c r="J1085" i="1" s="1"/>
  <c r="K1085" i="1"/>
  <c r="P1085" i="1"/>
  <c r="Q1085" i="1"/>
  <c r="U1085" i="1"/>
  <c r="G1086" i="1"/>
  <c r="I1086" i="1"/>
  <c r="K1086" i="1"/>
  <c r="P1086" i="1"/>
  <c r="Q1086" i="1"/>
  <c r="U1086" i="1"/>
  <c r="G1087" i="1"/>
  <c r="I1087" i="1"/>
  <c r="K1087" i="1"/>
  <c r="P1087" i="1"/>
  <c r="Q1087" i="1"/>
  <c r="U1087" i="1"/>
  <c r="G1088" i="1"/>
  <c r="I1088" i="1"/>
  <c r="O1088" i="1" s="1"/>
  <c r="K1088" i="1"/>
  <c r="P1088" i="1"/>
  <c r="Q1088" i="1"/>
  <c r="U1088" i="1"/>
  <c r="G1090" i="1"/>
  <c r="I1090" i="1"/>
  <c r="K1090" i="1"/>
  <c r="P1090" i="1"/>
  <c r="Q1090" i="1"/>
  <c r="U1090" i="1"/>
  <c r="G1091" i="1"/>
  <c r="I1091" i="1"/>
  <c r="K1091" i="1"/>
  <c r="P1091" i="1"/>
  <c r="Q1091" i="1"/>
  <c r="U1091" i="1"/>
  <c r="G1092" i="1"/>
  <c r="I1092" i="1"/>
  <c r="K1092" i="1"/>
  <c r="P1092" i="1"/>
  <c r="Q1092" i="1"/>
  <c r="U1092" i="1"/>
  <c r="G1093" i="1"/>
  <c r="I1093" i="1"/>
  <c r="J1093" i="1" s="1"/>
  <c r="K1093" i="1"/>
  <c r="P1093" i="1"/>
  <c r="Q1093" i="1"/>
  <c r="U1093" i="1"/>
  <c r="G1094" i="1"/>
  <c r="I1094" i="1"/>
  <c r="J1094" i="1" s="1"/>
  <c r="K1094" i="1"/>
  <c r="P1094" i="1"/>
  <c r="Q1094" i="1"/>
  <c r="U1094" i="1"/>
  <c r="G1095" i="1"/>
  <c r="I1095" i="1"/>
  <c r="K1095" i="1"/>
  <c r="P1095" i="1"/>
  <c r="Q1095" i="1"/>
  <c r="U1095" i="1"/>
  <c r="G1096" i="1"/>
  <c r="I1096" i="1"/>
  <c r="K1096" i="1"/>
  <c r="P1096" i="1"/>
  <c r="Q1096" i="1"/>
  <c r="U1096" i="1"/>
  <c r="G1097" i="1"/>
  <c r="I1097" i="1"/>
  <c r="J1097" i="1" s="1"/>
  <c r="K1097" i="1"/>
  <c r="P1097" i="1"/>
  <c r="Q1097" i="1"/>
  <c r="U1097" i="1"/>
  <c r="G1098" i="1"/>
  <c r="I1098" i="1"/>
  <c r="K1098" i="1"/>
  <c r="P1098" i="1"/>
  <c r="Q1098" i="1"/>
  <c r="U1098" i="1"/>
  <c r="G1099" i="1"/>
  <c r="I1099" i="1"/>
  <c r="J1099" i="1" s="1"/>
  <c r="K1099" i="1"/>
  <c r="P1099" i="1"/>
  <c r="Q1099" i="1"/>
  <c r="U1099" i="1"/>
  <c r="G1100" i="1"/>
  <c r="I1100" i="1"/>
  <c r="K1100" i="1"/>
  <c r="P1100" i="1"/>
  <c r="Q1100" i="1"/>
  <c r="U1100" i="1"/>
  <c r="G1101" i="1"/>
  <c r="I1101" i="1"/>
  <c r="J1101" i="1" s="1"/>
  <c r="K1101" i="1"/>
  <c r="P1101" i="1"/>
  <c r="Q1101" i="1"/>
  <c r="U1101" i="1"/>
  <c r="G1102" i="1"/>
  <c r="I1102" i="1"/>
  <c r="K1102" i="1"/>
  <c r="P1102" i="1"/>
  <c r="Q1102" i="1"/>
  <c r="U1102" i="1"/>
  <c r="G1103" i="1"/>
  <c r="I1103" i="1"/>
  <c r="J1103" i="1" s="1"/>
  <c r="K1103" i="1"/>
  <c r="P1103" i="1"/>
  <c r="Q1103" i="1"/>
  <c r="U1103" i="1"/>
  <c r="G1104" i="1"/>
  <c r="I1104" i="1"/>
  <c r="K1104" i="1"/>
  <c r="P1104" i="1"/>
  <c r="Q1104" i="1"/>
  <c r="U1104" i="1"/>
  <c r="G1105" i="1"/>
  <c r="I1105" i="1"/>
  <c r="J1105" i="1" s="1"/>
  <c r="K1105" i="1"/>
  <c r="P1105" i="1"/>
  <c r="Q1105" i="1"/>
  <c r="U1105" i="1"/>
  <c r="G1107" i="1"/>
  <c r="I1107" i="1"/>
  <c r="K1107" i="1"/>
  <c r="P1107" i="1"/>
  <c r="Q1107" i="1"/>
  <c r="U1107" i="1"/>
  <c r="G1108" i="1"/>
  <c r="I1108" i="1"/>
  <c r="K1108" i="1"/>
  <c r="P1108" i="1"/>
  <c r="Q1108" i="1"/>
  <c r="U1108" i="1"/>
  <c r="G1110" i="1"/>
  <c r="I1110" i="1"/>
  <c r="J1110" i="1" s="1"/>
  <c r="K1110" i="1"/>
  <c r="P1110" i="1"/>
  <c r="Q1110" i="1"/>
  <c r="U1110" i="1"/>
  <c r="G1111" i="1"/>
  <c r="I1111" i="1"/>
  <c r="J1111" i="1" s="1"/>
  <c r="K1111" i="1"/>
  <c r="P1111" i="1"/>
  <c r="Q1111" i="1"/>
  <c r="U1111" i="1"/>
  <c r="G1112" i="1"/>
  <c r="I1112" i="1"/>
  <c r="J1112" i="1" s="1"/>
  <c r="K1112" i="1"/>
  <c r="P1112" i="1"/>
  <c r="Q1112" i="1"/>
  <c r="U1112" i="1"/>
  <c r="G1113" i="1"/>
  <c r="I1113" i="1"/>
  <c r="J1113" i="1" s="1"/>
  <c r="K1113" i="1"/>
  <c r="P1113" i="1"/>
  <c r="Q1113" i="1"/>
  <c r="U1113" i="1"/>
  <c r="G1114" i="1"/>
  <c r="I1114" i="1"/>
  <c r="J1114" i="1" s="1"/>
  <c r="K1114" i="1"/>
  <c r="P1114" i="1"/>
  <c r="Q1114" i="1"/>
  <c r="U1114" i="1"/>
  <c r="G1115" i="1"/>
  <c r="I1115" i="1"/>
  <c r="J1115" i="1" s="1"/>
  <c r="K1115" i="1"/>
  <c r="P1115" i="1"/>
  <c r="Q1115" i="1"/>
  <c r="U1115" i="1"/>
  <c r="G1119" i="1"/>
  <c r="I1119" i="1"/>
  <c r="J1119" i="1" s="1"/>
  <c r="K1119" i="1"/>
  <c r="P1119" i="1"/>
  <c r="Q1119" i="1"/>
  <c r="U1119" i="1"/>
  <c r="G1121" i="1"/>
  <c r="I1121" i="1"/>
  <c r="K1121" i="1"/>
  <c r="P1121" i="1"/>
  <c r="Q1121" i="1"/>
  <c r="U1121" i="1"/>
  <c r="G1122" i="1"/>
  <c r="I1122" i="1"/>
  <c r="J1122" i="1" s="1"/>
  <c r="K1122" i="1"/>
  <c r="P1122" i="1"/>
  <c r="Q1122" i="1"/>
  <c r="U1122" i="1"/>
  <c r="G1123" i="1"/>
  <c r="I1123" i="1"/>
  <c r="K1123" i="1"/>
  <c r="P1123" i="1"/>
  <c r="Q1123" i="1"/>
  <c r="U1123" i="1"/>
  <c r="G1127" i="1"/>
  <c r="I1127" i="1"/>
  <c r="J1127" i="1" s="1"/>
  <c r="K1127" i="1"/>
  <c r="P1127" i="1"/>
  <c r="Q1127" i="1"/>
  <c r="U1127" i="1"/>
  <c r="G1128" i="1"/>
  <c r="I1128" i="1"/>
  <c r="J1128" i="1" s="1"/>
  <c r="K1128" i="1"/>
  <c r="P1128" i="1"/>
  <c r="Q1128" i="1"/>
  <c r="U1128" i="1"/>
  <c r="G1129" i="1"/>
  <c r="I1129" i="1"/>
  <c r="J1129" i="1" s="1"/>
  <c r="K1129" i="1"/>
  <c r="P1129" i="1"/>
  <c r="Q1129" i="1"/>
  <c r="U1129" i="1"/>
  <c r="G1130" i="1"/>
  <c r="I1130" i="1"/>
  <c r="O1130" i="1" s="1"/>
  <c r="K1130" i="1"/>
  <c r="P1130" i="1"/>
  <c r="Q1130" i="1"/>
  <c r="U1130" i="1"/>
  <c r="G1131" i="1"/>
  <c r="I1131" i="1"/>
  <c r="O1131" i="1" s="1"/>
  <c r="K1131" i="1"/>
  <c r="P1131" i="1"/>
  <c r="Q1131" i="1"/>
  <c r="U1131" i="1"/>
  <c r="G1133" i="1"/>
  <c r="I1133" i="1"/>
  <c r="O1133" i="1" s="1"/>
  <c r="K1133" i="1"/>
  <c r="P1133" i="1"/>
  <c r="Q1133" i="1"/>
  <c r="U1133" i="1"/>
  <c r="G1134" i="1"/>
  <c r="I1134" i="1"/>
  <c r="O1134" i="1" s="1"/>
  <c r="K1134" i="1"/>
  <c r="P1134" i="1"/>
  <c r="Q1134" i="1"/>
  <c r="U1134" i="1"/>
  <c r="G1135" i="1"/>
  <c r="I1135" i="1"/>
  <c r="J1135" i="1" s="1"/>
  <c r="K1135" i="1"/>
  <c r="P1135" i="1"/>
  <c r="Q1135" i="1"/>
  <c r="U1135" i="1"/>
  <c r="G1136" i="1"/>
  <c r="I1136" i="1"/>
  <c r="J1136" i="1" s="1"/>
  <c r="K1136" i="1"/>
  <c r="P1136" i="1"/>
  <c r="Q1136" i="1"/>
  <c r="U1136" i="1"/>
  <c r="G1137" i="1"/>
  <c r="I1137" i="1"/>
  <c r="O1137" i="1" s="1"/>
  <c r="K1137" i="1"/>
  <c r="P1137" i="1"/>
  <c r="Q1137" i="1"/>
  <c r="U1137" i="1"/>
  <c r="G1139" i="1"/>
  <c r="I1139" i="1"/>
  <c r="O1139" i="1" s="1"/>
  <c r="K1139" i="1"/>
  <c r="P1139" i="1"/>
  <c r="Q1139" i="1"/>
  <c r="U1139" i="1"/>
  <c r="G1140" i="1"/>
  <c r="I1140" i="1"/>
  <c r="O1140" i="1" s="1"/>
  <c r="K1140" i="1"/>
  <c r="P1140" i="1"/>
  <c r="Q1140" i="1"/>
  <c r="U1140" i="1"/>
  <c r="G1141" i="1"/>
  <c r="I1141" i="1"/>
  <c r="O1141" i="1" s="1"/>
  <c r="K1141" i="1"/>
  <c r="P1141" i="1"/>
  <c r="Q1141" i="1"/>
  <c r="U1141" i="1"/>
  <c r="G1142" i="1"/>
  <c r="I1142" i="1"/>
  <c r="O1142" i="1" s="1"/>
  <c r="K1142" i="1"/>
  <c r="P1142" i="1"/>
  <c r="Q1142" i="1"/>
  <c r="U1142" i="1"/>
  <c r="G1143" i="1"/>
  <c r="I1143" i="1"/>
  <c r="O1143" i="1" s="1"/>
  <c r="K1143" i="1"/>
  <c r="P1143" i="1"/>
  <c r="Q1143" i="1"/>
  <c r="U1143" i="1"/>
  <c r="G1144" i="1"/>
  <c r="I1144" i="1"/>
  <c r="O1144" i="1" s="1"/>
  <c r="K1144" i="1"/>
  <c r="P1144" i="1"/>
  <c r="Q1144" i="1"/>
  <c r="U1144" i="1"/>
  <c r="G1148" i="1"/>
  <c r="I1148" i="1"/>
  <c r="O1148" i="1" s="1"/>
  <c r="K1148" i="1"/>
  <c r="P1148" i="1"/>
  <c r="Q1148" i="1"/>
  <c r="U1148" i="1"/>
  <c r="G1149" i="1"/>
  <c r="I1149" i="1"/>
  <c r="O1149" i="1" s="1"/>
  <c r="K1149" i="1"/>
  <c r="P1149" i="1"/>
  <c r="Q1149" i="1"/>
  <c r="U1149" i="1"/>
  <c r="G1150" i="1"/>
  <c r="I1150" i="1"/>
  <c r="O1150" i="1" s="1"/>
  <c r="K1150" i="1"/>
  <c r="P1150" i="1"/>
  <c r="Q1150" i="1"/>
  <c r="U1150" i="1"/>
  <c r="G1151" i="1"/>
  <c r="I1151" i="1"/>
  <c r="O1151" i="1" s="1"/>
  <c r="K1151" i="1"/>
  <c r="P1151" i="1"/>
  <c r="Q1151" i="1"/>
  <c r="U1151" i="1"/>
  <c r="G1152" i="1"/>
  <c r="I1152" i="1"/>
  <c r="O1152" i="1" s="1"/>
  <c r="K1152" i="1"/>
  <c r="P1152" i="1"/>
  <c r="Q1152" i="1"/>
  <c r="U1152" i="1"/>
  <c r="G1153" i="1"/>
  <c r="I1153" i="1"/>
  <c r="O1153" i="1" s="1"/>
  <c r="K1153" i="1"/>
  <c r="P1153" i="1"/>
  <c r="Q1153" i="1"/>
  <c r="U1153" i="1"/>
  <c r="G1154" i="1"/>
  <c r="I1154" i="1"/>
  <c r="O1154" i="1" s="1"/>
  <c r="K1154" i="1"/>
  <c r="P1154" i="1"/>
  <c r="Q1154" i="1"/>
  <c r="U1154" i="1"/>
  <c r="G1156" i="1"/>
  <c r="I1156" i="1"/>
  <c r="J1156" i="1" s="1"/>
  <c r="K1156" i="1"/>
  <c r="P1156" i="1"/>
  <c r="Q1156" i="1"/>
  <c r="U1156" i="1"/>
  <c r="G1157" i="1"/>
  <c r="I1157" i="1"/>
  <c r="J1157" i="1" s="1"/>
  <c r="K1157" i="1"/>
  <c r="P1157" i="1"/>
  <c r="Q1157" i="1"/>
  <c r="U1157" i="1"/>
  <c r="G1158" i="1"/>
  <c r="I1158" i="1"/>
  <c r="J1158" i="1" s="1"/>
  <c r="K1158" i="1"/>
  <c r="P1158" i="1"/>
  <c r="Q1158" i="1"/>
  <c r="U1158" i="1"/>
  <c r="G1159" i="1"/>
  <c r="I1159" i="1"/>
  <c r="J1159" i="1" s="1"/>
  <c r="K1159" i="1"/>
  <c r="P1159" i="1"/>
  <c r="Q1159" i="1"/>
  <c r="U1159" i="1"/>
  <c r="G1160" i="1"/>
  <c r="I1160" i="1"/>
  <c r="J1160" i="1" s="1"/>
  <c r="K1160" i="1"/>
  <c r="P1160" i="1"/>
  <c r="Q1160" i="1"/>
  <c r="U1160" i="1"/>
  <c r="G1161" i="1"/>
  <c r="I1161" i="1"/>
  <c r="J1161" i="1" s="1"/>
  <c r="K1161" i="1"/>
  <c r="P1161" i="1"/>
  <c r="Q1161" i="1"/>
  <c r="U1161" i="1"/>
  <c r="G1162" i="1"/>
  <c r="I1162" i="1"/>
  <c r="J1162" i="1" s="1"/>
  <c r="K1162" i="1"/>
  <c r="P1162" i="1"/>
  <c r="Q1162" i="1"/>
  <c r="U1162" i="1"/>
  <c r="G1169" i="1"/>
  <c r="I1169" i="1"/>
  <c r="J1169" i="1" s="1"/>
  <c r="K1169" i="1"/>
  <c r="P1169" i="1"/>
  <c r="Q1169" i="1"/>
  <c r="U1169" i="1"/>
  <c r="G1170" i="1"/>
  <c r="I1170" i="1"/>
  <c r="J1170" i="1" s="1"/>
  <c r="K1170" i="1"/>
  <c r="P1170" i="1"/>
  <c r="Q1170" i="1"/>
  <c r="U1170" i="1"/>
  <c r="G1171" i="1"/>
  <c r="I1171" i="1"/>
  <c r="O1171" i="1" s="1"/>
  <c r="K1171" i="1"/>
  <c r="P1171" i="1"/>
  <c r="Q1171" i="1"/>
  <c r="U1171" i="1"/>
  <c r="G1172" i="1"/>
  <c r="I1172" i="1"/>
  <c r="J1172" i="1" s="1"/>
  <c r="K1172" i="1"/>
  <c r="P1172" i="1"/>
  <c r="Q1172" i="1"/>
  <c r="U1172" i="1"/>
  <c r="G1174" i="1"/>
  <c r="I1174" i="1"/>
  <c r="O1174" i="1" s="1"/>
  <c r="K1174" i="1"/>
  <c r="P1174" i="1"/>
  <c r="Q1174" i="1"/>
  <c r="U1174" i="1"/>
  <c r="G1175" i="1"/>
  <c r="I1175" i="1"/>
  <c r="O1175" i="1" s="1"/>
  <c r="K1175" i="1"/>
  <c r="P1175" i="1"/>
  <c r="Q1175" i="1"/>
  <c r="U1175" i="1"/>
  <c r="G1176" i="1"/>
  <c r="I1176" i="1"/>
  <c r="O1176" i="1" s="1"/>
  <c r="K1176" i="1"/>
  <c r="P1176" i="1"/>
  <c r="Q1176" i="1"/>
  <c r="U1176" i="1"/>
  <c r="G1177" i="1"/>
  <c r="I1177" i="1"/>
  <c r="O1177" i="1" s="1"/>
  <c r="K1177" i="1"/>
  <c r="P1177" i="1"/>
  <c r="Q1177" i="1"/>
  <c r="U1177" i="1"/>
  <c r="G1178" i="1"/>
  <c r="I1178" i="1"/>
  <c r="O1178" i="1" s="1"/>
  <c r="K1178" i="1"/>
  <c r="P1178" i="1"/>
  <c r="Q1178" i="1"/>
  <c r="U1178" i="1"/>
  <c r="G1182" i="1"/>
  <c r="I1182" i="1"/>
  <c r="J1182" i="1" s="1"/>
  <c r="K1182" i="1"/>
  <c r="P1182" i="1"/>
  <c r="Q1182" i="1"/>
  <c r="U1182" i="1"/>
  <c r="G1183" i="1"/>
  <c r="I1183" i="1"/>
  <c r="J1183" i="1" s="1"/>
  <c r="K1183" i="1"/>
  <c r="P1183" i="1"/>
  <c r="Q1183" i="1"/>
  <c r="U1183" i="1"/>
  <c r="G1184" i="1"/>
  <c r="I1184" i="1"/>
  <c r="J1184" i="1" s="1"/>
  <c r="K1184" i="1"/>
  <c r="P1184" i="1"/>
  <c r="Q1184" i="1"/>
  <c r="U1184" i="1"/>
  <c r="G1186" i="1"/>
  <c r="I1186" i="1"/>
  <c r="K1186" i="1"/>
  <c r="P1186" i="1"/>
  <c r="Q1186" i="1"/>
  <c r="U1186" i="1"/>
  <c r="G1187" i="1"/>
  <c r="I1187" i="1"/>
  <c r="O1187" i="1" s="1"/>
  <c r="K1187" i="1"/>
  <c r="P1187" i="1"/>
  <c r="Q1187" i="1"/>
  <c r="U1187" i="1"/>
  <c r="G1188" i="1"/>
  <c r="I1188" i="1"/>
  <c r="J1188" i="1" s="1"/>
  <c r="K1188" i="1"/>
  <c r="P1188" i="1"/>
  <c r="Q1188" i="1"/>
  <c r="U1188" i="1"/>
  <c r="G1189" i="1"/>
  <c r="I1189" i="1"/>
  <c r="K1189" i="1"/>
  <c r="P1189" i="1"/>
  <c r="Q1189" i="1"/>
  <c r="U1189" i="1"/>
  <c r="G1191" i="1"/>
  <c r="I1191" i="1"/>
  <c r="J1191" i="1" s="1"/>
  <c r="K1191" i="1"/>
  <c r="P1191" i="1"/>
  <c r="Q1191" i="1"/>
  <c r="U1191" i="1"/>
  <c r="G1192" i="1"/>
  <c r="I1192" i="1"/>
  <c r="O1192" i="1" s="1"/>
  <c r="K1192" i="1"/>
  <c r="P1192" i="1"/>
  <c r="Q1192" i="1"/>
  <c r="U1192" i="1"/>
  <c r="G1193" i="1"/>
  <c r="I1193" i="1"/>
  <c r="J1193" i="1" s="1"/>
  <c r="K1193" i="1"/>
  <c r="P1193" i="1"/>
  <c r="Q1193" i="1"/>
  <c r="U1193" i="1"/>
  <c r="G1195" i="1"/>
  <c r="I1195" i="1"/>
  <c r="O1195" i="1" s="1"/>
  <c r="K1195" i="1"/>
  <c r="P1195" i="1"/>
  <c r="Q1195" i="1"/>
  <c r="U1195" i="1"/>
  <c r="G1196" i="1"/>
  <c r="I1196" i="1"/>
  <c r="O1196" i="1" s="1"/>
  <c r="K1196" i="1"/>
  <c r="P1196" i="1"/>
  <c r="Q1196" i="1"/>
  <c r="U1196" i="1"/>
  <c r="G1198" i="1"/>
  <c r="I1198" i="1"/>
  <c r="J1198" i="1" s="1"/>
  <c r="K1198" i="1"/>
  <c r="P1198" i="1"/>
  <c r="Q1198" i="1"/>
  <c r="U1198" i="1"/>
  <c r="G1199" i="1"/>
  <c r="I1199" i="1"/>
  <c r="J1199" i="1" s="1"/>
  <c r="K1199" i="1"/>
  <c r="P1199" i="1"/>
  <c r="Q1199" i="1"/>
  <c r="U1199" i="1"/>
  <c r="G1200" i="1"/>
  <c r="I1200" i="1"/>
  <c r="J1200" i="1" s="1"/>
  <c r="K1200" i="1"/>
  <c r="P1200" i="1"/>
  <c r="Q1200" i="1"/>
  <c r="U1200" i="1"/>
  <c r="G1201" i="1"/>
  <c r="I1201" i="1"/>
  <c r="J1201" i="1" s="1"/>
  <c r="K1201" i="1"/>
  <c r="P1201" i="1"/>
  <c r="Q1201" i="1"/>
  <c r="U1201" i="1"/>
  <c r="G1202" i="1"/>
  <c r="I1202" i="1"/>
  <c r="J1202" i="1" s="1"/>
  <c r="K1202" i="1"/>
  <c r="P1202" i="1"/>
  <c r="Q1202" i="1"/>
  <c r="U1202" i="1"/>
  <c r="G1203" i="1"/>
  <c r="I1203" i="1"/>
  <c r="J1203" i="1" s="1"/>
  <c r="K1203" i="1"/>
  <c r="P1203" i="1"/>
  <c r="Q1203" i="1"/>
  <c r="U1203" i="1"/>
  <c r="G1204" i="1"/>
  <c r="I1204" i="1"/>
  <c r="J1204" i="1" s="1"/>
  <c r="K1204" i="1"/>
  <c r="P1204" i="1"/>
  <c r="Q1204" i="1"/>
  <c r="U1204" i="1"/>
  <c r="G1205" i="1"/>
  <c r="I1205" i="1"/>
  <c r="J1205" i="1" s="1"/>
  <c r="K1205" i="1"/>
  <c r="P1205" i="1"/>
  <c r="Q1205" i="1"/>
  <c r="U1205" i="1"/>
  <c r="G1207" i="1"/>
  <c r="I1207" i="1"/>
  <c r="J1207" i="1" s="1"/>
  <c r="K1207" i="1"/>
  <c r="P1207" i="1"/>
  <c r="Q1207" i="1"/>
  <c r="U1207" i="1"/>
  <c r="G1208" i="1"/>
  <c r="I1208" i="1"/>
  <c r="J1208" i="1" s="1"/>
  <c r="K1208" i="1"/>
  <c r="P1208" i="1"/>
  <c r="Q1208" i="1"/>
  <c r="U1208" i="1"/>
  <c r="G1209" i="1"/>
  <c r="I1209" i="1"/>
  <c r="O1209" i="1" s="1"/>
  <c r="K1209" i="1"/>
  <c r="P1209" i="1"/>
  <c r="Q1209" i="1"/>
  <c r="U1209" i="1"/>
  <c r="G1222" i="1"/>
  <c r="I1222" i="1"/>
  <c r="O1222" i="1" s="1"/>
  <c r="K1222" i="1"/>
  <c r="P1222" i="1"/>
  <c r="Q1222" i="1"/>
  <c r="U1222" i="1"/>
  <c r="G1223" i="1"/>
  <c r="I1223" i="1"/>
  <c r="O1223" i="1" s="1"/>
  <c r="K1223" i="1"/>
  <c r="P1223" i="1"/>
  <c r="Q1223" i="1"/>
  <c r="U1223" i="1"/>
  <c r="G1224" i="1"/>
  <c r="I1224" i="1"/>
  <c r="O1224" i="1" s="1"/>
  <c r="K1224" i="1"/>
  <c r="P1224" i="1"/>
  <c r="Q1224" i="1"/>
  <c r="U1224" i="1"/>
  <c r="G1225" i="1"/>
  <c r="I1225" i="1"/>
  <c r="O1225" i="1" s="1"/>
  <c r="K1225" i="1"/>
  <c r="P1225" i="1"/>
  <c r="Q1225" i="1"/>
  <c r="U1225" i="1"/>
  <c r="G1226" i="1"/>
  <c r="I1226" i="1"/>
  <c r="O1226" i="1" s="1"/>
  <c r="K1226" i="1"/>
  <c r="P1226" i="1"/>
  <c r="Q1226" i="1"/>
  <c r="U1226" i="1"/>
  <c r="G1227" i="1"/>
  <c r="I1227" i="1"/>
  <c r="O1227" i="1" s="1"/>
  <c r="K1227" i="1"/>
  <c r="P1227" i="1"/>
  <c r="Q1227" i="1"/>
  <c r="U1227" i="1"/>
  <c r="G1228" i="1"/>
  <c r="I1228" i="1"/>
  <c r="O1228" i="1" s="1"/>
  <c r="K1228" i="1"/>
  <c r="P1228" i="1"/>
  <c r="Q1228" i="1"/>
  <c r="U1228" i="1"/>
  <c r="G1229" i="1"/>
  <c r="I1229" i="1"/>
  <c r="J1229" i="1" s="1"/>
  <c r="K1229" i="1"/>
  <c r="P1229" i="1"/>
  <c r="Q1229" i="1"/>
  <c r="U1229" i="1"/>
  <c r="G1231" i="1"/>
  <c r="I1231" i="1"/>
  <c r="J1231" i="1" s="1"/>
  <c r="K1231" i="1"/>
  <c r="P1231" i="1"/>
  <c r="Q1231" i="1"/>
  <c r="U1231" i="1"/>
  <c r="G1232" i="1"/>
  <c r="I1232" i="1"/>
  <c r="J1232" i="1" s="1"/>
  <c r="K1232" i="1"/>
  <c r="P1232" i="1"/>
  <c r="Q1232" i="1"/>
  <c r="U1232" i="1"/>
  <c r="G1233" i="1"/>
  <c r="I1233" i="1"/>
  <c r="J1233" i="1" s="1"/>
  <c r="K1233" i="1"/>
  <c r="P1233" i="1"/>
  <c r="Q1233" i="1"/>
  <c r="U1233" i="1"/>
  <c r="G1234" i="1"/>
  <c r="I1234" i="1"/>
  <c r="J1234" i="1" s="1"/>
  <c r="K1234" i="1"/>
  <c r="P1234" i="1"/>
  <c r="Q1234" i="1"/>
  <c r="U1234" i="1"/>
  <c r="G1235" i="1"/>
  <c r="I1235" i="1"/>
  <c r="J1235" i="1" s="1"/>
  <c r="K1235" i="1"/>
  <c r="P1235" i="1"/>
  <c r="Q1235" i="1"/>
  <c r="U1235" i="1"/>
  <c r="G1236" i="1"/>
  <c r="I1236" i="1"/>
  <c r="J1236" i="1" s="1"/>
  <c r="K1236" i="1"/>
  <c r="P1236" i="1"/>
  <c r="Q1236" i="1"/>
  <c r="U1236" i="1"/>
  <c r="G1237" i="1"/>
  <c r="I1237" i="1"/>
  <c r="J1237" i="1" s="1"/>
  <c r="K1237" i="1"/>
  <c r="P1237" i="1"/>
  <c r="Q1237" i="1"/>
  <c r="U1237" i="1"/>
  <c r="G1238" i="1"/>
  <c r="I1238" i="1"/>
  <c r="J1238" i="1" s="1"/>
  <c r="K1238" i="1"/>
  <c r="P1238" i="1"/>
  <c r="Q1238" i="1"/>
  <c r="U1238" i="1"/>
  <c r="G1240" i="1"/>
  <c r="I1240" i="1"/>
  <c r="J1240" i="1" s="1"/>
  <c r="K1240" i="1"/>
  <c r="P1240" i="1"/>
  <c r="Q1240" i="1"/>
  <c r="U1240" i="1"/>
  <c r="G1241" i="1"/>
  <c r="I1241" i="1"/>
  <c r="J1241" i="1" s="1"/>
  <c r="K1241" i="1"/>
  <c r="P1241" i="1"/>
  <c r="Q1241" i="1"/>
  <c r="U1241" i="1"/>
  <c r="G1242" i="1"/>
  <c r="I1242" i="1"/>
  <c r="J1242" i="1" s="1"/>
  <c r="K1242" i="1"/>
  <c r="P1242" i="1"/>
  <c r="Q1242" i="1"/>
  <c r="U1242" i="1"/>
  <c r="G1243" i="1"/>
  <c r="I1243" i="1"/>
  <c r="J1243" i="1" s="1"/>
  <c r="K1243" i="1"/>
  <c r="P1243" i="1"/>
  <c r="Q1243" i="1"/>
  <c r="U1243" i="1"/>
  <c r="G1244" i="1"/>
  <c r="I1244" i="1"/>
  <c r="J1244" i="1" s="1"/>
  <c r="K1244" i="1"/>
  <c r="P1244" i="1"/>
  <c r="Q1244" i="1"/>
  <c r="U1244" i="1"/>
  <c r="G1245" i="1"/>
  <c r="I1245" i="1"/>
  <c r="J1245" i="1" s="1"/>
  <c r="K1245" i="1"/>
  <c r="P1245" i="1"/>
  <c r="Q1245" i="1"/>
  <c r="U1245" i="1"/>
  <c r="G1247" i="1"/>
  <c r="I1247" i="1"/>
  <c r="J1247" i="1" s="1"/>
  <c r="K1247" i="1"/>
  <c r="P1247" i="1"/>
  <c r="Q1247" i="1"/>
  <c r="U1247" i="1"/>
  <c r="G1250" i="1"/>
  <c r="I1250" i="1"/>
  <c r="O1250" i="1" s="1"/>
  <c r="K1250" i="1"/>
  <c r="P1250" i="1"/>
  <c r="Q1250" i="1"/>
  <c r="U1250" i="1"/>
  <c r="G1251" i="1"/>
  <c r="I1251" i="1"/>
  <c r="O1251" i="1" s="1"/>
  <c r="K1251" i="1"/>
  <c r="P1251" i="1"/>
  <c r="Q1251" i="1"/>
  <c r="U1251" i="1"/>
  <c r="G1253" i="1"/>
  <c r="I1253" i="1"/>
  <c r="O1253" i="1" s="1"/>
  <c r="K1253" i="1"/>
  <c r="P1253" i="1"/>
  <c r="Q1253" i="1"/>
  <c r="U1253" i="1"/>
  <c r="G1255" i="1"/>
  <c r="I1255" i="1"/>
  <c r="J1255" i="1" s="1"/>
  <c r="K1255" i="1"/>
  <c r="P1255" i="1"/>
  <c r="Q1255" i="1"/>
  <c r="U1255" i="1"/>
  <c r="G1256" i="1"/>
  <c r="I1256" i="1"/>
  <c r="O1256" i="1" s="1"/>
  <c r="K1256" i="1"/>
  <c r="P1256" i="1"/>
  <c r="Q1256" i="1"/>
  <c r="U1256" i="1"/>
  <c r="G1257" i="1"/>
  <c r="I1257" i="1"/>
  <c r="O1257" i="1" s="1"/>
  <c r="K1257" i="1"/>
  <c r="P1257" i="1"/>
  <c r="Q1257" i="1"/>
  <c r="U1257" i="1"/>
  <c r="G1258" i="1"/>
  <c r="I1258" i="1"/>
  <c r="O1258" i="1" s="1"/>
  <c r="K1258" i="1"/>
  <c r="P1258" i="1"/>
  <c r="Q1258" i="1"/>
  <c r="U1258" i="1"/>
  <c r="G1259" i="1"/>
  <c r="I1259" i="1"/>
  <c r="J1259" i="1" s="1"/>
  <c r="K1259" i="1"/>
  <c r="P1259" i="1"/>
  <c r="Q1259" i="1"/>
  <c r="U1259" i="1"/>
  <c r="G1260" i="1"/>
  <c r="I1260" i="1"/>
  <c r="O1260" i="1" s="1"/>
  <c r="K1260" i="1"/>
  <c r="P1260" i="1"/>
  <c r="Q1260" i="1"/>
  <c r="U1260" i="1"/>
  <c r="G1261" i="1"/>
  <c r="I1261" i="1"/>
  <c r="J1261" i="1" s="1"/>
  <c r="K1261" i="1"/>
  <c r="P1261" i="1"/>
  <c r="Q1261" i="1"/>
  <c r="U1261" i="1"/>
  <c r="G1265" i="1"/>
  <c r="I1265" i="1"/>
  <c r="J1265" i="1" s="1"/>
  <c r="K1265" i="1"/>
  <c r="P1265" i="1"/>
  <c r="Q1265" i="1"/>
  <c r="U1265" i="1"/>
  <c r="G1266" i="1"/>
  <c r="I1266" i="1"/>
  <c r="J1266" i="1" s="1"/>
  <c r="K1266" i="1"/>
  <c r="P1266" i="1"/>
  <c r="Q1266" i="1"/>
  <c r="U1266" i="1"/>
  <c r="G1269" i="1"/>
  <c r="I1269" i="1"/>
  <c r="J1269" i="1" s="1"/>
  <c r="K1269" i="1"/>
  <c r="P1269" i="1"/>
  <c r="Q1269" i="1"/>
  <c r="U1269" i="1"/>
  <c r="G1271" i="1"/>
  <c r="I1271" i="1"/>
  <c r="J1271" i="1" s="1"/>
  <c r="K1271" i="1"/>
  <c r="P1271" i="1"/>
  <c r="Q1271" i="1"/>
  <c r="U1271" i="1"/>
  <c r="G1272" i="1"/>
  <c r="I1272" i="1"/>
  <c r="J1272" i="1" s="1"/>
  <c r="K1272" i="1"/>
  <c r="P1272" i="1"/>
  <c r="Q1272" i="1"/>
  <c r="U1272" i="1"/>
  <c r="G1273" i="1"/>
  <c r="I1273" i="1"/>
  <c r="O1273" i="1" s="1"/>
  <c r="K1273" i="1"/>
  <c r="P1273" i="1"/>
  <c r="Q1273" i="1"/>
  <c r="U1273" i="1"/>
  <c r="G1274" i="1"/>
  <c r="I1274" i="1"/>
  <c r="J1274" i="1" s="1"/>
  <c r="K1274" i="1"/>
  <c r="P1274" i="1"/>
  <c r="Q1274" i="1"/>
  <c r="U1274" i="1"/>
  <c r="G1276" i="1"/>
  <c r="I1276" i="1"/>
  <c r="J1276" i="1" s="1"/>
  <c r="K1276" i="1"/>
  <c r="P1276" i="1"/>
  <c r="Q1276" i="1"/>
  <c r="U1276" i="1"/>
  <c r="G1277" i="1"/>
  <c r="I1277" i="1"/>
  <c r="J1277" i="1" s="1"/>
  <c r="K1277" i="1"/>
  <c r="P1277" i="1"/>
  <c r="Q1277" i="1"/>
  <c r="U1277" i="1"/>
  <c r="G1278" i="1"/>
  <c r="I1278" i="1"/>
  <c r="O1278" i="1" s="1"/>
  <c r="K1278" i="1"/>
  <c r="P1278" i="1"/>
  <c r="Q1278" i="1"/>
  <c r="U1278" i="1"/>
  <c r="G1280" i="1"/>
  <c r="I1280" i="1"/>
  <c r="O1280" i="1" s="1"/>
  <c r="K1280" i="1"/>
  <c r="P1280" i="1"/>
  <c r="Q1280" i="1"/>
  <c r="U1280" i="1"/>
  <c r="G1279" i="1"/>
  <c r="I1279" i="1"/>
  <c r="J1279" i="1" s="1"/>
  <c r="K1279" i="1"/>
  <c r="P1279" i="1"/>
  <c r="Q1279" i="1"/>
  <c r="U1279" i="1"/>
  <c r="G1281" i="1"/>
  <c r="I1281" i="1"/>
  <c r="J1281" i="1" s="1"/>
  <c r="K1281" i="1"/>
  <c r="P1281" i="1"/>
  <c r="Q1281" i="1"/>
  <c r="U1281" i="1"/>
  <c r="G1286" i="1"/>
  <c r="I1286" i="1"/>
  <c r="J1286" i="1" s="1"/>
  <c r="K1286" i="1"/>
  <c r="P1286" i="1"/>
  <c r="Q1286" i="1"/>
  <c r="U1286" i="1"/>
  <c r="G1287" i="1"/>
  <c r="I1287" i="1"/>
  <c r="J1287" i="1" s="1"/>
  <c r="K1287" i="1"/>
  <c r="P1287" i="1"/>
  <c r="Q1287" i="1"/>
  <c r="U1287" i="1"/>
  <c r="G1288" i="1"/>
  <c r="I1288" i="1"/>
  <c r="J1288" i="1" s="1"/>
  <c r="K1288" i="1"/>
  <c r="P1288" i="1"/>
  <c r="Q1288" i="1"/>
  <c r="U1288" i="1"/>
  <c r="G1289" i="1"/>
  <c r="I1289" i="1"/>
  <c r="J1289" i="1" s="1"/>
  <c r="K1289" i="1"/>
  <c r="P1289" i="1"/>
  <c r="Q1289" i="1"/>
  <c r="U1289" i="1"/>
  <c r="G1290" i="1"/>
  <c r="I1290" i="1"/>
  <c r="J1290" i="1" s="1"/>
  <c r="K1290" i="1"/>
  <c r="P1290" i="1"/>
  <c r="Q1290" i="1"/>
  <c r="U1290" i="1"/>
  <c r="G1292" i="1"/>
  <c r="I1292" i="1"/>
  <c r="J1292" i="1" s="1"/>
  <c r="K1292" i="1"/>
  <c r="P1292" i="1"/>
  <c r="Q1292" i="1"/>
  <c r="U1292" i="1"/>
  <c r="G1293" i="1"/>
  <c r="I1293" i="1"/>
  <c r="J1293" i="1" s="1"/>
  <c r="K1293" i="1"/>
  <c r="P1293" i="1"/>
  <c r="Q1293" i="1"/>
  <c r="U1293" i="1"/>
  <c r="G1294" i="1"/>
  <c r="I1294" i="1"/>
  <c r="J1294" i="1" s="1"/>
  <c r="K1294" i="1"/>
  <c r="P1294" i="1"/>
  <c r="Q1294" i="1"/>
  <c r="U1294" i="1"/>
  <c r="G1295" i="1"/>
  <c r="I1295" i="1"/>
  <c r="J1295" i="1" s="1"/>
  <c r="K1295" i="1"/>
  <c r="P1295" i="1"/>
  <c r="Q1295" i="1"/>
  <c r="U1295" i="1"/>
  <c r="G1296" i="1"/>
  <c r="I1296" i="1"/>
  <c r="J1296" i="1" s="1"/>
  <c r="K1296" i="1"/>
  <c r="P1296" i="1"/>
  <c r="Q1296" i="1"/>
  <c r="U1296" i="1"/>
  <c r="G1297" i="1"/>
  <c r="I1297" i="1"/>
  <c r="J1297" i="1" s="1"/>
  <c r="K1297" i="1"/>
  <c r="P1297" i="1"/>
  <c r="Q1297" i="1"/>
  <c r="U1297" i="1"/>
  <c r="G1298" i="1"/>
  <c r="I1298" i="1"/>
  <c r="J1298" i="1" s="1"/>
  <c r="K1298" i="1"/>
  <c r="P1298" i="1"/>
  <c r="Q1298" i="1"/>
  <c r="U1298" i="1"/>
  <c r="G1300" i="1"/>
  <c r="I1300" i="1"/>
  <c r="O1300" i="1" s="1"/>
  <c r="K1300" i="1"/>
  <c r="P1300" i="1"/>
  <c r="Q1300" i="1"/>
  <c r="U1300" i="1"/>
  <c r="G1301" i="1"/>
  <c r="I1301" i="1"/>
  <c r="O1301" i="1" s="1"/>
  <c r="K1301" i="1"/>
  <c r="P1301" i="1"/>
  <c r="Q1301" i="1"/>
  <c r="U1301" i="1"/>
  <c r="G1303" i="1"/>
  <c r="I1303" i="1"/>
  <c r="O1303" i="1" s="1"/>
  <c r="K1303" i="1"/>
  <c r="P1303" i="1"/>
  <c r="Q1303" i="1"/>
  <c r="U1303" i="1"/>
  <c r="G1304" i="1"/>
  <c r="I1304" i="1"/>
  <c r="J1304" i="1" s="1"/>
  <c r="K1304" i="1"/>
  <c r="P1304" i="1"/>
  <c r="Q1304" i="1"/>
  <c r="U1304" i="1"/>
  <c r="G1305" i="1"/>
  <c r="I1305" i="1"/>
  <c r="O1305" i="1" s="1"/>
  <c r="K1305" i="1"/>
  <c r="P1305" i="1"/>
  <c r="Q1305" i="1"/>
  <c r="U1305" i="1"/>
  <c r="G1306" i="1"/>
  <c r="I1306" i="1"/>
  <c r="O1306" i="1" s="1"/>
  <c r="K1306" i="1"/>
  <c r="P1306" i="1"/>
  <c r="Q1306" i="1"/>
  <c r="U1306" i="1"/>
  <c r="G1307" i="1"/>
  <c r="I1307" i="1"/>
  <c r="O1307" i="1" s="1"/>
  <c r="K1307" i="1"/>
  <c r="P1307" i="1"/>
  <c r="Q1307" i="1"/>
  <c r="U1307" i="1"/>
  <c r="G1308" i="1"/>
  <c r="I1308" i="1"/>
  <c r="O1308" i="1" s="1"/>
  <c r="K1308" i="1"/>
  <c r="P1308" i="1"/>
  <c r="Q1308" i="1"/>
  <c r="U1308" i="1"/>
  <c r="G1310" i="1"/>
  <c r="I1310" i="1"/>
  <c r="J1310" i="1" s="1"/>
  <c r="K1310" i="1"/>
  <c r="P1310" i="1"/>
  <c r="Q1310" i="1"/>
  <c r="U1310" i="1"/>
  <c r="G1311" i="1"/>
  <c r="I1311" i="1"/>
  <c r="J1311" i="1" s="1"/>
  <c r="K1311" i="1"/>
  <c r="P1311" i="1"/>
  <c r="Q1311" i="1"/>
  <c r="U1311" i="1"/>
  <c r="G1312" i="1"/>
  <c r="I1312" i="1"/>
  <c r="J1312" i="1" s="1"/>
  <c r="K1312" i="1"/>
  <c r="P1312" i="1"/>
  <c r="Q1312" i="1"/>
  <c r="U1312" i="1"/>
  <c r="G1313" i="1"/>
  <c r="I1313" i="1"/>
  <c r="J1313" i="1" s="1"/>
  <c r="K1313" i="1"/>
  <c r="P1313" i="1"/>
  <c r="Q1313" i="1"/>
  <c r="U1313" i="1"/>
  <c r="G1314" i="1"/>
  <c r="I1314" i="1"/>
  <c r="J1314" i="1" s="1"/>
  <c r="K1314" i="1"/>
  <c r="P1314" i="1"/>
  <c r="Q1314" i="1"/>
  <c r="U1314" i="1"/>
  <c r="G1315" i="1"/>
  <c r="I1315" i="1"/>
  <c r="J1315" i="1" s="1"/>
  <c r="K1315" i="1"/>
  <c r="P1315" i="1"/>
  <c r="Q1315" i="1"/>
  <c r="U1315" i="1"/>
  <c r="G1316" i="1"/>
  <c r="I1316" i="1"/>
  <c r="J1316" i="1" s="1"/>
  <c r="K1316" i="1"/>
  <c r="P1316" i="1"/>
  <c r="Q1316" i="1"/>
  <c r="U1316" i="1"/>
  <c r="G1317" i="1"/>
  <c r="I1317" i="1"/>
  <c r="J1317" i="1" s="1"/>
  <c r="K1317" i="1"/>
  <c r="P1317" i="1"/>
  <c r="Q1317" i="1"/>
  <c r="U1317" i="1"/>
  <c r="G1318" i="1"/>
  <c r="I1318" i="1"/>
  <c r="J1318" i="1" s="1"/>
  <c r="K1318" i="1"/>
  <c r="P1318" i="1"/>
  <c r="Q1318" i="1"/>
  <c r="U1318" i="1"/>
  <c r="G1319" i="1"/>
  <c r="I1319" i="1"/>
  <c r="J1319" i="1" s="1"/>
  <c r="K1319" i="1"/>
  <c r="P1319" i="1"/>
  <c r="Q1319" i="1"/>
  <c r="U1319" i="1"/>
  <c r="G1320" i="1"/>
  <c r="I1320" i="1"/>
  <c r="J1320" i="1" s="1"/>
  <c r="K1320" i="1"/>
  <c r="P1320" i="1"/>
  <c r="Q1320" i="1"/>
  <c r="U1320" i="1"/>
  <c r="G1321" i="1"/>
  <c r="I1321" i="1"/>
  <c r="J1321" i="1" s="1"/>
  <c r="K1321" i="1"/>
  <c r="P1321" i="1"/>
  <c r="Q1321" i="1"/>
  <c r="U1321" i="1"/>
  <c r="G1322" i="1"/>
  <c r="I1322" i="1"/>
  <c r="J1322" i="1" s="1"/>
  <c r="K1322" i="1"/>
  <c r="P1322" i="1"/>
  <c r="Q1322" i="1"/>
  <c r="U1322" i="1"/>
  <c r="G1323" i="1"/>
  <c r="I1323" i="1"/>
  <c r="J1323" i="1" s="1"/>
  <c r="K1323" i="1"/>
  <c r="P1323" i="1"/>
  <c r="Q1323" i="1"/>
  <c r="U1323" i="1"/>
  <c r="G1324" i="1"/>
  <c r="I1324" i="1"/>
  <c r="J1324" i="1" s="1"/>
  <c r="K1324" i="1"/>
  <c r="P1324" i="1"/>
  <c r="Q1324" i="1"/>
  <c r="U1324" i="1"/>
  <c r="G1325" i="1"/>
  <c r="I1325" i="1"/>
  <c r="O1325" i="1" s="1"/>
  <c r="K1325" i="1"/>
  <c r="P1325" i="1"/>
  <c r="Q1325" i="1"/>
  <c r="U1325" i="1"/>
  <c r="G1326" i="1"/>
  <c r="I1326" i="1"/>
  <c r="O1326" i="1" s="1"/>
  <c r="K1326" i="1"/>
  <c r="P1326" i="1"/>
  <c r="Q1326" i="1"/>
  <c r="U1326" i="1"/>
  <c r="G1327" i="1"/>
  <c r="I1327" i="1"/>
  <c r="K1327" i="1"/>
  <c r="P1327" i="1"/>
  <c r="Q1327" i="1"/>
  <c r="U1327" i="1"/>
  <c r="G1328" i="1"/>
  <c r="I1328" i="1"/>
  <c r="O1328" i="1" s="1"/>
  <c r="K1328" i="1"/>
  <c r="P1328" i="1"/>
  <c r="Q1328" i="1"/>
  <c r="U1328" i="1"/>
  <c r="G1329" i="1"/>
  <c r="I1329" i="1"/>
  <c r="O1329" i="1" s="1"/>
  <c r="K1329" i="1"/>
  <c r="P1329" i="1"/>
  <c r="Q1329" i="1"/>
  <c r="U1329" i="1"/>
  <c r="G1331" i="1"/>
  <c r="I1331" i="1"/>
  <c r="J1331" i="1" s="1"/>
  <c r="K1331" i="1"/>
  <c r="P1331" i="1"/>
  <c r="Q1331" i="1"/>
  <c r="U1331" i="1"/>
  <c r="G1335" i="1"/>
  <c r="I1335" i="1"/>
  <c r="J1335" i="1" s="1"/>
  <c r="K1335" i="1"/>
  <c r="P1335" i="1"/>
  <c r="Q1335" i="1"/>
  <c r="U1335" i="1"/>
  <c r="G1332" i="1"/>
  <c r="I1332" i="1"/>
  <c r="J1332" i="1" s="1"/>
  <c r="K1332" i="1"/>
  <c r="P1332" i="1"/>
  <c r="Q1332" i="1"/>
  <c r="U1332" i="1"/>
  <c r="G1336" i="1"/>
  <c r="I1336" i="1"/>
  <c r="J1336" i="1" s="1"/>
  <c r="K1336" i="1"/>
  <c r="P1336" i="1"/>
  <c r="Q1336" i="1"/>
  <c r="U1336" i="1"/>
  <c r="G1333" i="1"/>
  <c r="I1333" i="1"/>
  <c r="J1333" i="1" s="1"/>
  <c r="K1333" i="1"/>
  <c r="P1333" i="1"/>
  <c r="Q1333" i="1"/>
  <c r="U1333" i="1"/>
  <c r="G1337" i="1"/>
  <c r="I1337" i="1"/>
  <c r="J1337" i="1" s="1"/>
  <c r="K1337" i="1"/>
  <c r="P1337" i="1"/>
  <c r="Q1337" i="1"/>
  <c r="U1337" i="1"/>
  <c r="G1334" i="1"/>
  <c r="I1334" i="1"/>
  <c r="J1334" i="1" s="1"/>
  <c r="K1334" i="1"/>
  <c r="P1334" i="1"/>
  <c r="Q1334" i="1"/>
  <c r="U1334" i="1"/>
  <c r="G1338" i="1"/>
  <c r="I1338" i="1"/>
  <c r="J1338" i="1" s="1"/>
  <c r="K1338" i="1"/>
  <c r="P1338" i="1"/>
  <c r="Q1338" i="1"/>
  <c r="U1338" i="1"/>
  <c r="G1343" i="1"/>
  <c r="I1343" i="1"/>
  <c r="J1343" i="1" s="1"/>
  <c r="K1343" i="1"/>
  <c r="P1343" i="1"/>
  <c r="Q1343" i="1"/>
  <c r="U1343" i="1"/>
  <c r="G1344" i="1"/>
  <c r="I1344" i="1"/>
  <c r="O1344" i="1" s="1"/>
  <c r="K1344" i="1"/>
  <c r="P1344" i="1"/>
  <c r="Q1344" i="1"/>
  <c r="U1344" i="1"/>
  <c r="G1346" i="1"/>
  <c r="I1346" i="1"/>
  <c r="J1346" i="1" s="1"/>
  <c r="K1346" i="1"/>
  <c r="P1346" i="1"/>
  <c r="Q1346" i="1"/>
  <c r="Q1345" i="1" s="1"/>
  <c r="T1345" i="1"/>
  <c r="U1346" i="1"/>
  <c r="U1345" i="1" s="1"/>
  <c r="G1348" i="1"/>
  <c r="I1348" i="1"/>
  <c r="K1348" i="1"/>
  <c r="P1348" i="1"/>
  <c r="Q1348" i="1"/>
  <c r="U1348" i="1"/>
  <c r="G1349" i="1"/>
  <c r="I1349" i="1"/>
  <c r="K1349" i="1"/>
  <c r="P1349" i="1"/>
  <c r="Q1349" i="1"/>
  <c r="U1349" i="1"/>
  <c r="G1350" i="1"/>
  <c r="I1350" i="1"/>
  <c r="O1350" i="1" s="1"/>
  <c r="K1350" i="1"/>
  <c r="P1350" i="1"/>
  <c r="Q1350" i="1"/>
  <c r="U1350" i="1"/>
  <c r="G1351" i="1"/>
  <c r="I1351" i="1"/>
  <c r="O1351" i="1" s="1"/>
  <c r="K1351" i="1"/>
  <c r="P1351" i="1"/>
  <c r="Q1351" i="1"/>
  <c r="U1351" i="1"/>
  <c r="G1352" i="1"/>
  <c r="I1352" i="1"/>
  <c r="J1352" i="1" s="1"/>
  <c r="K1352" i="1"/>
  <c r="P1352" i="1"/>
  <c r="Q1352" i="1"/>
  <c r="U1352" i="1"/>
  <c r="G1354" i="1"/>
  <c r="I1354" i="1"/>
  <c r="O1354" i="1" s="1"/>
  <c r="K1354" i="1"/>
  <c r="P1354" i="1"/>
  <c r="Q1354" i="1"/>
  <c r="U1354" i="1"/>
  <c r="G1355" i="1"/>
  <c r="I1355" i="1"/>
  <c r="O1355" i="1" s="1"/>
  <c r="K1355" i="1"/>
  <c r="P1355" i="1"/>
  <c r="Q1355" i="1"/>
  <c r="U1355" i="1"/>
  <c r="G1356" i="1"/>
  <c r="I1356" i="1"/>
  <c r="O1356" i="1" s="1"/>
  <c r="K1356" i="1"/>
  <c r="P1356" i="1"/>
  <c r="Q1356" i="1"/>
  <c r="U1356" i="1"/>
  <c r="G1357" i="1"/>
  <c r="I1357" i="1"/>
  <c r="J1357" i="1" s="1"/>
  <c r="K1357" i="1"/>
  <c r="P1357" i="1"/>
  <c r="Q1357" i="1"/>
  <c r="U1357" i="1"/>
  <c r="G1358" i="1"/>
  <c r="I1358" i="1"/>
  <c r="O1358" i="1" s="1"/>
  <c r="K1358" i="1"/>
  <c r="P1358" i="1"/>
  <c r="Q1358" i="1"/>
  <c r="U1358" i="1"/>
  <c r="R60" i="1" l="1"/>
  <c r="R56" i="1"/>
  <c r="R50" i="1"/>
  <c r="R46" i="1"/>
  <c r="R42" i="1"/>
  <c r="R38" i="1"/>
  <c r="R6" i="1"/>
  <c r="R565" i="1"/>
  <c r="R559" i="1"/>
  <c r="R556" i="1"/>
  <c r="R552" i="1"/>
  <c r="R544" i="1"/>
  <c r="R517" i="1"/>
  <c r="R485" i="1"/>
  <c r="R479" i="1"/>
  <c r="R475" i="1"/>
  <c r="R470" i="1"/>
  <c r="R466" i="1"/>
  <c r="R462" i="1"/>
  <c r="R459" i="1"/>
  <c r="R454" i="1"/>
  <c r="R450" i="1"/>
  <c r="R446" i="1"/>
  <c r="R439" i="1"/>
  <c r="R436" i="1"/>
  <c r="R432" i="1"/>
  <c r="R428" i="1"/>
  <c r="R423" i="1"/>
  <c r="R417" i="1"/>
  <c r="R413" i="1"/>
  <c r="R385" i="1"/>
  <c r="R380" i="1"/>
  <c r="R374" i="1"/>
  <c r="R370" i="1"/>
  <c r="R366" i="1"/>
  <c r="R362" i="1"/>
  <c r="R358" i="1"/>
  <c r="R348" i="1"/>
  <c r="R343" i="1"/>
  <c r="R339" i="1"/>
  <c r="R333" i="1"/>
  <c r="R329" i="1"/>
  <c r="R325" i="1"/>
  <c r="R321" i="1"/>
  <c r="R317" i="1"/>
  <c r="R314" i="1"/>
  <c r="R306" i="1"/>
  <c r="R305" i="1"/>
  <c r="R301" i="1"/>
  <c r="R297" i="1"/>
  <c r="R286" i="1"/>
  <c r="R284" i="1"/>
  <c r="R279" i="1"/>
  <c r="R754" i="1"/>
  <c r="R63" i="1"/>
  <c r="R513" i="1"/>
  <c r="R510" i="1"/>
  <c r="R505" i="1"/>
  <c r="R501" i="1"/>
  <c r="R492" i="1"/>
  <c r="R20" i="1"/>
  <c r="R16" i="1"/>
  <c r="R1358" i="1"/>
  <c r="R1354" i="1"/>
  <c r="R1349" i="1"/>
  <c r="R1343" i="1"/>
  <c r="R1333" i="1"/>
  <c r="R1331" i="1"/>
  <c r="R1326" i="1"/>
  <c r="R1322" i="1"/>
  <c r="R1318" i="1"/>
  <c r="R1314" i="1"/>
  <c r="R1310" i="1"/>
  <c r="R1305" i="1"/>
  <c r="R1300" i="1"/>
  <c r="R1295" i="1"/>
  <c r="R1290" i="1"/>
  <c r="R1286" i="1"/>
  <c r="R1278" i="1"/>
  <c r="R1273" i="1"/>
  <c r="R1266" i="1"/>
  <c r="R1259" i="1"/>
  <c r="R1255" i="1"/>
  <c r="R1247" i="1"/>
  <c r="R1242" i="1"/>
  <c r="R1237" i="1"/>
  <c r="R1233" i="1"/>
  <c r="R1228" i="1"/>
  <c r="R1224" i="1"/>
  <c r="R1208" i="1"/>
  <c r="R1203" i="1"/>
  <c r="R1199" i="1"/>
  <c r="R1193" i="1"/>
  <c r="R1188" i="1"/>
  <c r="R1183" i="1"/>
  <c r="R1176" i="1"/>
  <c r="R1171" i="1"/>
  <c r="R1161" i="1"/>
  <c r="R1157" i="1"/>
  <c r="R1152" i="1"/>
  <c r="R1148" i="1"/>
  <c r="R1141" i="1"/>
  <c r="R1136" i="1"/>
  <c r="R1131" i="1"/>
  <c r="R1127" i="1"/>
  <c r="R1119" i="1"/>
  <c r="R1112" i="1"/>
  <c r="R1107" i="1"/>
  <c r="R1102" i="1"/>
  <c r="R1098" i="1"/>
  <c r="R1094" i="1"/>
  <c r="R1090" i="1"/>
  <c r="R1085" i="1"/>
  <c r="R1080" i="1"/>
  <c r="R1076" i="1"/>
  <c r="R1071" i="1"/>
  <c r="R1067" i="1"/>
  <c r="R1063" i="1"/>
  <c r="R1058" i="1"/>
  <c r="R1054" i="1"/>
  <c r="R1050" i="1"/>
  <c r="R1045" i="1"/>
  <c r="R1041" i="1"/>
  <c r="R1037" i="1"/>
  <c r="R1032" i="1"/>
  <c r="R1028" i="1"/>
  <c r="R1024" i="1"/>
  <c r="R1019" i="1"/>
  <c r="R1015" i="1"/>
  <c r="R1011" i="1"/>
  <c r="R1006" i="1"/>
  <c r="R1002" i="1"/>
  <c r="R997" i="1"/>
  <c r="R992" i="1"/>
  <c r="R986" i="1"/>
  <c r="R982" i="1"/>
  <c r="R978" i="1"/>
  <c r="R974" i="1"/>
  <c r="R969" i="1"/>
  <c r="R963" i="1"/>
  <c r="R959" i="1"/>
  <c r="R954" i="1"/>
  <c r="R949" i="1"/>
  <c r="R945" i="1"/>
  <c r="R940" i="1"/>
  <c r="R936" i="1"/>
  <c r="R932" i="1"/>
  <c r="R928" i="1"/>
  <c r="R920" i="1"/>
  <c r="R916" i="1"/>
  <c r="R912" i="1"/>
  <c r="R908" i="1"/>
  <c r="R904" i="1"/>
  <c r="R899" i="1"/>
  <c r="R894" i="1"/>
  <c r="R890" i="1"/>
  <c r="R886" i="1"/>
  <c r="R881" i="1"/>
  <c r="R876" i="1"/>
  <c r="R871" i="1"/>
  <c r="R866" i="1"/>
  <c r="R861" i="1"/>
  <c r="R857" i="1"/>
  <c r="R852" i="1"/>
  <c r="R847" i="1"/>
  <c r="R843" i="1"/>
  <c r="R838" i="1"/>
  <c r="R834" i="1"/>
  <c r="R822" i="1"/>
  <c r="R818" i="1"/>
  <c r="R813" i="1"/>
  <c r="R803" i="1"/>
  <c r="R798" i="1"/>
  <c r="R793" i="1"/>
  <c r="R788" i="1"/>
  <c r="R781" i="1" s="1"/>
  <c r="R779" i="1"/>
  <c r="R774" i="1"/>
  <c r="R769" i="1"/>
  <c r="R763" i="1"/>
  <c r="R745" i="1"/>
  <c r="R740" i="1"/>
  <c r="R735" i="1"/>
  <c r="R731" i="1"/>
  <c r="R726" i="1"/>
  <c r="R717" i="1"/>
  <c r="R712" i="1"/>
  <c r="R703" i="1"/>
  <c r="R699" i="1"/>
  <c r="R694" i="1"/>
  <c r="R689" i="1"/>
  <c r="R685" i="1"/>
  <c r="R680" i="1"/>
  <c r="R675" i="1"/>
  <c r="R671" i="1"/>
  <c r="R667" i="1"/>
  <c r="R662" i="1"/>
  <c r="R658" i="1"/>
  <c r="R654" i="1"/>
  <c r="R649" i="1"/>
  <c r="R645" i="1"/>
  <c r="R639" i="1"/>
  <c r="R635" i="1"/>
  <c r="R629" i="1"/>
  <c r="R625" i="1"/>
  <c r="R621" i="1"/>
  <c r="R617" i="1"/>
  <c r="R611" i="1"/>
  <c r="R607" i="1"/>
  <c r="R603" i="1"/>
  <c r="R598" i="1"/>
  <c r="R594" i="1"/>
  <c r="R589" i="1"/>
  <c r="R583" i="1"/>
  <c r="R579" i="1"/>
  <c r="R575" i="1"/>
  <c r="R570" i="1"/>
  <c r="R563" i="1"/>
  <c r="R558" i="1"/>
  <c r="R555" i="1"/>
  <c r="R551" i="1"/>
  <c r="R543" i="1"/>
  <c r="R516" i="1"/>
  <c r="R512" i="1"/>
  <c r="R509" i="1"/>
  <c r="R504" i="1"/>
  <c r="R500" i="1"/>
  <c r="R491" i="1"/>
  <c r="R498" i="1"/>
  <c r="R494" i="1"/>
  <c r="R757" i="1"/>
  <c r="R488" i="1"/>
  <c r="R484" i="1"/>
  <c r="R478" i="1"/>
  <c r="R474" i="1"/>
  <c r="R469" i="1"/>
  <c r="R465" i="1"/>
  <c r="R458" i="1"/>
  <c r="R457" i="1"/>
  <c r="R453" i="1"/>
  <c r="R449" i="1"/>
  <c r="R445" i="1"/>
  <c r="R437" i="1"/>
  <c r="R431" i="1"/>
  <c r="R427" i="1"/>
  <c r="R422" i="1"/>
  <c r="R416" i="1"/>
  <c r="R412" i="1"/>
  <c r="R384" i="1"/>
  <c r="R379" i="1"/>
  <c r="R373" i="1"/>
  <c r="R369" i="1"/>
  <c r="R365" i="1"/>
  <c r="R361" i="1"/>
  <c r="R352" i="1"/>
  <c r="R347" i="1"/>
  <c r="R342" i="1"/>
  <c r="R336" i="1"/>
  <c r="R332" i="1"/>
  <c r="R328" i="1"/>
  <c r="R324" i="1"/>
  <c r="R320" i="1"/>
  <c r="R316" i="1"/>
  <c r="R312" i="1"/>
  <c r="R309" i="1"/>
  <c r="R304" i="1"/>
  <c r="R300" i="1"/>
  <c r="R296" i="1"/>
  <c r="R295" i="1"/>
  <c r="R282" i="1"/>
  <c r="R755" i="1"/>
  <c r="R275" i="1"/>
  <c r="R271" i="1"/>
  <c r="R267" i="1"/>
  <c r="R259" i="1"/>
  <c r="R252" i="1"/>
  <c r="R240" i="1"/>
  <c r="R236" i="1"/>
  <c r="R231" i="1"/>
  <c r="R227" i="1"/>
  <c r="R220" i="1"/>
  <c r="R216" i="1"/>
  <c r="R210" i="1"/>
  <c r="R206" i="1"/>
  <c r="R200" i="1"/>
  <c r="R196" i="1"/>
  <c r="R184" i="1"/>
  <c r="R178" i="1"/>
  <c r="R171" i="1"/>
  <c r="R167" i="1"/>
  <c r="R163" i="1"/>
  <c r="R159" i="1"/>
  <c r="R750" i="1"/>
  <c r="R157" i="1"/>
  <c r="R153" i="1"/>
  <c r="R149" i="1"/>
  <c r="R145" i="1"/>
  <c r="R141" i="1"/>
  <c r="R132" i="1"/>
  <c r="R128" i="1"/>
  <c r="R125" i="1"/>
  <c r="R120" i="1"/>
  <c r="R116" i="1"/>
  <c r="R108" i="1"/>
  <c r="R96" i="1"/>
  <c r="R85" i="1"/>
  <c r="R92" i="1"/>
  <c r="R77" i="1"/>
  <c r="R72" i="1"/>
  <c r="R68" i="1"/>
  <c r="R64" i="1"/>
  <c r="R61" i="1"/>
  <c r="R57" i="1"/>
  <c r="R39" i="1"/>
  <c r="R35" i="1"/>
  <c r="R17" i="1"/>
  <c r="R12" i="1"/>
  <c r="R7" i="1"/>
  <c r="R749" i="1"/>
  <c r="R1355" i="1"/>
  <c r="R1350" i="1"/>
  <c r="R1344" i="1"/>
  <c r="R1337" i="1"/>
  <c r="R1335" i="1"/>
  <c r="R1327" i="1"/>
  <c r="R1323" i="1"/>
  <c r="R1319" i="1"/>
  <c r="R1315" i="1"/>
  <c r="R1311" i="1"/>
  <c r="R1306" i="1"/>
  <c r="R1301" i="1"/>
  <c r="R1296" i="1"/>
  <c r="R1292" i="1"/>
  <c r="R1287" i="1"/>
  <c r="R1280" i="1"/>
  <c r="R1274" i="1"/>
  <c r="R1269" i="1"/>
  <c r="R1260" i="1"/>
  <c r="R1256" i="1"/>
  <c r="R1250" i="1"/>
  <c r="R1243" i="1"/>
  <c r="R1238" i="1"/>
  <c r="R1234" i="1"/>
  <c r="R1229" i="1"/>
  <c r="R1225" i="1"/>
  <c r="R1209" i="1"/>
  <c r="R1204" i="1"/>
  <c r="R1200" i="1"/>
  <c r="R1195" i="1"/>
  <c r="R1189" i="1"/>
  <c r="R1184" i="1"/>
  <c r="R1177" i="1"/>
  <c r="R1172" i="1"/>
  <c r="R1162" i="1"/>
  <c r="R1158" i="1"/>
  <c r="R1153" i="1"/>
  <c r="R1149" i="1"/>
  <c r="R1142" i="1"/>
  <c r="R1137" i="1"/>
  <c r="R1133" i="1"/>
  <c r="R1128" i="1"/>
  <c r="R1121" i="1"/>
  <c r="R1113" i="1"/>
  <c r="R1108" i="1"/>
  <c r="R1103" i="1"/>
  <c r="R1099" i="1"/>
  <c r="R1095" i="1"/>
  <c r="R1091" i="1"/>
  <c r="R1086" i="1"/>
  <c r="R1081" i="1"/>
  <c r="R1077" i="1"/>
  <c r="R1072" i="1"/>
  <c r="R1068" i="1"/>
  <c r="R1064" i="1"/>
  <c r="R1059" i="1"/>
  <c r="R1055" i="1"/>
  <c r="R1051" i="1"/>
  <c r="R1046" i="1"/>
  <c r="R1042" i="1"/>
  <c r="R1038" i="1"/>
  <c r="R1033" i="1"/>
  <c r="R1029" i="1"/>
  <c r="R1025" i="1"/>
  <c r="R1020" i="1"/>
  <c r="R1016" i="1"/>
  <c r="R1012" i="1"/>
  <c r="R1007" i="1"/>
  <c r="R1003" i="1"/>
  <c r="R999" i="1"/>
  <c r="R994" i="1"/>
  <c r="R989" i="1"/>
  <c r="R983" i="1"/>
  <c r="R979" i="1"/>
  <c r="R975" i="1"/>
  <c r="R971" i="1"/>
  <c r="R964" i="1"/>
  <c r="R960" i="1"/>
  <c r="R955" i="1"/>
  <c r="R950" i="1"/>
  <c r="R946" i="1"/>
  <c r="R941" i="1"/>
  <c r="R937" i="1"/>
  <c r="R933" i="1"/>
  <c r="R929" i="1"/>
  <c r="R924" i="1"/>
  <c r="R917" i="1"/>
  <c r="R913" i="1"/>
  <c r="R909" i="1"/>
  <c r="R905" i="1"/>
  <c r="R901" i="1"/>
  <c r="R895" i="1"/>
  <c r="R891" i="1"/>
  <c r="R887" i="1"/>
  <c r="R883" i="1"/>
  <c r="R877" i="1"/>
  <c r="R872" i="1"/>
  <c r="R867" i="1"/>
  <c r="R862" i="1"/>
  <c r="R858" i="1"/>
  <c r="R853" i="1"/>
  <c r="R848" i="1"/>
  <c r="R844" i="1"/>
  <c r="R839" i="1"/>
  <c r="R835" i="1"/>
  <c r="R823" i="1"/>
  <c r="R819" i="1"/>
  <c r="R814" i="1"/>
  <c r="R809" i="1"/>
  <c r="R799" i="1"/>
  <c r="R794" i="1"/>
  <c r="R790" i="1"/>
  <c r="R780" i="1"/>
  <c r="R775" i="1"/>
  <c r="R771" i="1"/>
  <c r="R764" i="1"/>
  <c r="R746" i="1"/>
  <c r="R741" i="1"/>
  <c r="R737" i="1"/>
  <c r="R732" i="1"/>
  <c r="R727" i="1"/>
  <c r="R718" i="1"/>
  <c r="R714" i="1"/>
  <c r="R709" i="1"/>
  <c r="R700" i="1"/>
  <c r="R695" i="1"/>
  <c r="R690" i="1"/>
  <c r="R686" i="1"/>
  <c r="R681" i="1"/>
  <c r="R676" i="1"/>
  <c r="R672" i="1"/>
  <c r="R668" i="1"/>
  <c r="R664" i="1"/>
  <c r="R659" i="1"/>
  <c r="R655" i="1"/>
  <c r="R650" i="1"/>
  <c r="R646" i="1"/>
  <c r="R640" i="1"/>
  <c r="R636" i="1"/>
  <c r="R630" i="1"/>
  <c r="R626" i="1"/>
  <c r="R622" i="1"/>
  <c r="R618" i="1"/>
  <c r="R613" i="1"/>
  <c r="R608" i="1"/>
  <c r="R604" i="1"/>
  <c r="R599" i="1"/>
  <c r="R595" i="1"/>
  <c r="R591" i="1"/>
  <c r="R584" i="1"/>
  <c r="R580" i="1"/>
  <c r="R576" i="1"/>
  <c r="R571" i="1"/>
  <c r="R499" i="1"/>
  <c r="R496" i="1"/>
  <c r="R276" i="1"/>
  <c r="R272" i="1"/>
  <c r="R264" i="1"/>
  <c r="R260" i="1"/>
  <c r="R254" i="1"/>
  <c r="R249" i="1"/>
  <c r="R245" i="1"/>
  <c r="R237" i="1"/>
  <c r="R233" i="1"/>
  <c r="R228" i="1"/>
  <c r="R221" i="1"/>
  <c r="R217" i="1"/>
  <c r="R211" i="1"/>
  <c r="R207" i="1"/>
  <c r="R202" i="1"/>
  <c r="R197" i="1"/>
  <c r="R193" i="1"/>
  <c r="R189" i="1"/>
  <c r="R185" i="1"/>
  <c r="R180" i="1"/>
  <c r="R172" i="1"/>
  <c r="R168" i="1"/>
  <c r="R164" i="1"/>
  <c r="R160" i="1"/>
  <c r="R158" i="1"/>
  <c r="R154" i="1"/>
  <c r="R146" i="1"/>
  <c r="R142" i="1"/>
  <c r="R138" i="1"/>
  <c r="R133" i="1"/>
  <c r="R129" i="1"/>
  <c r="R126" i="1"/>
  <c r="R117" i="1"/>
  <c r="R113" i="1"/>
  <c r="R109" i="1"/>
  <c r="R97" i="1"/>
  <c r="R93" i="1"/>
  <c r="R90" i="1"/>
  <c r="R79" i="1"/>
  <c r="R74" i="1"/>
  <c r="R69" i="1"/>
  <c r="R65" i="1"/>
  <c r="R62" i="1"/>
  <c r="R58" i="1"/>
  <c r="R54" i="1"/>
  <c r="R48" i="1"/>
  <c r="R44" i="1"/>
  <c r="R40" i="1"/>
  <c r="R36" i="1"/>
  <c r="R18" i="1"/>
  <c r="R13" i="1"/>
  <c r="R1351" i="1"/>
  <c r="R1334" i="1"/>
  <c r="R1332" i="1"/>
  <c r="R1328" i="1"/>
  <c r="R1324" i="1"/>
  <c r="R1320" i="1"/>
  <c r="R1316" i="1"/>
  <c r="R1312" i="1"/>
  <c r="R1307" i="1"/>
  <c r="R1303" i="1"/>
  <c r="R1297" i="1"/>
  <c r="R1293" i="1"/>
  <c r="R1288" i="1"/>
  <c r="R1279" i="1"/>
  <c r="R1276" i="1"/>
  <c r="R1271" i="1"/>
  <c r="R1261" i="1"/>
  <c r="R1257" i="1"/>
  <c r="R1251" i="1"/>
  <c r="R1244" i="1"/>
  <c r="R1240" i="1"/>
  <c r="R1235" i="1"/>
  <c r="R1231" i="1"/>
  <c r="R1226" i="1"/>
  <c r="R1222" i="1"/>
  <c r="R1205" i="1"/>
  <c r="R1201" i="1"/>
  <c r="R1196" i="1"/>
  <c r="R1191" i="1"/>
  <c r="R1186" i="1"/>
  <c r="R1178" i="1"/>
  <c r="R1174" i="1"/>
  <c r="R1169" i="1"/>
  <c r="R1159" i="1"/>
  <c r="R1154" i="1"/>
  <c r="R1150" i="1"/>
  <c r="R1143" i="1"/>
  <c r="R1139" i="1"/>
  <c r="R1134" i="1"/>
  <c r="R1129" i="1"/>
  <c r="R1122" i="1"/>
  <c r="R1114" i="1"/>
  <c r="R1110" i="1"/>
  <c r="R1104" i="1"/>
  <c r="R1100" i="1"/>
  <c r="R1096" i="1"/>
  <c r="R1092" i="1"/>
  <c r="R1087" i="1"/>
  <c r="R1082" i="1"/>
  <c r="R1078" i="1"/>
  <c r="R1073" i="1"/>
  <c r="R1069" i="1"/>
  <c r="R1065" i="1"/>
  <c r="R1061" i="1"/>
  <c r="R1056" i="1"/>
  <c r="R1052" i="1"/>
  <c r="R1047" i="1"/>
  <c r="R1043" i="1"/>
  <c r="R1039" i="1"/>
  <c r="R1035" i="1"/>
  <c r="R1030" i="1"/>
  <c r="R1026" i="1"/>
  <c r="R1022" i="1"/>
  <c r="R1017" i="1"/>
  <c r="R1013" i="1"/>
  <c r="R1009" i="1"/>
  <c r="R1004" i="1"/>
  <c r="R1000" i="1"/>
  <c r="R995" i="1"/>
  <c r="R990" i="1"/>
  <c r="R984" i="1"/>
  <c r="R980" i="1"/>
  <c r="R976" i="1"/>
  <c r="R972" i="1"/>
  <c r="R965" i="1"/>
  <c r="R961" i="1"/>
  <c r="R956" i="1"/>
  <c r="R951" i="1"/>
  <c r="R947" i="1"/>
  <c r="R942" i="1"/>
  <c r="R938" i="1"/>
  <c r="R934" i="1"/>
  <c r="R930" i="1"/>
  <c r="R926" i="1"/>
  <c r="R918" i="1"/>
  <c r="R914" i="1"/>
  <c r="R910" i="1"/>
  <c r="R906" i="1"/>
  <c r="R902" i="1"/>
  <c r="R897" i="1"/>
  <c r="R892" i="1"/>
  <c r="R888" i="1"/>
  <c r="R884" i="1"/>
  <c r="R1356" i="1"/>
  <c r="R1346" i="1"/>
  <c r="R1345" i="1" s="1"/>
  <c r="R1357" i="1"/>
  <c r="R1352" i="1"/>
  <c r="R1348" i="1"/>
  <c r="R1338" i="1"/>
  <c r="R1336" i="1"/>
  <c r="R1329" i="1"/>
  <c r="R1325" i="1"/>
  <c r="R1321" i="1"/>
  <c r="R1317" i="1"/>
  <c r="R1313" i="1"/>
  <c r="R1308" i="1"/>
  <c r="R1304" i="1"/>
  <c r="R1298" i="1"/>
  <c r="R1294" i="1"/>
  <c r="R1289" i="1"/>
  <c r="R1281" i="1"/>
  <c r="R1277" i="1"/>
  <c r="R1272" i="1"/>
  <c r="R1265" i="1"/>
  <c r="R1258" i="1"/>
  <c r="R1253" i="1"/>
  <c r="R1245" i="1"/>
  <c r="R1241" i="1"/>
  <c r="R1236" i="1"/>
  <c r="R1232" i="1"/>
  <c r="R1227" i="1"/>
  <c r="R1223" i="1"/>
  <c r="R1207" i="1"/>
  <c r="R1202" i="1"/>
  <c r="R1198" i="1"/>
  <c r="R1192" i="1"/>
  <c r="R1187" i="1"/>
  <c r="R1182" i="1"/>
  <c r="R1175" i="1"/>
  <c r="R1170" i="1"/>
  <c r="R1160" i="1"/>
  <c r="R1156" i="1"/>
  <c r="R1151" i="1"/>
  <c r="R1144" i="1"/>
  <c r="R1140" i="1"/>
  <c r="R1135" i="1"/>
  <c r="R1130" i="1"/>
  <c r="R1123" i="1"/>
  <c r="R1115" i="1"/>
  <c r="R1111" i="1"/>
  <c r="R1105" i="1"/>
  <c r="R1101" i="1"/>
  <c r="R1097" i="1"/>
  <c r="R1093" i="1"/>
  <c r="R1088" i="1"/>
  <c r="R1083" i="1"/>
  <c r="R1079" i="1"/>
  <c r="R1075" i="1"/>
  <c r="R1070" i="1"/>
  <c r="R1066" i="1"/>
  <c r="R1062" i="1"/>
  <c r="R1057" i="1"/>
  <c r="R1053" i="1"/>
  <c r="R1048" i="1"/>
  <c r="R1044" i="1"/>
  <c r="R1040" i="1"/>
  <c r="R1036" i="1"/>
  <c r="R1031" i="1"/>
  <c r="R1027" i="1"/>
  <c r="R1023" i="1"/>
  <c r="R1018" i="1"/>
  <c r="R1014" i="1"/>
  <c r="R1010" i="1"/>
  <c r="R1005" i="1"/>
  <c r="R1001" i="1"/>
  <c r="R996" i="1"/>
  <c r="R991" i="1"/>
  <c r="R985" i="1"/>
  <c r="R981" i="1"/>
  <c r="R977" i="1"/>
  <c r="R973" i="1"/>
  <c r="R966" i="1"/>
  <c r="R962" i="1"/>
  <c r="R958" i="1"/>
  <c r="R952" i="1"/>
  <c r="R948" i="1"/>
  <c r="R943" i="1"/>
  <c r="R939" i="1"/>
  <c r="R935" i="1"/>
  <c r="R931" i="1"/>
  <c r="R927" i="1"/>
  <c r="R919" i="1"/>
  <c r="R915" i="1"/>
  <c r="R911" i="1"/>
  <c r="R907" i="1"/>
  <c r="R903" i="1"/>
  <c r="R879" i="1"/>
  <c r="R873" i="1"/>
  <c r="R869" i="1"/>
  <c r="R864" i="1"/>
  <c r="R859" i="1"/>
  <c r="R854" i="1"/>
  <c r="R850" i="1"/>
  <c r="R845" i="1"/>
  <c r="R841" i="1"/>
  <c r="R836" i="1"/>
  <c r="R832" i="1"/>
  <c r="R820" i="1"/>
  <c r="R815" i="1"/>
  <c r="R810" i="1"/>
  <c r="R800" i="1"/>
  <c r="R795" i="1"/>
  <c r="R791" i="1"/>
  <c r="R777" i="1"/>
  <c r="R772" i="1"/>
  <c r="R766" i="1"/>
  <c r="R747" i="1"/>
  <c r="R743" i="1"/>
  <c r="R738" i="1"/>
  <c r="R733" i="1"/>
  <c r="R728" i="1"/>
  <c r="R724" i="1"/>
  <c r="R715" i="1"/>
  <c r="R710" i="1"/>
  <c r="R701" i="1"/>
  <c r="R696" i="1"/>
  <c r="R691" i="1"/>
  <c r="R687" i="1"/>
  <c r="R683" i="1"/>
  <c r="R677" i="1"/>
  <c r="R673" i="1"/>
  <c r="R669" i="1"/>
  <c r="R665" i="1"/>
  <c r="R660" i="1"/>
  <c r="R656" i="1"/>
  <c r="R651" i="1"/>
  <c r="R647" i="1"/>
  <c r="R641" i="1"/>
  <c r="R637" i="1"/>
  <c r="R632" i="1"/>
  <c r="R627" i="1"/>
  <c r="R623" i="1"/>
  <c r="R619" i="1"/>
  <c r="R614" i="1"/>
  <c r="R609" i="1"/>
  <c r="R605" i="1"/>
  <c r="R600" i="1"/>
  <c r="R596" i="1"/>
  <c r="R592" i="1"/>
  <c r="R586" i="1"/>
  <c r="R581" i="1"/>
  <c r="R577" i="1"/>
  <c r="R573" i="1"/>
  <c r="R566" i="1"/>
  <c r="R560" i="1"/>
  <c r="R553" i="1"/>
  <c r="R545" i="1"/>
  <c r="R518" i="1"/>
  <c r="R514" i="1"/>
  <c r="R511" i="1"/>
  <c r="R506" i="1"/>
  <c r="R502" i="1"/>
  <c r="R480" i="1"/>
  <c r="R489" i="1"/>
  <c r="R495" i="1"/>
  <c r="R759" i="1"/>
  <c r="R486" i="1"/>
  <c r="R482" i="1"/>
  <c r="R476" i="1"/>
  <c r="R472" i="1"/>
  <c r="R467" i="1"/>
  <c r="R463" i="1"/>
  <c r="R460" i="1"/>
  <c r="R455" i="1"/>
  <c r="R451" i="1"/>
  <c r="R447" i="1"/>
  <c r="R443" i="1"/>
  <c r="R440" i="1"/>
  <c r="R434" i="1"/>
  <c r="R429" i="1"/>
  <c r="R424" i="1"/>
  <c r="R419" i="1"/>
  <c r="R414" i="1"/>
  <c r="R386" i="1"/>
  <c r="R381" i="1"/>
  <c r="R377" i="1"/>
  <c r="R371" i="1"/>
  <c r="R367" i="1"/>
  <c r="R363" i="1"/>
  <c r="R359" i="1"/>
  <c r="R349" i="1"/>
  <c r="R345" i="1"/>
  <c r="R340" i="1"/>
  <c r="R334" i="1"/>
  <c r="R330" i="1"/>
  <c r="R326" i="1"/>
  <c r="R323" i="1"/>
  <c r="R318" i="1"/>
  <c r="R313" i="1"/>
  <c r="R310" i="1"/>
  <c r="R307" i="1"/>
  <c r="R302" i="1"/>
  <c r="R298" i="1"/>
  <c r="R290" i="1"/>
  <c r="R293" i="1"/>
  <c r="R280" i="1"/>
  <c r="R753" i="1"/>
  <c r="R277" i="1"/>
  <c r="R273" i="1"/>
  <c r="R269" i="1"/>
  <c r="R265" i="1"/>
  <c r="R256" i="1"/>
  <c r="R250" i="1"/>
  <c r="R246" i="1"/>
  <c r="R242" i="1"/>
  <c r="R238" i="1"/>
  <c r="R234" i="1"/>
  <c r="R229" i="1"/>
  <c r="R223" i="1"/>
  <c r="R218" i="1"/>
  <c r="R213" i="1"/>
  <c r="R208" i="1"/>
  <c r="R203" i="1"/>
  <c r="R198" i="1"/>
  <c r="R194" i="1"/>
  <c r="R187" i="1"/>
  <c r="R181" i="1"/>
  <c r="R173" i="1"/>
  <c r="R169" i="1"/>
  <c r="R165" i="1"/>
  <c r="R161" i="1"/>
  <c r="R155" i="1"/>
  <c r="R151" i="1"/>
  <c r="R147" i="1"/>
  <c r="R143" i="1"/>
  <c r="R139" i="1"/>
  <c r="R130" i="1"/>
  <c r="R122" i="1"/>
  <c r="R123" i="1"/>
  <c r="R118" i="1"/>
  <c r="R110" i="1"/>
  <c r="R104" i="1"/>
  <c r="R98" i="1"/>
  <c r="R94" i="1"/>
  <c r="R91" i="1"/>
  <c r="R83" i="1"/>
  <c r="R80" i="1"/>
  <c r="R75" i="1"/>
  <c r="R70" i="1"/>
  <c r="R66" i="1"/>
  <c r="R73" i="1"/>
  <c r="R59" i="1"/>
  <c r="R55" i="1"/>
  <c r="R49" i="1"/>
  <c r="R45" i="1"/>
  <c r="R41" i="1"/>
  <c r="R37" i="1"/>
  <c r="R19" i="1"/>
  <c r="R9" i="1"/>
  <c r="R4" i="1"/>
  <c r="R898" i="1"/>
  <c r="R893" i="1"/>
  <c r="R889" i="1"/>
  <c r="R885" i="1"/>
  <c r="R880" i="1"/>
  <c r="R875" i="1"/>
  <c r="R870" i="1"/>
  <c r="R865" i="1"/>
  <c r="R860" i="1"/>
  <c r="R855" i="1"/>
  <c r="R851" i="1"/>
  <c r="R846" i="1"/>
  <c r="R842" i="1"/>
  <c r="R837" i="1"/>
  <c r="R833" i="1"/>
  <c r="R821" i="1"/>
  <c r="R816" i="1"/>
  <c r="R811" i="1"/>
  <c r="R802" i="1"/>
  <c r="R796" i="1"/>
  <c r="R792" i="1"/>
  <c r="R778" i="1"/>
  <c r="R773" i="1"/>
  <c r="R767" i="1"/>
  <c r="R761" i="1"/>
  <c r="R744" i="1"/>
  <c r="R739" i="1"/>
  <c r="R734" i="1"/>
  <c r="R730" i="1"/>
  <c r="R725" i="1"/>
  <c r="R716" i="1"/>
  <c r="R711" i="1"/>
  <c r="R702" i="1"/>
  <c r="R697" i="1"/>
  <c r="R692" i="1"/>
  <c r="R688" i="1"/>
  <c r="R684" i="1"/>
  <c r="R678" i="1"/>
  <c r="R674" i="1"/>
  <c r="R670" i="1"/>
  <c r="R666" i="1"/>
  <c r="R661" i="1"/>
  <c r="R657" i="1"/>
  <c r="R652" i="1"/>
  <c r="R648" i="1"/>
  <c r="R643" i="1"/>
  <c r="R638" i="1"/>
  <c r="R633" i="1"/>
  <c r="R628" i="1"/>
  <c r="R624" i="1"/>
  <c r="R620" i="1"/>
  <c r="R616" i="1"/>
  <c r="R610" i="1"/>
  <c r="R606" i="1"/>
  <c r="R602" i="1"/>
  <c r="R597" i="1"/>
  <c r="R593" i="1"/>
  <c r="R587" i="1"/>
  <c r="R582" i="1"/>
  <c r="R578" i="1"/>
  <c r="R574" i="1"/>
  <c r="R568" i="1"/>
  <c r="R567" i="1" s="1"/>
  <c r="R562" i="1"/>
  <c r="R557" i="1"/>
  <c r="R554" i="1"/>
  <c r="R549" i="1"/>
  <c r="R519" i="1"/>
  <c r="R515" i="1"/>
  <c r="R507" i="1"/>
  <c r="R503" i="1"/>
  <c r="R481" i="1"/>
  <c r="R490" i="1"/>
  <c r="R497" i="1"/>
  <c r="R493" i="1"/>
  <c r="R758" i="1"/>
  <c r="R487" i="1"/>
  <c r="R483" i="1"/>
  <c r="R477" i="1"/>
  <c r="R473" i="1"/>
  <c r="R468" i="1"/>
  <c r="R464" i="1"/>
  <c r="R461" i="1"/>
  <c r="R456" i="1"/>
  <c r="R452" i="1"/>
  <c r="R448" i="1"/>
  <c r="R444" i="1"/>
  <c r="R441" i="1"/>
  <c r="R442" i="1"/>
  <c r="R430" i="1"/>
  <c r="R426" i="1"/>
  <c r="R421" i="1"/>
  <c r="R415" i="1"/>
  <c r="R387" i="1"/>
  <c r="R383" i="1"/>
  <c r="R378" i="1"/>
  <c r="R372" i="1"/>
  <c r="R368" i="1"/>
  <c r="R364" i="1"/>
  <c r="R360" i="1"/>
  <c r="R351" i="1"/>
  <c r="R346" i="1"/>
  <c r="R341" i="1"/>
  <c r="R335" i="1"/>
  <c r="R331" i="1"/>
  <c r="R327" i="1"/>
  <c r="R322" i="1"/>
  <c r="R319" i="1"/>
  <c r="R315" i="1"/>
  <c r="R311" i="1"/>
  <c r="R308" i="1"/>
  <c r="R303" i="1"/>
  <c r="R299" i="1"/>
  <c r="R292" i="1"/>
  <c r="R294" i="1"/>
  <c r="R281" i="1"/>
  <c r="R278" i="1"/>
  <c r="R274" i="1"/>
  <c r="R270" i="1"/>
  <c r="R266" i="1"/>
  <c r="R262" i="1"/>
  <c r="R258" i="1"/>
  <c r="R251" i="1"/>
  <c r="R247" i="1"/>
  <c r="R243" i="1"/>
  <c r="R239" i="1"/>
  <c r="R235" i="1"/>
  <c r="R230" i="1"/>
  <c r="R224" i="1"/>
  <c r="R219" i="1"/>
  <c r="R215" i="1"/>
  <c r="R209" i="1"/>
  <c r="R205" i="1"/>
  <c r="R199" i="1"/>
  <c r="R195" i="1"/>
  <c r="R191" i="1"/>
  <c r="R188" i="1"/>
  <c r="R183" i="1"/>
  <c r="R174" i="1"/>
  <c r="R170" i="1"/>
  <c r="R166" i="1"/>
  <c r="R162" i="1"/>
  <c r="R751" i="1"/>
  <c r="R156" i="1"/>
  <c r="R152" i="1"/>
  <c r="R148" i="1"/>
  <c r="R144" i="1"/>
  <c r="R136" i="1"/>
  <c r="R131" i="1"/>
  <c r="R127" i="1"/>
  <c r="R124" i="1"/>
  <c r="R119" i="1"/>
  <c r="R115" i="1"/>
  <c r="R111" i="1"/>
  <c r="R95" i="1"/>
  <c r="R88" i="1"/>
  <c r="R84" i="1"/>
  <c r="R81" i="1"/>
  <c r="R76" i="1"/>
  <c r="R71" i="1"/>
  <c r="R67" i="1"/>
  <c r="P1345" i="1"/>
  <c r="P781" i="1"/>
  <c r="P567" i="1"/>
  <c r="P748" i="1"/>
  <c r="Q756" i="1"/>
  <c r="P756" i="1"/>
  <c r="T756" i="1"/>
  <c r="P752" i="1"/>
  <c r="Q748" i="1"/>
  <c r="T752" i="1"/>
  <c r="Q752" i="1"/>
  <c r="T748" i="1"/>
  <c r="T1342" i="1"/>
  <c r="T1181" i="1"/>
  <c r="T896" i="1"/>
  <c r="T878" i="1"/>
  <c r="T765" i="1"/>
  <c r="T585" i="1"/>
  <c r="T1299" i="1"/>
  <c r="T863" i="1"/>
  <c r="T776" i="1"/>
  <c r="T1309" i="1"/>
  <c r="T1285" i="1"/>
  <c r="T1264" i="1"/>
  <c r="T1190" i="1"/>
  <c r="T1185" i="1"/>
  <c r="T1173" i="1"/>
  <c r="T993" i="1"/>
  <c r="T970" i="1"/>
  <c r="T900" i="1"/>
  <c r="T882" i="1"/>
  <c r="T789" i="1"/>
  <c r="T770" i="1"/>
  <c r="T736" i="1"/>
  <c r="T713" i="1"/>
  <c r="T708" i="1"/>
  <c r="T612" i="1"/>
  <c r="T590" i="1"/>
  <c r="T569" i="1"/>
  <c r="T542" i="1"/>
  <c r="T508" i="1"/>
  <c r="T433" i="1"/>
  <c r="T222" i="1"/>
  <c r="T34" i="1"/>
  <c r="T1132" i="1"/>
  <c r="T1120" i="1"/>
  <c r="T1109" i="1"/>
  <c r="T1060" i="1"/>
  <c r="T1034" i="1"/>
  <c r="T1021" i="1"/>
  <c r="T1008" i="1"/>
  <c r="T925" i="1"/>
  <c r="T868" i="1"/>
  <c r="T849" i="1"/>
  <c r="T840" i="1"/>
  <c r="T831" i="1"/>
  <c r="T742" i="1"/>
  <c r="T723" i="1"/>
  <c r="T682" i="1"/>
  <c r="T631" i="1"/>
  <c r="T561" i="1"/>
  <c r="T425" i="1"/>
  <c r="T350" i="1"/>
  <c r="T283" i="1"/>
  <c r="T214" i="1"/>
  <c r="T182" i="1"/>
  <c r="T78" i="1"/>
  <c r="T1353" i="1"/>
  <c r="T1330" i="1"/>
  <c r="T1239" i="1"/>
  <c r="T1230" i="1"/>
  <c r="T1221" i="1"/>
  <c r="T1302" i="1"/>
  <c r="T1252" i="1"/>
  <c r="T1206" i="1"/>
  <c r="T1197" i="1"/>
  <c r="T1168" i="1"/>
  <c r="T1138" i="1"/>
  <c r="T1074" i="1"/>
  <c r="T874" i="1"/>
  <c r="T801" i="1"/>
  <c r="T760" i="1"/>
  <c r="T729" i="1"/>
  <c r="T642" i="1"/>
  <c r="T601" i="1"/>
  <c r="T572" i="1"/>
  <c r="T550" i="1"/>
  <c r="T411" i="1"/>
  <c r="T177" i="1"/>
  <c r="T3" i="1"/>
  <c r="T1347" i="1"/>
  <c r="T1291" i="1"/>
  <c r="T1275" i="1"/>
  <c r="T1270" i="1"/>
  <c r="T1246" i="1"/>
  <c r="T1194" i="1"/>
  <c r="T1155" i="1"/>
  <c r="T1106" i="1"/>
  <c r="T1089" i="1"/>
  <c r="T1084" i="1"/>
  <c r="T1049" i="1"/>
  <c r="T856" i="1"/>
  <c r="T817" i="1"/>
  <c r="T797" i="1"/>
  <c r="T698" i="1"/>
  <c r="T693" i="1"/>
  <c r="T679" i="1"/>
  <c r="T253" i="1"/>
  <c r="T232" i="1"/>
  <c r="T201" i="1"/>
  <c r="P776" i="1"/>
  <c r="Q776" i="1"/>
  <c r="S92" i="1"/>
  <c r="S64" i="1"/>
  <c r="S1286" i="1"/>
  <c r="S996" i="1"/>
  <c r="H667" i="1"/>
  <c r="S293" i="1"/>
  <c r="L185" i="1"/>
  <c r="H71" i="1"/>
  <c r="H600" i="1"/>
  <c r="S1287" i="1"/>
  <c r="S1162" i="1"/>
  <c r="S1158" i="1"/>
  <c r="S1137" i="1"/>
  <c r="S1128" i="1"/>
  <c r="S1114" i="1"/>
  <c r="S1110" i="1"/>
  <c r="H361" i="1"/>
  <c r="S625" i="1"/>
  <c r="S621" i="1"/>
  <c r="S219" i="1"/>
  <c r="S1293" i="1"/>
  <c r="S1298" i="1"/>
  <c r="S1290" i="1"/>
  <c r="O1053" i="1"/>
  <c r="S1006" i="1"/>
  <c r="O463" i="1"/>
  <c r="L1294" i="1"/>
  <c r="J1027" i="1"/>
  <c r="L1027" i="1" s="1"/>
  <c r="O506" i="1"/>
  <c r="Q1173" i="1"/>
  <c r="S1056" i="1"/>
  <c r="S1043" i="1"/>
  <c r="S788" i="1"/>
  <c r="J767" i="1"/>
  <c r="L767" i="1" s="1"/>
  <c r="S747" i="1"/>
  <c r="L744" i="1"/>
  <c r="J692" i="1"/>
  <c r="L692" i="1" s="1"/>
  <c r="S691" i="1"/>
  <c r="S616" i="1"/>
  <c r="S582" i="1"/>
  <c r="S578" i="1"/>
  <c r="S576" i="1"/>
  <c r="J491" i="1"/>
  <c r="L491" i="1" s="1"/>
  <c r="S457" i="1"/>
  <c r="S1313" i="1"/>
  <c r="Q1194" i="1"/>
  <c r="S1187" i="1"/>
  <c r="S947" i="1"/>
  <c r="S845" i="1"/>
  <c r="S819" i="1"/>
  <c r="H815" i="1"/>
  <c r="L447" i="1"/>
  <c r="H432" i="1"/>
  <c r="S428" i="1"/>
  <c r="H428" i="1"/>
  <c r="L377" i="1"/>
  <c r="S374" i="1"/>
  <c r="S292" i="1"/>
  <c r="S294" i="1"/>
  <c r="S1329" i="1"/>
  <c r="S1318" i="1"/>
  <c r="S1314" i="1"/>
  <c r="S1288" i="1"/>
  <c r="S1237" i="1"/>
  <c r="S1233" i="1"/>
  <c r="S907" i="1"/>
  <c r="S898" i="1"/>
  <c r="S853" i="1"/>
  <c r="O844" i="1"/>
  <c r="S686" i="1"/>
  <c r="S507" i="1"/>
  <c r="H506" i="1"/>
  <c r="L426" i="1"/>
  <c r="S83" i="1"/>
  <c r="L67" i="1"/>
  <c r="S66" i="1"/>
  <c r="S73" i="1"/>
  <c r="S196" i="1"/>
  <c r="S9" i="1"/>
  <c r="S1334" i="1"/>
  <c r="S1321" i="1"/>
  <c r="S1317" i="1"/>
  <c r="S1297" i="1"/>
  <c r="S1294" i="1"/>
  <c r="S1265" i="1"/>
  <c r="S1245" i="1"/>
  <c r="S1241" i="1"/>
  <c r="S1111" i="1"/>
  <c r="S999" i="1"/>
  <c r="L995" i="1"/>
  <c r="S994" i="1"/>
  <c r="H994" i="1"/>
  <c r="S959" i="1"/>
  <c r="S949" i="1"/>
  <c r="S899" i="1"/>
  <c r="L747" i="1"/>
  <c r="S746" i="1"/>
  <c r="H718" i="1"/>
  <c r="L702" i="1"/>
  <c r="H665" i="1"/>
  <c r="O662" i="1"/>
  <c r="H662" i="1"/>
  <c r="O660" i="1"/>
  <c r="H660" i="1"/>
  <c r="O658" i="1"/>
  <c r="H658" i="1"/>
  <c r="O656" i="1"/>
  <c r="H656" i="1"/>
  <c r="O654" i="1"/>
  <c r="H654" i="1"/>
  <c r="O651" i="1"/>
  <c r="H651" i="1"/>
  <c r="O649" i="1"/>
  <c r="H649" i="1"/>
  <c r="O648" i="1"/>
  <c r="H648" i="1"/>
  <c r="O646" i="1"/>
  <c r="H646" i="1"/>
  <c r="O643" i="1"/>
  <c r="H643" i="1"/>
  <c r="L629" i="1"/>
  <c r="L457" i="1"/>
  <c r="L453" i="1"/>
  <c r="S448" i="1"/>
  <c r="H448" i="1"/>
  <c r="S426" i="1"/>
  <c r="S1352" i="1"/>
  <c r="Q1285" i="1"/>
  <c r="S1189" i="1"/>
  <c r="S1170" i="1"/>
  <c r="S1160" i="1"/>
  <c r="S1135" i="1"/>
  <c r="S1119" i="1"/>
  <c r="O1105" i="1"/>
  <c r="L1041" i="1"/>
  <c r="S1000" i="1"/>
  <c r="O963" i="1"/>
  <c r="S924" i="1"/>
  <c r="S846" i="1"/>
  <c r="L717" i="1"/>
  <c r="S678" i="1"/>
  <c r="S669" i="1"/>
  <c r="J669" i="1"/>
  <c r="L669" i="1" s="1"/>
  <c r="S626" i="1"/>
  <c r="O495" i="1"/>
  <c r="S431" i="1"/>
  <c r="S413" i="1"/>
  <c r="S384" i="1"/>
  <c r="S378" i="1"/>
  <c r="S238" i="1"/>
  <c r="S229" i="1"/>
  <c r="S213" i="1"/>
  <c r="S208" i="1"/>
  <c r="S203" i="1"/>
  <c r="S127" i="1"/>
  <c r="H127" i="1"/>
  <c r="H40" i="1"/>
  <c r="S36" i="1"/>
  <c r="S17" i="1"/>
  <c r="S12" i="1"/>
  <c r="S7" i="1"/>
  <c r="S1350" i="1"/>
  <c r="S1337" i="1"/>
  <c r="S1333" i="1"/>
  <c r="S1331" i="1"/>
  <c r="S1320" i="1"/>
  <c r="L1320" i="1"/>
  <c r="S1316" i="1"/>
  <c r="L1316" i="1"/>
  <c r="S1301" i="1"/>
  <c r="S1269" i="1"/>
  <c r="O1247" i="1"/>
  <c r="O1246" i="1" s="1"/>
  <c r="S1243" i="1"/>
  <c r="H1243" i="1"/>
  <c r="S1235" i="1"/>
  <c r="S1209" i="1"/>
  <c r="S1205" i="1"/>
  <c r="H1099" i="1"/>
  <c r="S1002" i="1"/>
  <c r="S780" i="1"/>
  <c r="S731" i="1"/>
  <c r="L718" i="1"/>
  <c r="S665" i="1"/>
  <c r="J665" i="1"/>
  <c r="L665" i="1" s="1"/>
  <c r="S632" i="1"/>
  <c r="L1334" i="1"/>
  <c r="L1337" i="1"/>
  <c r="L1321" i="1"/>
  <c r="L1317" i="1"/>
  <c r="J1187" i="1"/>
  <c r="L1187" i="1" s="1"/>
  <c r="H1162" i="1"/>
  <c r="J1134" i="1"/>
  <c r="L1134" i="1" s="1"/>
  <c r="J1133" i="1"/>
  <c r="L1133" i="1" s="1"/>
  <c r="J1010" i="1"/>
  <c r="L1010" i="1" s="1"/>
  <c r="H963" i="1"/>
  <c r="O846" i="1"/>
  <c r="J503" i="1"/>
  <c r="L503" i="1" s="1"/>
  <c r="H492" i="1"/>
  <c r="H495" i="1"/>
  <c r="J493" i="1"/>
  <c r="L493" i="1" s="1"/>
  <c r="L378" i="1"/>
  <c r="H67" i="1"/>
  <c r="H1352" i="1"/>
  <c r="L1318" i="1"/>
  <c r="H1245" i="1"/>
  <c r="H1241" i="1"/>
  <c r="H1207" i="1"/>
  <c r="H1189" i="1"/>
  <c r="H1187" i="1"/>
  <c r="H1182" i="1"/>
  <c r="H1160" i="1"/>
  <c r="H1156" i="1"/>
  <c r="J626" i="1"/>
  <c r="L626" i="1" s="1"/>
  <c r="H200" i="1"/>
  <c r="H188" i="1"/>
  <c r="H128" i="1"/>
  <c r="L94" i="1"/>
  <c r="H846" i="1"/>
  <c r="H845" i="1"/>
  <c r="H284" i="1"/>
  <c r="O211" i="1"/>
  <c r="O200" i="1"/>
  <c r="H193" i="1"/>
  <c r="J6" i="1"/>
  <c r="L6" i="1" s="1"/>
  <c r="S1261" i="1"/>
  <c r="O1255" i="1"/>
  <c r="J1251" i="1"/>
  <c r="L1251" i="1" s="1"/>
  <c r="Q1246" i="1"/>
  <c r="S1244" i="1"/>
  <c r="S1113" i="1"/>
  <c r="S1101" i="1"/>
  <c r="H1101" i="1"/>
  <c r="O1099" i="1"/>
  <c r="S1095" i="1"/>
  <c r="S1091" i="1"/>
  <c r="H1053" i="1"/>
  <c r="L1043" i="1"/>
  <c r="L1039" i="1"/>
  <c r="J1033" i="1"/>
  <c r="L1033" i="1" s="1"/>
  <c r="S1031" i="1"/>
  <c r="S1020" i="1"/>
  <c r="S1004" i="1"/>
  <c r="S997" i="1"/>
  <c r="S952" i="1"/>
  <c r="S938" i="1"/>
  <c r="J918" i="1"/>
  <c r="L918" i="1" s="1"/>
  <c r="J917" i="1"/>
  <c r="L917" i="1" s="1"/>
  <c r="S903" i="1"/>
  <c r="J888" i="1"/>
  <c r="L888" i="1" s="1"/>
  <c r="S881" i="1"/>
  <c r="L877" i="1"/>
  <c r="S861" i="1"/>
  <c r="S852" i="1"/>
  <c r="H852" i="1"/>
  <c r="L823" i="1"/>
  <c r="S822" i="1"/>
  <c r="S818" i="1"/>
  <c r="H814" i="1"/>
  <c r="J788" i="1"/>
  <c r="L788" i="1" s="1"/>
  <c r="O691" i="1"/>
  <c r="S689" i="1"/>
  <c r="S688" i="1"/>
  <c r="S676" i="1"/>
  <c r="O674" i="1"/>
  <c r="H669" i="1"/>
  <c r="S666" i="1"/>
  <c r="L638" i="1"/>
  <c r="S637" i="1"/>
  <c r="L610" i="1"/>
  <c r="S608" i="1"/>
  <c r="S604" i="1"/>
  <c r="J592" i="1"/>
  <c r="L592" i="1" s="1"/>
  <c r="L591" i="1"/>
  <c r="S583" i="1"/>
  <c r="S579" i="1"/>
  <c r="S574" i="1"/>
  <c r="S451" i="1"/>
  <c r="S439" i="1"/>
  <c r="S436" i="1"/>
  <c r="S432" i="1"/>
  <c r="S429" i="1"/>
  <c r="L364" i="1"/>
  <c r="S363" i="1"/>
  <c r="S358" i="1"/>
  <c r="S267" i="1"/>
  <c r="S130" i="1"/>
  <c r="S125" i="1"/>
  <c r="S120" i="1"/>
  <c r="S116" i="1"/>
  <c r="L109" i="1"/>
  <c r="L48" i="1"/>
  <c r="S1266" i="1"/>
  <c r="J1260" i="1"/>
  <c r="L1260" i="1" s="1"/>
  <c r="S1259" i="1"/>
  <c r="S1171" i="1"/>
  <c r="L1162" i="1"/>
  <c r="S1161" i="1"/>
  <c r="H1161" i="1"/>
  <c r="L1158" i="1"/>
  <c r="S1157" i="1"/>
  <c r="H1157" i="1"/>
  <c r="S1129" i="1"/>
  <c r="S1122" i="1"/>
  <c r="S1115" i="1"/>
  <c r="L1112" i="1"/>
  <c r="L1111" i="1"/>
  <c r="L1110" i="1"/>
  <c r="S1103" i="1"/>
  <c r="L1085" i="1"/>
  <c r="H1083" i="1"/>
  <c r="S1062" i="1"/>
  <c r="S1057" i="1"/>
  <c r="S1029" i="1"/>
  <c r="J1025" i="1"/>
  <c r="L1025" i="1" s="1"/>
  <c r="S1023" i="1"/>
  <c r="S995" i="1"/>
  <c r="S965" i="1"/>
  <c r="H918" i="1"/>
  <c r="S913" i="1"/>
  <c r="S854" i="1"/>
  <c r="S850" i="1"/>
  <c r="S841" i="1"/>
  <c r="H788" i="1"/>
  <c r="S778" i="1"/>
  <c r="S767" i="1"/>
  <c r="P736" i="1"/>
  <c r="S728" i="1"/>
  <c r="H715" i="1"/>
  <c r="S710" i="1"/>
  <c r="H710" i="1"/>
  <c r="S553" i="1"/>
  <c r="H472" i="1"/>
  <c r="S467" i="1"/>
  <c r="J464" i="1"/>
  <c r="L464" i="1" s="1"/>
  <c r="S463" i="1"/>
  <c r="S462" i="1"/>
  <c r="S445" i="1"/>
  <c r="O443" i="1"/>
  <c r="S368" i="1"/>
  <c r="S364" i="1"/>
  <c r="S360" i="1"/>
  <c r="S351" i="1"/>
  <c r="H296" i="1"/>
  <c r="S286" i="1"/>
  <c r="H286" i="1"/>
  <c r="S269" i="1"/>
  <c r="S265" i="1"/>
  <c r="L238" i="1"/>
  <c r="H236" i="1"/>
  <c r="S220" i="1"/>
  <c r="S217" i="1"/>
  <c r="H217" i="1"/>
  <c r="S128" i="1"/>
  <c r="S123" i="1"/>
  <c r="S118" i="1"/>
  <c r="S50" i="1"/>
  <c r="S46" i="1"/>
  <c r="S45" i="1"/>
  <c r="H45" i="1"/>
  <c r="O1293" i="1"/>
  <c r="O1292" i="1"/>
  <c r="O1097" i="1"/>
  <c r="O1006" i="1"/>
  <c r="O945" i="1"/>
  <c r="S910" i="1"/>
  <c r="S885" i="1"/>
  <c r="H860" i="1"/>
  <c r="S855" i="1"/>
  <c r="S851" i="1"/>
  <c r="S796" i="1"/>
  <c r="H796" i="1"/>
  <c r="S792" i="1"/>
  <c r="H792" i="1"/>
  <c r="S779" i="1"/>
  <c r="O689" i="1"/>
  <c r="O688" i="1"/>
  <c r="O591" i="1"/>
  <c r="O431" i="1"/>
  <c r="S262" i="1"/>
  <c r="O236" i="1"/>
  <c r="O751" i="1"/>
  <c r="L1237" i="1"/>
  <c r="L1233" i="1"/>
  <c r="L1235" i="1"/>
  <c r="L1231" i="1"/>
  <c r="O1357" i="1"/>
  <c r="O1353" i="1" s="1"/>
  <c r="H1357" i="1"/>
  <c r="S1351" i="1"/>
  <c r="H1348" i="1"/>
  <c r="H1346" i="1"/>
  <c r="S1323" i="1"/>
  <c r="S1295" i="1"/>
  <c r="H1281" i="1"/>
  <c r="L1266" i="1"/>
  <c r="J1257" i="1"/>
  <c r="L1257" i="1" s="1"/>
  <c r="S1255" i="1"/>
  <c r="S1242" i="1"/>
  <c r="O1208" i="1"/>
  <c r="H1208" i="1"/>
  <c r="S1204" i="1"/>
  <c r="H1199" i="1"/>
  <c r="J1189" i="1"/>
  <c r="L1189" i="1" s="1"/>
  <c r="O1189" i="1"/>
  <c r="S1188" i="1"/>
  <c r="H1186" i="1"/>
  <c r="S1357" i="1"/>
  <c r="S1355" i="1"/>
  <c r="S1349" i="1"/>
  <c r="L1346" i="1"/>
  <c r="S1326" i="1"/>
  <c r="L1298" i="1"/>
  <c r="H1269" i="1"/>
  <c r="S1258" i="1"/>
  <c r="S1240" i="1"/>
  <c r="S1208" i="1"/>
  <c r="S1192" i="1"/>
  <c r="H1191" i="1"/>
  <c r="O1191" i="1"/>
  <c r="J1186" i="1"/>
  <c r="L1186" i="1" s="1"/>
  <c r="O1186" i="1"/>
  <c r="S685" i="1"/>
  <c r="H685" i="1"/>
  <c r="S488" i="1"/>
  <c r="S473" i="1"/>
  <c r="S449" i="1"/>
  <c r="H449" i="1"/>
  <c r="S444" i="1"/>
  <c r="S1183" i="1"/>
  <c r="Q1181" i="1"/>
  <c r="H1169" i="1"/>
  <c r="L1156" i="1"/>
  <c r="H1127" i="1"/>
  <c r="O1122" i="1"/>
  <c r="H1122" i="1"/>
  <c r="L1119" i="1"/>
  <c r="L1115" i="1"/>
  <c r="L1114" i="1"/>
  <c r="S1112" i="1"/>
  <c r="S1105" i="1"/>
  <c r="H1103" i="1"/>
  <c r="O1101" i="1"/>
  <c r="S1097" i="1"/>
  <c r="O1085" i="1"/>
  <c r="O1083" i="1"/>
  <c r="S1071" i="1"/>
  <c r="S1067" i="1"/>
  <c r="H1062" i="1"/>
  <c r="S1038" i="1"/>
  <c r="S1033" i="1"/>
  <c r="S1025" i="1"/>
  <c r="O1014" i="1"/>
  <c r="H1014" i="1"/>
  <c r="S1007" i="1"/>
  <c r="S960" i="1"/>
  <c r="S939" i="1"/>
  <c r="S935" i="1"/>
  <c r="S931" i="1"/>
  <c r="H930" i="1"/>
  <c r="H892" i="1"/>
  <c r="S888" i="1"/>
  <c r="L879" i="1"/>
  <c r="S842" i="1"/>
  <c r="S837" i="1"/>
  <c r="H837" i="1"/>
  <c r="S833" i="1"/>
  <c r="H833" i="1"/>
  <c r="O823" i="1"/>
  <c r="S820" i="1"/>
  <c r="S800" i="1"/>
  <c r="O798" i="1"/>
  <c r="H798" i="1"/>
  <c r="S769" i="1"/>
  <c r="H766" i="1"/>
  <c r="H735" i="1"/>
  <c r="H716" i="1"/>
  <c r="O683" i="1"/>
  <c r="S673" i="1"/>
  <c r="S667" i="1"/>
  <c r="S654" i="1"/>
  <c r="S651" i="1"/>
  <c r="S649" i="1"/>
  <c r="S648" i="1"/>
  <c r="S646" i="1"/>
  <c r="S643" i="1"/>
  <c r="H633" i="1"/>
  <c r="O602" i="1"/>
  <c r="O600" i="1"/>
  <c r="P585" i="1"/>
  <c r="S554" i="1"/>
  <c r="S481" i="1"/>
  <c r="S1152" i="1"/>
  <c r="S1148" i="1"/>
  <c r="S1141" i="1"/>
  <c r="H1105" i="1"/>
  <c r="O1103" i="1"/>
  <c r="S1099" i="1"/>
  <c r="H1097" i="1"/>
  <c r="S1093" i="1"/>
  <c r="H1093" i="1"/>
  <c r="S1081" i="1"/>
  <c r="S1064" i="1"/>
  <c r="O1062" i="1"/>
  <c r="L1045" i="1"/>
  <c r="H1043" i="1"/>
  <c r="H1039" i="1"/>
  <c r="S1036" i="1"/>
  <c r="J1029" i="1"/>
  <c r="L1029" i="1" s="1"/>
  <c r="S1027" i="1"/>
  <c r="J1020" i="1"/>
  <c r="L1020" i="1" s="1"/>
  <c r="J1019" i="1"/>
  <c r="L1019" i="1" s="1"/>
  <c r="S1017" i="1"/>
  <c r="O1013" i="1"/>
  <c r="S1010" i="1"/>
  <c r="S1003" i="1"/>
  <c r="S969" i="1"/>
  <c r="S946" i="1"/>
  <c r="H945" i="1"/>
  <c r="O930" i="1"/>
  <c r="S902" i="1"/>
  <c r="H897" i="1"/>
  <c r="S894" i="1"/>
  <c r="H894" i="1"/>
  <c r="O892" i="1"/>
  <c r="S879" i="1"/>
  <c r="S859" i="1"/>
  <c r="S847" i="1"/>
  <c r="S843" i="1"/>
  <c r="L822" i="1"/>
  <c r="S821" i="1"/>
  <c r="H816" i="1"/>
  <c r="J778" i="1"/>
  <c r="L778" i="1" s="1"/>
  <c r="S775" i="1"/>
  <c r="H775" i="1"/>
  <c r="H771" i="1"/>
  <c r="H767" i="1"/>
  <c r="L746" i="1"/>
  <c r="S745" i="1"/>
  <c r="H744" i="1"/>
  <c r="O730" i="1"/>
  <c r="S726" i="1"/>
  <c r="H717" i="1"/>
  <c r="L715" i="1"/>
  <c r="S712" i="1"/>
  <c r="H712" i="1"/>
  <c r="S703" i="1"/>
  <c r="H703" i="1"/>
  <c r="S699" i="1"/>
  <c r="H691" i="1"/>
  <c r="H688" i="1"/>
  <c r="J684" i="1"/>
  <c r="L684" i="1" s="1"/>
  <c r="S683" i="1"/>
  <c r="Q679" i="1"/>
  <c r="L676" i="1"/>
  <c r="S675" i="1"/>
  <c r="O633" i="1"/>
  <c r="S606" i="1"/>
  <c r="J603" i="1"/>
  <c r="L603" i="1" s="1"/>
  <c r="L602" i="1"/>
  <c r="O587" i="1"/>
  <c r="O559" i="1"/>
  <c r="O558" i="1"/>
  <c r="O557" i="1"/>
  <c r="S555" i="1"/>
  <c r="H551" i="1"/>
  <c r="P542" i="1"/>
  <c r="J477" i="1"/>
  <c r="L477" i="1" s="1"/>
  <c r="S466" i="1"/>
  <c r="L461" i="1"/>
  <c r="O456" i="1"/>
  <c r="J456" i="1"/>
  <c r="L456" i="1" s="1"/>
  <c r="S437" i="1"/>
  <c r="J428" i="1"/>
  <c r="L428" i="1" s="1"/>
  <c r="O428" i="1"/>
  <c r="H427" i="1"/>
  <c r="P1155" i="1"/>
  <c r="L1042" i="1"/>
  <c r="S1041" i="1"/>
  <c r="J1031" i="1"/>
  <c r="L1031" i="1" s="1"/>
  <c r="J1023" i="1"/>
  <c r="L1023" i="1" s="1"/>
  <c r="S990" i="1"/>
  <c r="S984" i="1"/>
  <c r="S980" i="1"/>
  <c r="S976" i="1"/>
  <c r="S972" i="1"/>
  <c r="J949" i="1"/>
  <c r="L949" i="1" s="1"/>
  <c r="J910" i="1"/>
  <c r="L910" i="1" s="1"/>
  <c r="J909" i="1"/>
  <c r="L909" i="1" s="1"/>
  <c r="P896" i="1"/>
  <c r="P878" i="1"/>
  <c r="P863" i="1"/>
  <c r="S848" i="1"/>
  <c r="P801" i="1"/>
  <c r="P760" i="1"/>
  <c r="J735" i="1"/>
  <c r="L735" i="1" s="1"/>
  <c r="Q729" i="1"/>
  <c r="S633" i="1"/>
  <c r="S629" i="1"/>
  <c r="J596" i="1"/>
  <c r="L596" i="1" s="1"/>
  <c r="S587" i="1"/>
  <c r="L587" i="1"/>
  <c r="J571" i="1"/>
  <c r="L571" i="1" s="1"/>
  <c r="J560" i="1"/>
  <c r="L560" i="1" s="1"/>
  <c r="S371" i="1"/>
  <c r="S370" i="1"/>
  <c r="S362" i="1"/>
  <c r="L362" i="1"/>
  <c r="S312" i="1"/>
  <c r="S309" i="1"/>
  <c r="S304" i="1"/>
  <c r="S300" i="1"/>
  <c r="H293" i="1"/>
  <c r="J251" i="1"/>
  <c r="L251" i="1" s="1"/>
  <c r="O247" i="1"/>
  <c r="S242" i="1"/>
  <c r="O240" i="1"/>
  <c r="H240" i="1"/>
  <c r="S233" i="1"/>
  <c r="J191" i="1"/>
  <c r="L191" i="1" s="1"/>
  <c r="S189" i="1"/>
  <c r="O185" i="1"/>
  <c r="H185" i="1"/>
  <c r="J174" i="1"/>
  <c r="L174" i="1" s="1"/>
  <c r="S173" i="1"/>
  <c r="L155" i="1"/>
  <c r="L151" i="1"/>
  <c r="L147" i="1"/>
  <c r="L143" i="1"/>
  <c r="L139" i="1"/>
  <c r="S129" i="1"/>
  <c r="S126" i="1"/>
  <c r="S117" i="1"/>
  <c r="L97" i="1"/>
  <c r="S94" i="1"/>
  <c r="S93" i="1"/>
  <c r="S90" i="1"/>
  <c r="S72" i="1"/>
  <c r="J72" i="1"/>
  <c r="L72" i="1" s="1"/>
  <c r="O68" i="1"/>
  <c r="H68" i="1"/>
  <c r="S65" i="1"/>
  <c r="L56" i="1"/>
  <c r="S455" i="1"/>
  <c r="S450" i="1"/>
  <c r="L448" i="1"/>
  <c r="S446" i="1"/>
  <c r="L444" i="1"/>
  <c r="S443" i="1"/>
  <c r="H441" i="1"/>
  <c r="H431" i="1"/>
  <c r="S380" i="1"/>
  <c r="S372" i="1"/>
  <c r="S369" i="1"/>
  <c r="L368" i="1"/>
  <c r="H367" i="1"/>
  <c r="O359" i="1"/>
  <c r="O352" i="1"/>
  <c r="S310" i="1"/>
  <c r="S307" i="1"/>
  <c r="S302" i="1"/>
  <c r="S298" i="1"/>
  <c r="H297" i="1"/>
  <c r="O262" i="1"/>
  <c r="O260" i="1"/>
  <c r="O259" i="1"/>
  <c r="O258" i="1"/>
  <c r="S245" i="1"/>
  <c r="S240" i="1"/>
  <c r="S237" i="1"/>
  <c r="S235" i="1"/>
  <c r="S218" i="1"/>
  <c r="S206" i="1"/>
  <c r="S200" i="1"/>
  <c r="S198" i="1"/>
  <c r="S194" i="1"/>
  <c r="H191" i="1"/>
  <c r="S185" i="1"/>
  <c r="S183" i="1"/>
  <c r="L751" i="1"/>
  <c r="L153" i="1"/>
  <c r="L149" i="1"/>
  <c r="L145" i="1"/>
  <c r="L141" i="1"/>
  <c r="S132" i="1"/>
  <c r="L132" i="1"/>
  <c r="O127" i="1"/>
  <c r="O122" i="1"/>
  <c r="S124" i="1"/>
  <c r="S119" i="1"/>
  <c r="S115" i="1"/>
  <c r="S111" i="1"/>
  <c r="H111" i="1"/>
  <c r="S88" i="1"/>
  <c r="S84" i="1"/>
  <c r="S81" i="1"/>
  <c r="H72" i="1"/>
  <c r="S63" i="1"/>
  <c r="O57" i="1"/>
  <c r="O56" i="1"/>
  <c r="S54" i="1"/>
  <c r="J42" i="1"/>
  <c r="L42" i="1" s="1"/>
  <c r="S41" i="1"/>
  <c r="S37" i="1"/>
  <c r="O1241" i="1"/>
  <c r="Q1230" i="1"/>
  <c r="Q1138" i="1"/>
  <c r="L1056" i="1"/>
  <c r="S1055" i="1"/>
  <c r="S1358" i="1"/>
  <c r="J1358" i="1"/>
  <c r="L1358" i="1" s="1"/>
  <c r="J1350" i="1"/>
  <c r="L1350" i="1" s="1"/>
  <c r="Q1347" i="1"/>
  <c r="H1337" i="1"/>
  <c r="H1333" i="1"/>
  <c r="S1335" i="1"/>
  <c r="H1322" i="1"/>
  <c r="H1318" i="1"/>
  <c r="J1300" i="1"/>
  <c r="L1300" i="1" s="1"/>
  <c r="L1296" i="1"/>
  <c r="S1274" i="1"/>
  <c r="P1270" i="1"/>
  <c r="O1245" i="1"/>
  <c r="P1239" i="1"/>
  <c r="Q1239" i="1"/>
  <c r="S1229" i="1"/>
  <c r="J1209" i="1"/>
  <c r="L1209" i="1" s="1"/>
  <c r="O1207" i="1"/>
  <c r="O1205" i="1"/>
  <c r="O1204" i="1"/>
  <c r="O1203" i="1"/>
  <c r="O1202" i="1"/>
  <c r="O1201" i="1"/>
  <c r="O1200" i="1"/>
  <c r="O1199" i="1"/>
  <c r="O1188" i="1"/>
  <c r="H1188" i="1"/>
  <c r="Q1185" i="1"/>
  <c r="S1184" i="1"/>
  <c r="P1181" i="1"/>
  <c r="O1170" i="1"/>
  <c r="H1170" i="1"/>
  <c r="P1168" i="1"/>
  <c r="O1162" i="1"/>
  <c r="L1160" i="1"/>
  <c r="S1159" i="1"/>
  <c r="H1159" i="1"/>
  <c r="H1158" i="1"/>
  <c r="S1153" i="1"/>
  <c r="S1149" i="1"/>
  <c r="S1142" i="1"/>
  <c r="S1131" i="1"/>
  <c r="O1129" i="1"/>
  <c r="L1128" i="1"/>
  <c r="S1123" i="1"/>
  <c r="H1113" i="1"/>
  <c r="S1086" i="1"/>
  <c r="O1333" i="1"/>
  <c r="O1322" i="1"/>
  <c r="P1264" i="1"/>
  <c r="Q1264" i="1"/>
  <c r="O1259" i="1"/>
  <c r="S1203" i="1"/>
  <c r="S1202" i="1"/>
  <c r="S1201" i="1"/>
  <c r="S1200" i="1"/>
  <c r="S1199" i="1"/>
  <c r="P1185" i="1"/>
  <c r="O1158" i="1"/>
  <c r="S1154" i="1"/>
  <c r="S1150" i="1"/>
  <c r="S1143" i="1"/>
  <c r="O1119" i="1"/>
  <c r="O1112" i="1"/>
  <c r="Q1109" i="1"/>
  <c r="L1093" i="1"/>
  <c r="P1089" i="1"/>
  <c r="O1073" i="1"/>
  <c r="H1358" i="1"/>
  <c r="H1350" i="1"/>
  <c r="J1344" i="1"/>
  <c r="L1344" i="1" s="1"/>
  <c r="L1333" i="1"/>
  <c r="S1332" i="1"/>
  <c r="P1330" i="1"/>
  <c r="L1322" i="1"/>
  <c r="L1313" i="1"/>
  <c r="S1312" i="1"/>
  <c r="Q1309" i="1"/>
  <c r="H1300" i="1"/>
  <c r="S1296" i="1"/>
  <c r="P1291" i="1"/>
  <c r="H1292" i="1"/>
  <c r="J1273" i="1"/>
  <c r="L1273" i="1" s="1"/>
  <c r="P1246" i="1"/>
  <c r="Q1221" i="1"/>
  <c r="P1206" i="1"/>
  <c r="H1209" i="1"/>
  <c r="Q1206" i="1"/>
  <c r="L1207" i="1"/>
  <c r="Q1197" i="1"/>
  <c r="Q1155" i="1"/>
  <c r="S1151" i="1"/>
  <c r="S1144" i="1"/>
  <c r="S1140" i="1"/>
  <c r="S1139" i="1"/>
  <c r="S1108" i="1"/>
  <c r="Q1106" i="1"/>
  <c r="J1075" i="1"/>
  <c r="L1075" i="1" s="1"/>
  <c r="L1073" i="1"/>
  <c r="L1069" i="1"/>
  <c r="Q970" i="1"/>
  <c r="Q874" i="1"/>
  <c r="P831" i="1"/>
  <c r="H813" i="1"/>
  <c r="H811" i="1"/>
  <c r="H810" i="1"/>
  <c r="H809" i="1"/>
  <c r="H803" i="1"/>
  <c r="H802" i="1"/>
  <c r="Q797" i="1"/>
  <c r="S793" i="1"/>
  <c r="H793" i="1"/>
  <c r="O780" i="1"/>
  <c r="O776" i="1" s="1"/>
  <c r="H780" i="1"/>
  <c r="S772" i="1"/>
  <c r="H772" i="1"/>
  <c r="P770" i="1"/>
  <c r="Q765" i="1"/>
  <c r="O747" i="1"/>
  <c r="H747" i="1"/>
  <c r="S744" i="1"/>
  <c r="Q742" i="1"/>
  <c r="H741" i="1"/>
  <c r="H740" i="1"/>
  <c r="H739" i="1"/>
  <c r="H738" i="1"/>
  <c r="H737" i="1"/>
  <c r="S735" i="1"/>
  <c r="S734" i="1"/>
  <c r="H734" i="1"/>
  <c r="S730" i="1"/>
  <c r="S727" i="1"/>
  <c r="S718" i="1"/>
  <c r="S717" i="1"/>
  <c r="S716" i="1"/>
  <c r="S715" i="1"/>
  <c r="Q713" i="1"/>
  <c r="H709" i="1"/>
  <c r="S702" i="1"/>
  <c r="H701" i="1"/>
  <c r="S695" i="1"/>
  <c r="P693" i="1"/>
  <c r="O686" i="1"/>
  <c r="H686" i="1"/>
  <c r="H678" i="1"/>
  <c r="P1049" i="1"/>
  <c r="Q1034" i="1"/>
  <c r="H1035" i="1"/>
  <c r="S1014" i="1"/>
  <c r="S1011" i="1"/>
  <c r="S1005" i="1"/>
  <c r="H1004" i="1"/>
  <c r="S1001" i="1"/>
  <c r="H995" i="1"/>
  <c r="O969" i="1"/>
  <c r="H969" i="1"/>
  <c r="S963" i="1"/>
  <c r="O959" i="1"/>
  <c r="H959" i="1"/>
  <c r="H958" i="1"/>
  <c r="S950" i="1"/>
  <c r="O943" i="1"/>
  <c r="O938" i="1"/>
  <c r="H938" i="1"/>
  <c r="S933" i="1"/>
  <c r="S918" i="1"/>
  <c r="S915" i="1"/>
  <c r="S911" i="1"/>
  <c r="O902" i="1"/>
  <c r="H902" i="1"/>
  <c r="H899" i="1"/>
  <c r="S895" i="1"/>
  <c r="S889" i="1"/>
  <c r="H887" i="1"/>
  <c r="S883" i="1"/>
  <c r="S871" i="1"/>
  <c r="S866" i="1"/>
  <c r="O860" i="1"/>
  <c r="H857" i="1"/>
  <c r="H853" i="1"/>
  <c r="Q849" i="1"/>
  <c r="O822" i="1"/>
  <c r="O816" i="1"/>
  <c r="O815" i="1"/>
  <c r="O814" i="1"/>
  <c r="O813" i="1"/>
  <c r="O811" i="1"/>
  <c r="O810" i="1"/>
  <c r="O809" i="1"/>
  <c r="O803" i="1"/>
  <c r="O802" i="1"/>
  <c r="L799" i="1"/>
  <c r="S798" i="1"/>
  <c r="L798" i="1"/>
  <c r="S794" i="1"/>
  <c r="H794" i="1"/>
  <c r="H790" i="1"/>
  <c r="L780" i="1"/>
  <c r="H778" i="1"/>
  <c r="S773" i="1"/>
  <c r="H773" i="1"/>
  <c r="P765" i="1"/>
  <c r="P742" i="1"/>
  <c r="O741" i="1"/>
  <c r="O740" i="1"/>
  <c r="O739" i="1"/>
  <c r="O738" i="1"/>
  <c r="O737" i="1"/>
  <c r="P713" i="1"/>
  <c r="P708" i="1"/>
  <c r="O701" i="1"/>
  <c r="J661" i="1"/>
  <c r="L661" i="1" s="1"/>
  <c r="O661" i="1"/>
  <c r="J657" i="1"/>
  <c r="L657" i="1" s="1"/>
  <c r="O657" i="1"/>
  <c r="J652" i="1"/>
  <c r="L652" i="1" s="1"/>
  <c r="O652" i="1"/>
  <c r="S1077" i="1"/>
  <c r="H1075" i="1"/>
  <c r="H1073" i="1"/>
  <c r="S1069" i="1"/>
  <c r="H1069" i="1"/>
  <c r="S1065" i="1"/>
  <c r="L1053" i="1"/>
  <c r="S1048" i="1"/>
  <c r="S1042" i="1"/>
  <c r="S1039" i="1"/>
  <c r="H1033" i="1"/>
  <c r="H1031" i="1"/>
  <c r="H1029" i="1"/>
  <c r="H1027" i="1"/>
  <c r="H1025" i="1"/>
  <c r="H1023" i="1"/>
  <c r="H1020" i="1"/>
  <c r="S1015" i="1"/>
  <c r="H1010" i="1"/>
  <c r="H1006" i="1"/>
  <c r="O1004" i="1"/>
  <c r="H1002" i="1"/>
  <c r="O997" i="1"/>
  <c r="P993" i="1"/>
  <c r="L994" i="1"/>
  <c r="S992" i="1"/>
  <c r="S986" i="1"/>
  <c r="S982" i="1"/>
  <c r="S978" i="1"/>
  <c r="S974" i="1"/>
  <c r="S964" i="1"/>
  <c r="O958" i="1"/>
  <c r="H949" i="1"/>
  <c r="S945" i="1"/>
  <c r="S941" i="1"/>
  <c r="S930" i="1"/>
  <c r="J929" i="1"/>
  <c r="L929" i="1" s="1"/>
  <c r="S927" i="1"/>
  <c r="S919" i="1"/>
  <c r="H910" i="1"/>
  <c r="S905" i="1"/>
  <c r="O899" i="1"/>
  <c r="S892" i="1"/>
  <c r="S890" i="1"/>
  <c r="H888" i="1"/>
  <c r="S880" i="1"/>
  <c r="L861" i="1"/>
  <c r="S860" i="1"/>
  <c r="P856" i="1"/>
  <c r="L845" i="1"/>
  <c r="S844" i="1"/>
  <c r="L843" i="1"/>
  <c r="S839" i="1"/>
  <c r="H839" i="1"/>
  <c r="S835" i="1"/>
  <c r="H835" i="1"/>
  <c r="S823" i="1"/>
  <c r="S799" i="1"/>
  <c r="H799" i="1"/>
  <c r="S795" i="1"/>
  <c r="H795" i="1"/>
  <c r="S791" i="1"/>
  <c r="H791" i="1"/>
  <c r="S774" i="1"/>
  <c r="H774" i="1"/>
  <c r="Q760" i="1"/>
  <c r="L743" i="1"/>
  <c r="J733" i="1"/>
  <c r="L733" i="1" s="1"/>
  <c r="S732" i="1"/>
  <c r="H730" i="1"/>
  <c r="S725" i="1"/>
  <c r="P723" i="1"/>
  <c r="O718" i="1"/>
  <c r="O717" i="1"/>
  <c r="O716" i="1"/>
  <c r="O715" i="1"/>
  <c r="L714" i="1"/>
  <c r="S711" i="1"/>
  <c r="H711" i="1"/>
  <c r="S701" i="1"/>
  <c r="S692" i="1"/>
  <c r="S690" i="1"/>
  <c r="S687" i="1"/>
  <c r="Q682" i="1"/>
  <c r="H675" i="1"/>
  <c r="J673" i="1"/>
  <c r="L673" i="1" s="1"/>
  <c r="S672" i="1"/>
  <c r="S671" i="1"/>
  <c r="S670" i="1"/>
  <c r="H670" i="1"/>
  <c r="S668" i="1"/>
  <c r="L1055" i="1"/>
  <c r="S1054" i="1"/>
  <c r="S1045" i="1"/>
  <c r="L1004" i="1"/>
  <c r="J956" i="1"/>
  <c r="L956" i="1" s="1"/>
  <c r="J955" i="1"/>
  <c r="L955" i="1" s="1"/>
  <c r="J937" i="1"/>
  <c r="L937" i="1" s="1"/>
  <c r="J901" i="1"/>
  <c r="L901" i="1" s="1"/>
  <c r="Q896" i="1"/>
  <c r="L887" i="1"/>
  <c r="S877" i="1"/>
  <c r="S876" i="1"/>
  <c r="S875" i="1"/>
  <c r="J865" i="1"/>
  <c r="L865" i="1" s="1"/>
  <c r="J864" i="1"/>
  <c r="L864" i="1" s="1"/>
  <c r="Q840" i="1"/>
  <c r="Q698" i="1"/>
  <c r="J678" i="1"/>
  <c r="L678" i="1" s="1"/>
  <c r="O678" i="1"/>
  <c r="S664" i="1"/>
  <c r="J664" i="1"/>
  <c r="L664" i="1" s="1"/>
  <c r="H661" i="1"/>
  <c r="S659" i="1"/>
  <c r="J659" i="1"/>
  <c r="L659" i="1" s="1"/>
  <c r="H657" i="1"/>
  <c r="S655" i="1"/>
  <c r="J655" i="1"/>
  <c r="L655" i="1" s="1"/>
  <c r="H652" i="1"/>
  <c r="S650" i="1"/>
  <c r="J650" i="1"/>
  <c r="L650" i="1" s="1"/>
  <c r="S647" i="1"/>
  <c r="J647" i="1"/>
  <c r="L647" i="1" s="1"/>
  <c r="O645" i="1"/>
  <c r="H645" i="1"/>
  <c r="S641" i="1"/>
  <c r="S638" i="1"/>
  <c r="L628" i="1"/>
  <c r="J611" i="1"/>
  <c r="L611" i="1" s="1"/>
  <c r="S605" i="1"/>
  <c r="Q572" i="1"/>
  <c r="S568" i="1"/>
  <c r="O552" i="1"/>
  <c r="H552" i="1"/>
  <c r="O549" i="1"/>
  <c r="H549" i="1"/>
  <c r="H545" i="1"/>
  <c r="S501" i="1"/>
  <c r="S500" i="1"/>
  <c r="O480" i="1"/>
  <c r="H480" i="1"/>
  <c r="S499" i="1"/>
  <c r="H499" i="1"/>
  <c r="S758" i="1"/>
  <c r="S757" i="1"/>
  <c r="O488" i="1"/>
  <c r="H488" i="1"/>
  <c r="H487" i="1"/>
  <c r="O473" i="1"/>
  <c r="H473" i="1"/>
  <c r="S468" i="1"/>
  <c r="S464" i="1"/>
  <c r="O449" i="1"/>
  <c r="L437" i="1"/>
  <c r="S430" i="1"/>
  <c r="Q425" i="1"/>
  <c r="S424" i="1"/>
  <c r="S419" i="1"/>
  <c r="P631" i="1"/>
  <c r="S611" i="1"/>
  <c r="S598" i="1"/>
  <c r="H598" i="1"/>
  <c r="H596" i="1"/>
  <c r="H595" i="1"/>
  <c r="L589" i="1"/>
  <c r="H571" i="1"/>
  <c r="S558" i="1"/>
  <c r="S557" i="1"/>
  <c r="O555" i="1"/>
  <c r="O554" i="1"/>
  <c r="O545" i="1"/>
  <c r="O544" i="1"/>
  <c r="Q508" i="1"/>
  <c r="S504" i="1"/>
  <c r="H502" i="1"/>
  <c r="S489" i="1"/>
  <c r="S495" i="1"/>
  <c r="S494" i="1"/>
  <c r="H759" i="1"/>
  <c r="O487" i="1"/>
  <c r="S479" i="1"/>
  <c r="H479" i="1"/>
  <c r="H477" i="1"/>
  <c r="H476" i="1"/>
  <c r="L472" i="1"/>
  <c r="S465" i="1"/>
  <c r="L460" i="1"/>
  <c r="S453" i="1"/>
  <c r="S452" i="1"/>
  <c r="S447" i="1"/>
  <c r="O429" i="1"/>
  <c r="S674" i="1"/>
  <c r="H664" i="1"/>
  <c r="S661" i="1"/>
  <c r="H659" i="1"/>
  <c r="S657" i="1"/>
  <c r="H655" i="1"/>
  <c r="S652" i="1"/>
  <c r="H650" i="1"/>
  <c r="H647" i="1"/>
  <c r="S645" i="1"/>
  <c r="H638" i="1"/>
  <c r="S630" i="1"/>
  <c r="S624" i="1"/>
  <c r="S620" i="1"/>
  <c r="S614" i="1"/>
  <c r="Q612" i="1"/>
  <c r="S607" i="1"/>
  <c r="S603" i="1"/>
  <c r="S599" i="1"/>
  <c r="H599" i="1"/>
  <c r="P590" i="1"/>
  <c r="O595" i="1"/>
  <c r="S592" i="1"/>
  <c r="S589" i="1"/>
  <c r="Q585" i="1"/>
  <c r="O570" i="1"/>
  <c r="O569" i="1" s="1"/>
  <c r="Q561" i="1"/>
  <c r="H559" i="1"/>
  <c r="S552" i="1"/>
  <c r="S549" i="1"/>
  <c r="S519" i="1"/>
  <c r="S515" i="1"/>
  <c r="S506" i="1"/>
  <c r="S505" i="1"/>
  <c r="O502" i="1"/>
  <c r="O501" i="1"/>
  <c r="S480" i="1"/>
  <c r="S497" i="1"/>
  <c r="O759" i="1"/>
  <c r="O758" i="1"/>
  <c r="J486" i="1"/>
  <c r="L486" i="1" s="1"/>
  <c r="J485" i="1"/>
  <c r="L485" i="1" s="1"/>
  <c r="J484" i="1"/>
  <c r="L484" i="1" s="1"/>
  <c r="S482" i="1"/>
  <c r="O476" i="1"/>
  <c r="S461" i="1"/>
  <c r="S454" i="1"/>
  <c r="H444" i="1"/>
  <c r="H437" i="1"/>
  <c r="S422" i="1"/>
  <c r="S416" i="1"/>
  <c r="Q411" i="1"/>
  <c r="H384" i="1"/>
  <c r="O381" i="1"/>
  <c r="O377" i="1"/>
  <c r="O373" i="1"/>
  <c r="H363" i="1"/>
  <c r="Q350" i="1"/>
  <c r="J252" i="1"/>
  <c r="L252" i="1" s="1"/>
  <c r="J249" i="1"/>
  <c r="L249" i="1" s="1"/>
  <c r="S243" i="1"/>
  <c r="H243" i="1"/>
  <c r="S239" i="1"/>
  <c r="H238" i="1"/>
  <c r="J235" i="1"/>
  <c r="L235" i="1" s="1"/>
  <c r="S234" i="1"/>
  <c r="J233" i="1"/>
  <c r="L233" i="1" s="1"/>
  <c r="S231" i="1"/>
  <c r="S230" i="1"/>
  <c r="L228" i="1"/>
  <c r="S227" i="1"/>
  <c r="S224" i="1"/>
  <c r="P222" i="1"/>
  <c r="H216" i="1"/>
  <c r="Q214" i="1"/>
  <c r="S207" i="1"/>
  <c r="S195" i="1"/>
  <c r="H195" i="1"/>
  <c r="O193" i="1"/>
  <c r="J189" i="1"/>
  <c r="L189" i="1" s="1"/>
  <c r="S187" i="1"/>
  <c r="J166" i="1"/>
  <c r="L166" i="1" s="1"/>
  <c r="S165" i="1"/>
  <c r="O162" i="1"/>
  <c r="S122" i="1"/>
  <c r="S113" i="1"/>
  <c r="S110" i="1"/>
  <c r="S97" i="1"/>
  <c r="S96" i="1"/>
  <c r="S85" i="1"/>
  <c r="S77" i="1"/>
  <c r="J77" i="1"/>
  <c r="L77" i="1" s="1"/>
  <c r="S74" i="1"/>
  <c r="S49" i="1"/>
  <c r="S44" i="1"/>
  <c r="S20" i="1"/>
  <c r="S16" i="1"/>
  <c r="S386" i="1"/>
  <c r="L383" i="1"/>
  <c r="S381" i="1"/>
  <c r="O363" i="1"/>
  <c r="S347" i="1"/>
  <c r="S342" i="1"/>
  <c r="S336" i="1"/>
  <c r="S332" i="1"/>
  <c r="S328" i="1"/>
  <c r="S324" i="1"/>
  <c r="S321" i="1"/>
  <c r="S317" i="1"/>
  <c r="S314" i="1"/>
  <c r="S306" i="1"/>
  <c r="S305" i="1"/>
  <c r="S301" i="1"/>
  <c r="S297" i="1"/>
  <c r="S296" i="1"/>
  <c r="S290" i="1"/>
  <c r="S284" i="1"/>
  <c r="S266" i="1"/>
  <c r="S246" i="1"/>
  <c r="H242" i="1"/>
  <c r="S236" i="1"/>
  <c r="H234" i="1"/>
  <c r="S221" i="1"/>
  <c r="H219" i="1"/>
  <c r="H218" i="1"/>
  <c r="J213" i="1"/>
  <c r="L213" i="1" s="1"/>
  <c r="S209" i="1"/>
  <c r="S205" i="1"/>
  <c r="S197" i="1"/>
  <c r="S193" i="1"/>
  <c r="H187" i="1"/>
  <c r="S184" i="1"/>
  <c r="P182" i="1"/>
  <c r="Q177" i="1"/>
  <c r="L162" i="1"/>
  <c r="H115" i="1"/>
  <c r="O113" i="1"/>
  <c r="S109" i="1"/>
  <c r="S108" i="1"/>
  <c r="S91" i="1"/>
  <c r="H77" i="1"/>
  <c r="H76" i="1"/>
  <c r="O71" i="1"/>
  <c r="J69" i="1"/>
  <c r="L69" i="1" s="1"/>
  <c r="O67" i="1"/>
  <c r="O66" i="1"/>
  <c r="O65" i="1"/>
  <c r="O64" i="1"/>
  <c r="O63" i="1"/>
  <c r="S62" i="1"/>
  <c r="L62" i="1"/>
  <c r="S58" i="1"/>
  <c r="S57" i="1"/>
  <c r="H41" i="1"/>
  <c r="S18" i="1"/>
  <c r="S13" i="1"/>
  <c r="H381" i="1"/>
  <c r="L380" i="1"/>
  <c r="H379" i="1"/>
  <c r="S365" i="1"/>
  <c r="S349" i="1"/>
  <c r="S345" i="1"/>
  <c r="S340" i="1"/>
  <c r="L340" i="1"/>
  <c r="S334" i="1"/>
  <c r="S330" i="1"/>
  <c r="S326" i="1"/>
  <c r="S322" i="1"/>
  <c r="S319" i="1"/>
  <c r="S315" i="1"/>
  <c r="S311" i="1"/>
  <c r="S308" i="1"/>
  <c r="S303" i="1"/>
  <c r="S299" i="1"/>
  <c r="O290" i="1"/>
  <c r="O293" i="1"/>
  <c r="S264" i="1"/>
  <c r="H251" i="1"/>
  <c r="O234" i="1"/>
  <c r="O187" i="1"/>
  <c r="O115" i="1"/>
  <c r="O76" i="1"/>
  <c r="S19" i="1"/>
  <c r="P1342" i="1"/>
  <c r="Q1302" i="1"/>
  <c r="P1285" i="1"/>
  <c r="Q1275" i="1"/>
  <c r="P1138" i="1"/>
  <c r="P1132" i="1"/>
  <c r="O1123" i="1"/>
  <c r="J1123" i="1"/>
  <c r="L1123" i="1" s="1"/>
  <c r="P1109" i="1"/>
  <c r="L1357" i="1"/>
  <c r="J1355" i="1"/>
  <c r="L1355" i="1" s="1"/>
  <c r="J1354" i="1"/>
  <c r="L1354" i="1" s="1"/>
  <c r="O1352" i="1"/>
  <c r="J1351" i="1"/>
  <c r="L1351" i="1" s="1"/>
  <c r="P1347" i="1"/>
  <c r="O1343" i="1"/>
  <c r="O1342" i="1" s="1"/>
  <c r="H1343" i="1"/>
  <c r="S1338" i="1"/>
  <c r="H1338" i="1"/>
  <c r="O1337" i="1"/>
  <c r="L1336" i="1"/>
  <c r="H1335" i="1"/>
  <c r="Q1330" i="1"/>
  <c r="J1329" i="1"/>
  <c r="L1329" i="1" s="1"/>
  <c r="S1328" i="1"/>
  <c r="S1327" i="1"/>
  <c r="H1327" i="1"/>
  <c r="J1326" i="1"/>
  <c r="L1326" i="1" s="1"/>
  <c r="S1325" i="1"/>
  <c r="S1324" i="1"/>
  <c r="O1318" i="1"/>
  <c r="L1314" i="1"/>
  <c r="S1311" i="1"/>
  <c r="L1311" i="1"/>
  <c r="H1310" i="1"/>
  <c r="J1301" i="1"/>
  <c r="L1301" i="1" s="1"/>
  <c r="L1297" i="1"/>
  <c r="L1288" i="1"/>
  <c r="L1287" i="1"/>
  <c r="O1281" i="1"/>
  <c r="S1278" i="1"/>
  <c r="O1277" i="1"/>
  <c r="H1277" i="1"/>
  <c r="H1276" i="1"/>
  <c r="O1272" i="1"/>
  <c r="H1272" i="1"/>
  <c r="H1271" i="1"/>
  <c r="O1269" i="1"/>
  <c r="L1265" i="1"/>
  <c r="S1260" i="1"/>
  <c r="S1257" i="1"/>
  <c r="S1256" i="1"/>
  <c r="J1256" i="1"/>
  <c r="L1256" i="1" s="1"/>
  <c r="Q1252" i="1"/>
  <c r="S1253" i="1"/>
  <c r="S1251" i="1"/>
  <c r="S1250" i="1"/>
  <c r="J1250" i="1"/>
  <c r="L1250" i="1" s="1"/>
  <c r="L1245" i="1"/>
  <c r="O1243" i="1"/>
  <c r="H1242" i="1"/>
  <c r="L1241" i="1"/>
  <c r="S1238" i="1"/>
  <c r="L1238" i="1"/>
  <c r="S1234" i="1"/>
  <c r="L1234" i="1"/>
  <c r="O1229" i="1"/>
  <c r="O1221" i="1" s="1"/>
  <c r="P1221" i="1"/>
  <c r="S1207" i="1"/>
  <c r="S1198" i="1"/>
  <c r="L1198" i="1"/>
  <c r="S1196" i="1"/>
  <c r="S1195" i="1"/>
  <c r="J1192" i="1"/>
  <c r="L1192" i="1" s="1"/>
  <c r="L1191" i="1"/>
  <c r="L1188" i="1"/>
  <c r="S1186" i="1"/>
  <c r="O1184" i="1"/>
  <c r="O1183" i="1"/>
  <c r="O1182" i="1"/>
  <c r="S1178" i="1"/>
  <c r="S1177" i="1"/>
  <c r="S1176" i="1"/>
  <c r="S1175" i="1"/>
  <c r="S1174" i="1"/>
  <c r="J1171" i="1"/>
  <c r="L1171" i="1" s="1"/>
  <c r="L1170" i="1"/>
  <c r="O1169" i="1"/>
  <c r="O1136" i="1"/>
  <c r="H1136" i="1"/>
  <c r="Q1120" i="1"/>
  <c r="O1348" i="1"/>
  <c r="L1343" i="1"/>
  <c r="Q1291" i="1"/>
  <c r="L1277" i="1"/>
  <c r="O1276" i="1"/>
  <c r="L1272" i="1"/>
  <c r="O1271" i="1"/>
  <c r="P1197" i="1"/>
  <c r="O1160" i="1"/>
  <c r="O1156" i="1"/>
  <c r="P1120" i="1"/>
  <c r="O1090" i="1"/>
  <c r="J1090" i="1"/>
  <c r="L1090" i="1" s="1"/>
  <c r="P1353" i="1"/>
  <c r="L1352" i="1"/>
  <c r="H1351" i="1"/>
  <c r="H1349" i="1"/>
  <c r="S1348" i="1"/>
  <c r="S1344" i="1"/>
  <c r="S1343" i="1"/>
  <c r="S1336" i="1"/>
  <c r="L1335" i="1"/>
  <c r="L1331" i="1"/>
  <c r="S1322" i="1"/>
  <c r="S1319" i="1"/>
  <c r="S1315" i="1"/>
  <c r="L1315" i="1"/>
  <c r="L1310" i="1"/>
  <c r="S1306" i="1"/>
  <c r="P1299" i="1"/>
  <c r="O1298" i="1"/>
  <c r="H1298" i="1"/>
  <c r="L1295" i="1"/>
  <c r="O1294" i="1"/>
  <c r="H1294" i="1"/>
  <c r="H1293" i="1"/>
  <c r="S1289" i="1"/>
  <c r="L1289" i="1"/>
  <c r="H1288" i="1"/>
  <c r="S1277" i="1"/>
  <c r="S1273" i="1"/>
  <c r="S1272" i="1"/>
  <c r="L1269" i="1"/>
  <c r="O1266" i="1"/>
  <c r="H1266" i="1"/>
  <c r="H1265" i="1"/>
  <c r="H1259" i="1"/>
  <c r="H1256" i="1"/>
  <c r="H1255" i="1"/>
  <c r="H1250" i="1"/>
  <c r="H1247" i="1"/>
  <c r="H1244" i="1"/>
  <c r="L1243" i="1"/>
  <c r="H1240" i="1"/>
  <c r="S1236" i="1"/>
  <c r="L1236" i="1"/>
  <c r="P1230" i="1"/>
  <c r="S1232" i="1"/>
  <c r="L1232" i="1"/>
  <c r="S1228" i="1"/>
  <c r="S1227" i="1"/>
  <c r="S1226" i="1"/>
  <c r="S1225" i="1"/>
  <c r="S1224" i="1"/>
  <c r="S1223" i="1"/>
  <c r="S1222" i="1"/>
  <c r="L1208" i="1"/>
  <c r="P1194" i="1"/>
  <c r="L1184" i="1"/>
  <c r="L1183" i="1"/>
  <c r="L1182" i="1"/>
  <c r="P1173" i="1"/>
  <c r="S1172" i="1"/>
  <c r="Q1168" i="1"/>
  <c r="S1156" i="1"/>
  <c r="S1136" i="1"/>
  <c r="S1134" i="1"/>
  <c r="Q1132" i="1"/>
  <c r="S1130" i="1"/>
  <c r="H1129" i="1"/>
  <c r="O1127" i="1"/>
  <c r="H1119" i="1"/>
  <c r="Q1084" i="1"/>
  <c r="O1065" i="1"/>
  <c r="P1008" i="1"/>
  <c r="O1001" i="1"/>
  <c r="O939" i="1"/>
  <c r="O931" i="1"/>
  <c r="O919" i="1"/>
  <c r="P900" i="1"/>
  <c r="O911" i="1"/>
  <c r="O903" i="1"/>
  <c r="O897" i="1"/>
  <c r="O895" i="1"/>
  <c r="H821" i="1"/>
  <c r="J821" i="1"/>
  <c r="L821" i="1" s="1"/>
  <c r="H820" i="1"/>
  <c r="O820" i="1"/>
  <c r="J820" i="1"/>
  <c r="L820" i="1" s="1"/>
  <c r="H819" i="1"/>
  <c r="J819" i="1"/>
  <c r="L819" i="1" s="1"/>
  <c r="O819" i="1"/>
  <c r="H818" i="1"/>
  <c r="O818" i="1"/>
  <c r="J818" i="1"/>
  <c r="L818" i="1" s="1"/>
  <c r="L800" i="1"/>
  <c r="P789" i="1"/>
  <c r="S1127" i="1"/>
  <c r="O1113" i="1"/>
  <c r="H1112" i="1"/>
  <c r="P1106" i="1"/>
  <c r="S1104" i="1"/>
  <c r="S1102" i="1"/>
  <c r="S1100" i="1"/>
  <c r="S1098" i="1"/>
  <c r="S1096" i="1"/>
  <c r="O1094" i="1"/>
  <c r="H1094" i="1"/>
  <c r="S1090" i="1"/>
  <c r="S1088" i="1"/>
  <c r="S1087" i="1"/>
  <c r="P1074" i="1"/>
  <c r="S1073" i="1"/>
  <c r="S1072" i="1"/>
  <c r="O1070" i="1"/>
  <c r="H1070" i="1"/>
  <c r="S1066" i="1"/>
  <c r="J1066" i="1"/>
  <c r="L1066" i="1" s="1"/>
  <c r="L1065" i="1"/>
  <c r="S1063" i="1"/>
  <c r="S1061" i="1"/>
  <c r="H1061" i="1"/>
  <c r="S1059" i="1"/>
  <c r="H1056" i="1"/>
  <c r="S1053" i="1"/>
  <c r="S1051" i="1"/>
  <c r="Q1049" i="1"/>
  <c r="J1048" i="1"/>
  <c r="L1048" i="1" s="1"/>
  <c r="S1047" i="1"/>
  <c r="S1046" i="1"/>
  <c r="O1043" i="1"/>
  <c r="O1039" i="1"/>
  <c r="O1018" i="1"/>
  <c r="H1018" i="1"/>
  <c r="O1016" i="1"/>
  <c r="H1016" i="1"/>
  <c r="S1013" i="1"/>
  <c r="S1012" i="1"/>
  <c r="J1012" i="1"/>
  <c r="L1012" i="1" s="1"/>
  <c r="J1011" i="1"/>
  <c r="L1011" i="1" s="1"/>
  <c r="H1003" i="1"/>
  <c r="O999" i="1"/>
  <c r="H997" i="1"/>
  <c r="Q993" i="1"/>
  <c r="S989" i="1"/>
  <c r="S983" i="1"/>
  <c r="S979" i="1"/>
  <c r="S975" i="1"/>
  <c r="L969" i="1"/>
  <c r="J965" i="1"/>
  <c r="L965" i="1" s="1"/>
  <c r="J964" i="1"/>
  <c r="L964" i="1" s="1"/>
  <c r="L963" i="1"/>
  <c r="O962" i="1"/>
  <c r="J960" i="1"/>
  <c r="L960" i="1" s="1"/>
  <c r="L959" i="1"/>
  <c r="O954" i="1"/>
  <c r="H954" i="1"/>
  <c r="J950" i="1"/>
  <c r="L950" i="1" s="1"/>
  <c r="J947" i="1"/>
  <c r="L947" i="1" s="1"/>
  <c r="J946" i="1"/>
  <c r="L946" i="1" s="1"/>
  <c r="L945" i="1"/>
  <c r="S940" i="1"/>
  <c r="J940" i="1"/>
  <c r="L940" i="1" s="1"/>
  <c r="L939" i="1"/>
  <c r="O936" i="1"/>
  <c r="H936" i="1"/>
  <c r="S932" i="1"/>
  <c r="J932" i="1"/>
  <c r="L932" i="1" s="1"/>
  <c r="L931" i="1"/>
  <c r="O928" i="1"/>
  <c r="H928" i="1"/>
  <c r="S920" i="1"/>
  <c r="J920" i="1"/>
  <c r="L920" i="1" s="1"/>
  <c r="L919" i="1"/>
  <c r="O916" i="1"/>
  <c r="H916" i="1"/>
  <c r="S912" i="1"/>
  <c r="J912" i="1"/>
  <c r="L912" i="1" s="1"/>
  <c r="L911" i="1"/>
  <c r="O908" i="1"/>
  <c r="H908" i="1"/>
  <c r="S904" i="1"/>
  <c r="J904" i="1"/>
  <c r="L904" i="1" s="1"/>
  <c r="L903" i="1"/>
  <c r="S897" i="1"/>
  <c r="L895" i="1"/>
  <c r="S893" i="1"/>
  <c r="S891" i="1"/>
  <c r="S887" i="1"/>
  <c r="S886" i="1"/>
  <c r="H886" i="1"/>
  <c r="O884" i="1"/>
  <c r="H884" i="1"/>
  <c r="P882" i="1"/>
  <c r="O879" i="1"/>
  <c r="H879" i="1"/>
  <c r="H877" i="1"/>
  <c r="J875" i="1"/>
  <c r="L875" i="1" s="1"/>
  <c r="P868" i="1"/>
  <c r="O867" i="1"/>
  <c r="H867" i="1"/>
  <c r="S862" i="1"/>
  <c r="H862" i="1"/>
  <c r="O855" i="1"/>
  <c r="H855" i="1"/>
  <c r="J853" i="1"/>
  <c r="L853" i="1" s="1"/>
  <c r="J851" i="1"/>
  <c r="L851" i="1" s="1"/>
  <c r="O850" i="1"/>
  <c r="H850" i="1"/>
  <c r="J848" i="1"/>
  <c r="L848" i="1" s="1"/>
  <c r="O843" i="1"/>
  <c r="H843" i="1"/>
  <c r="H842" i="1"/>
  <c r="S838" i="1"/>
  <c r="H838" i="1"/>
  <c r="S834" i="1"/>
  <c r="H834" i="1"/>
  <c r="H823" i="1"/>
  <c r="P1060" i="1"/>
  <c r="L1018" i="1"/>
  <c r="L954" i="1"/>
  <c r="L936" i="1"/>
  <c r="L928" i="1"/>
  <c r="L916" i="1"/>
  <c r="L908" i="1"/>
  <c r="L850" i="1"/>
  <c r="O821" i="1"/>
  <c r="P817" i="1"/>
  <c r="Q817" i="1"/>
  <c r="L1113" i="1"/>
  <c r="S1107" i="1"/>
  <c r="S1094" i="1"/>
  <c r="S1092" i="1"/>
  <c r="H1090" i="1"/>
  <c r="S1085" i="1"/>
  <c r="S1070" i="1"/>
  <c r="S1068" i="1"/>
  <c r="H1066" i="1"/>
  <c r="H1065" i="1"/>
  <c r="L1061" i="1"/>
  <c r="L1059" i="1"/>
  <c r="S1058" i="1"/>
  <c r="L1058" i="1"/>
  <c r="S1052" i="1"/>
  <c r="S1044" i="1"/>
  <c r="S1040" i="1"/>
  <c r="L1040" i="1"/>
  <c r="L1038" i="1"/>
  <c r="S1037" i="1"/>
  <c r="L1037" i="1"/>
  <c r="Q1021" i="1"/>
  <c r="S1019" i="1"/>
  <c r="S1018" i="1"/>
  <c r="S1016" i="1"/>
  <c r="J1015" i="1"/>
  <c r="L1015" i="1" s="1"/>
  <c r="L1014" i="1"/>
  <c r="H1012" i="1"/>
  <c r="L1003" i="1"/>
  <c r="H1001" i="1"/>
  <c r="L999" i="1"/>
  <c r="O995" i="1"/>
  <c r="S991" i="1"/>
  <c r="S985" i="1"/>
  <c r="S981" i="1"/>
  <c r="S977" i="1"/>
  <c r="S973" i="1"/>
  <c r="P970" i="1"/>
  <c r="S966" i="1"/>
  <c r="H966" i="1"/>
  <c r="S962" i="1"/>
  <c r="S961" i="1"/>
  <c r="S958" i="1"/>
  <c r="S956" i="1"/>
  <c r="S955" i="1"/>
  <c r="S954" i="1"/>
  <c r="S951" i="1"/>
  <c r="S948" i="1"/>
  <c r="H948" i="1"/>
  <c r="S943" i="1"/>
  <c r="S942" i="1"/>
  <c r="H940" i="1"/>
  <c r="S937" i="1"/>
  <c r="S936" i="1"/>
  <c r="S934" i="1"/>
  <c r="H932" i="1"/>
  <c r="S929" i="1"/>
  <c r="S928" i="1"/>
  <c r="Q925" i="1"/>
  <c r="H920" i="1"/>
  <c r="S917" i="1"/>
  <c r="S916" i="1"/>
  <c r="S914" i="1"/>
  <c r="H912" i="1"/>
  <c r="S909" i="1"/>
  <c r="S908" i="1"/>
  <c r="S906" i="1"/>
  <c r="H904" i="1"/>
  <c r="Q900" i="1"/>
  <c r="H895" i="1"/>
  <c r="J890" i="1"/>
  <c r="L890" i="1" s="1"/>
  <c r="J889" i="1"/>
  <c r="L889" i="1" s="1"/>
  <c r="O887" i="1"/>
  <c r="S884" i="1"/>
  <c r="Q878" i="1"/>
  <c r="S872" i="1"/>
  <c r="S867" i="1"/>
  <c r="S865" i="1"/>
  <c r="Q863" i="1"/>
  <c r="S858" i="1"/>
  <c r="H851" i="1"/>
  <c r="H848" i="1"/>
  <c r="L846" i="1"/>
  <c r="H844" i="1"/>
  <c r="S836" i="1"/>
  <c r="H822" i="1"/>
  <c r="S777" i="1"/>
  <c r="S764" i="1"/>
  <c r="O746" i="1"/>
  <c r="H746" i="1"/>
  <c r="S743" i="1"/>
  <c r="S741" i="1"/>
  <c r="S740" i="1"/>
  <c r="S739" i="1"/>
  <c r="S738" i="1"/>
  <c r="Q736" i="1"/>
  <c r="H733" i="1"/>
  <c r="H732" i="1"/>
  <c r="L730" i="1"/>
  <c r="O728" i="1"/>
  <c r="O727" i="1"/>
  <c r="O726" i="1"/>
  <c r="O725" i="1"/>
  <c r="O724" i="1"/>
  <c r="S714" i="1"/>
  <c r="J703" i="1"/>
  <c r="L703" i="1" s="1"/>
  <c r="O702" i="1"/>
  <c r="L701" i="1"/>
  <c r="S700" i="1"/>
  <c r="P698" i="1"/>
  <c r="S697" i="1"/>
  <c r="H692" i="1"/>
  <c r="H689" i="1"/>
  <c r="O687" i="1"/>
  <c r="H684" i="1"/>
  <c r="H680" i="1"/>
  <c r="S677" i="1"/>
  <c r="H677" i="1"/>
  <c r="Q789" i="1"/>
  <c r="J779" i="1"/>
  <c r="L779" i="1" s="1"/>
  <c r="J777" i="1"/>
  <c r="L777" i="1" s="1"/>
  <c r="Q770" i="1"/>
  <c r="S766" i="1"/>
  <c r="S733" i="1"/>
  <c r="P729" i="1"/>
  <c r="Q708" i="1"/>
  <c r="J700" i="1"/>
  <c r="L700" i="1" s="1"/>
  <c r="Q693" i="1"/>
  <c r="J690" i="1"/>
  <c r="L690" i="1" s="1"/>
  <c r="S684" i="1"/>
  <c r="P682" i="1"/>
  <c r="P679" i="1"/>
  <c r="H674" i="1"/>
  <c r="L672" i="1"/>
  <c r="S660" i="1"/>
  <c r="S656" i="1"/>
  <c r="Q723" i="1"/>
  <c r="S816" i="1"/>
  <c r="S815" i="1"/>
  <c r="S814" i="1"/>
  <c r="S813" i="1"/>
  <c r="S811" i="1"/>
  <c r="S810" i="1"/>
  <c r="S809" i="1"/>
  <c r="S803" i="1"/>
  <c r="Q801" i="1"/>
  <c r="O799" i="1"/>
  <c r="P797" i="1"/>
  <c r="O796" i="1"/>
  <c r="O795" i="1"/>
  <c r="O794" i="1"/>
  <c r="O793" i="1"/>
  <c r="O792" i="1"/>
  <c r="O791" i="1"/>
  <c r="O790" i="1"/>
  <c r="H779" i="1"/>
  <c r="H777" i="1"/>
  <c r="O775" i="1"/>
  <c r="O774" i="1"/>
  <c r="O773" i="1"/>
  <c r="O772" i="1"/>
  <c r="O771" i="1"/>
  <c r="S763" i="1"/>
  <c r="H763" i="1"/>
  <c r="O743" i="1"/>
  <c r="H743" i="1"/>
  <c r="H728" i="1"/>
  <c r="H727" i="1"/>
  <c r="H726" i="1"/>
  <c r="H725" i="1"/>
  <c r="H724" i="1"/>
  <c r="O714" i="1"/>
  <c r="H714" i="1"/>
  <c r="O712" i="1"/>
  <c r="O711" i="1"/>
  <c r="O710" i="1"/>
  <c r="O709" i="1"/>
  <c r="H702" i="1"/>
  <c r="H700" i="1"/>
  <c r="S696" i="1"/>
  <c r="H690" i="1"/>
  <c r="H687" i="1"/>
  <c r="O685" i="1"/>
  <c r="O677" i="1"/>
  <c r="J677" i="1"/>
  <c r="L677" i="1" s="1"/>
  <c r="J675" i="1"/>
  <c r="L675" i="1" s="1"/>
  <c r="O675" i="1"/>
  <c r="S662" i="1"/>
  <c r="S658" i="1"/>
  <c r="J666" i="1"/>
  <c r="L666" i="1" s="1"/>
  <c r="P642" i="1"/>
  <c r="L640" i="1"/>
  <c r="S639" i="1"/>
  <c r="S635" i="1"/>
  <c r="L633" i="1"/>
  <c r="L632" i="1"/>
  <c r="O627" i="1"/>
  <c r="H627" i="1"/>
  <c r="S610" i="1"/>
  <c r="S609" i="1"/>
  <c r="O607" i="1"/>
  <c r="H607" i="1"/>
  <c r="H606" i="1"/>
  <c r="Q601" i="1"/>
  <c r="O599" i="1"/>
  <c r="S596" i="1"/>
  <c r="S593" i="1"/>
  <c r="H589" i="1"/>
  <c r="S586" i="1"/>
  <c r="S571" i="1"/>
  <c r="O568" i="1"/>
  <c r="O567" i="1" s="1"/>
  <c r="H568" i="1"/>
  <c r="P561" i="1"/>
  <c r="S560" i="1"/>
  <c r="S559" i="1"/>
  <c r="S556" i="1"/>
  <c r="J556" i="1"/>
  <c r="L556" i="1" s="1"/>
  <c r="L555" i="1"/>
  <c r="J553" i="1"/>
  <c r="L553" i="1" s="1"/>
  <c r="L552" i="1"/>
  <c r="O551" i="1"/>
  <c r="S545" i="1"/>
  <c r="S544" i="1"/>
  <c r="S543" i="1"/>
  <c r="Q542" i="1"/>
  <c r="S516" i="1"/>
  <c r="S512" i="1"/>
  <c r="S509" i="1"/>
  <c r="J507" i="1"/>
  <c r="L507" i="1" s="1"/>
  <c r="L506" i="1"/>
  <c r="S503" i="1"/>
  <c r="S502" i="1"/>
  <c r="J500" i="1"/>
  <c r="L500" i="1" s="1"/>
  <c r="J481" i="1"/>
  <c r="L481" i="1" s="1"/>
  <c r="L480" i="1"/>
  <c r="O492" i="1"/>
  <c r="O489" i="1"/>
  <c r="H489" i="1"/>
  <c r="J497" i="1"/>
  <c r="L497" i="1" s="1"/>
  <c r="L495" i="1"/>
  <c r="S493" i="1"/>
  <c r="S759" i="1"/>
  <c r="J757" i="1"/>
  <c r="L757" i="1" s="1"/>
  <c r="L488" i="1"/>
  <c r="O483" i="1"/>
  <c r="H483" i="1"/>
  <c r="H482" i="1"/>
  <c r="J474" i="1"/>
  <c r="L474" i="1" s="1"/>
  <c r="L473" i="1"/>
  <c r="O472" i="1"/>
  <c r="O470" i="1"/>
  <c r="O468" i="1"/>
  <c r="H468" i="1"/>
  <c r="H467" i="1"/>
  <c r="H466" i="1"/>
  <c r="L463" i="1"/>
  <c r="O461" i="1"/>
  <c r="S456" i="1"/>
  <c r="O455" i="1"/>
  <c r="O452" i="1"/>
  <c r="H452" i="1"/>
  <c r="L449" i="1"/>
  <c r="O448" i="1"/>
  <c r="O444" i="1"/>
  <c r="O437" i="1"/>
  <c r="O441" i="1"/>
  <c r="J436" i="1"/>
  <c r="L436" i="1" s="1"/>
  <c r="L429" i="1"/>
  <c r="P425" i="1"/>
  <c r="S423" i="1"/>
  <c r="S417" i="1"/>
  <c r="L412" i="1"/>
  <c r="H371" i="1"/>
  <c r="S366" i="1"/>
  <c r="H673" i="1"/>
  <c r="O670" i="1"/>
  <c r="Q642" i="1"/>
  <c r="S628" i="1"/>
  <c r="S627" i="1"/>
  <c r="H626" i="1"/>
  <c r="S622" i="1"/>
  <c r="S618" i="1"/>
  <c r="S617" i="1"/>
  <c r="H611" i="1"/>
  <c r="H610" i="1"/>
  <c r="O606" i="1"/>
  <c r="O605" i="1"/>
  <c r="H603" i="1"/>
  <c r="H602" i="1"/>
  <c r="S600" i="1"/>
  <c r="S597" i="1"/>
  <c r="S595" i="1"/>
  <c r="S594" i="1"/>
  <c r="H592" i="1"/>
  <c r="H591" i="1"/>
  <c r="O589" i="1"/>
  <c r="H587" i="1"/>
  <c r="S584" i="1"/>
  <c r="S580" i="1"/>
  <c r="P572" i="1"/>
  <c r="Q569" i="1"/>
  <c r="L568" i="1"/>
  <c r="S517" i="1"/>
  <c r="S513" i="1"/>
  <c r="S510" i="1"/>
  <c r="J490" i="1"/>
  <c r="L490" i="1" s="1"/>
  <c r="L489" i="1"/>
  <c r="L483" i="1"/>
  <c r="O482" i="1"/>
  <c r="S477" i="1"/>
  <c r="S474" i="1"/>
  <c r="J469" i="1"/>
  <c r="L469" i="1" s="1"/>
  <c r="L468" i="1"/>
  <c r="O467" i="1"/>
  <c r="O466" i="1"/>
  <c r="O460" i="1"/>
  <c r="Q283" i="1"/>
  <c r="H683" i="1"/>
  <c r="S681" i="1"/>
  <c r="H666" i="1"/>
  <c r="L645" i="1"/>
  <c r="L641" i="1"/>
  <c r="S640" i="1"/>
  <c r="O638" i="1"/>
  <c r="S636" i="1"/>
  <c r="Q631" i="1"/>
  <c r="H628" i="1"/>
  <c r="S623" i="1"/>
  <c r="S619" i="1"/>
  <c r="O610" i="1"/>
  <c r="L606" i="1"/>
  <c r="J604" i="1"/>
  <c r="L604" i="1" s="1"/>
  <c r="S581" i="1"/>
  <c r="S577" i="1"/>
  <c r="S575" i="1"/>
  <c r="S566" i="1"/>
  <c r="S565" i="1"/>
  <c r="S563" i="1"/>
  <c r="H558" i="1"/>
  <c r="H556" i="1"/>
  <c r="H555" i="1"/>
  <c r="H554" i="1"/>
  <c r="Q550" i="1"/>
  <c r="L549" i="1"/>
  <c r="S518" i="1"/>
  <c r="S514" i="1"/>
  <c r="S511" i="1"/>
  <c r="P508" i="1"/>
  <c r="S492" i="1"/>
  <c r="S491" i="1"/>
  <c r="S490" i="1"/>
  <c r="S498" i="1"/>
  <c r="S496" i="1"/>
  <c r="S487" i="1"/>
  <c r="S486" i="1"/>
  <c r="S485" i="1"/>
  <c r="S484" i="1"/>
  <c r="S483" i="1"/>
  <c r="L482" i="1"/>
  <c r="S478" i="1"/>
  <c r="S476" i="1"/>
  <c r="S475" i="1"/>
  <c r="S472" i="1"/>
  <c r="S470" i="1"/>
  <c r="S469" i="1"/>
  <c r="L467" i="1"/>
  <c r="J465" i="1"/>
  <c r="L465" i="1" s="1"/>
  <c r="S458" i="1"/>
  <c r="S460" i="1"/>
  <c r="S459" i="1"/>
  <c r="H443" i="1"/>
  <c r="S440" i="1"/>
  <c r="S427" i="1"/>
  <c r="O426" i="1"/>
  <c r="H426" i="1"/>
  <c r="S421" i="1"/>
  <c r="P411" i="1"/>
  <c r="S415" i="1"/>
  <c r="O412" i="1"/>
  <c r="S383" i="1"/>
  <c r="H373" i="1"/>
  <c r="L559" i="1"/>
  <c r="L502" i="1"/>
  <c r="L759" i="1"/>
  <c r="P433" i="1"/>
  <c r="O349" i="1"/>
  <c r="J349" i="1"/>
  <c r="L349" i="1" s="1"/>
  <c r="O330" i="1"/>
  <c r="J330" i="1"/>
  <c r="L330" i="1" s="1"/>
  <c r="S387" i="1"/>
  <c r="H377" i="1"/>
  <c r="L370" i="1"/>
  <c r="H359" i="1"/>
  <c r="H352" i="1"/>
  <c r="S348" i="1"/>
  <c r="S343" i="1"/>
  <c r="O340" i="1"/>
  <c r="S335" i="1"/>
  <c r="S331" i="1"/>
  <c r="S329" i="1"/>
  <c r="S325" i="1"/>
  <c r="S323" i="1"/>
  <c r="S318" i="1"/>
  <c r="S313" i="1"/>
  <c r="H290" i="1"/>
  <c r="S295" i="1"/>
  <c r="S282" i="1"/>
  <c r="S281" i="1"/>
  <c r="S280" i="1"/>
  <c r="S279" i="1"/>
  <c r="S755" i="1"/>
  <c r="S754" i="1"/>
  <c r="S753" i="1"/>
  <c r="S278" i="1"/>
  <c r="S277" i="1"/>
  <c r="S276" i="1"/>
  <c r="S275" i="1"/>
  <c r="S274" i="1"/>
  <c r="S273" i="1"/>
  <c r="S272" i="1"/>
  <c r="S271" i="1"/>
  <c r="Q253" i="1"/>
  <c r="P253" i="1"/>
  <c r="H246" i="1"/>
  <c r="J242" i="1"/>
  <c r="L242" i="1" s="1"/>
  <c r="J239" i="1"/>
  <c r="L239" i="1" s="1"/>
  <c r="P232" i="1"/>
  <c r="Q222" i="1"/>
  <c r="S216" i="1"/>
  <c r="J216" i="1"/>
  <c r="L216" i="1" s="1"/>
  <c r="S215" i="1"/>
  <c r="J208" i="1"/>
  <c r="L208" i="1" s="1"/>
  <c r="J203" i="1"/>
  <c r="L203" i="1" s="1"/>
  <c r="O197" i="1"/>
  <c r="J197" i="1"/>
  <c r="L197" i="1" s="1"/>
  <c r="J196" i="1"/>
  <c r="L196" i="1" s="1"/>
  <c r="J195" i="1"/>
  <c r="L195" i="1" s="1"/>
  <c r="O195" i="1"/>
  <c r="Q182" i="1"/>
  <c r="S188" i="1"/>
  <c r="J188" i="1"/>
  <c r="L188" i="1" s="1"/>
  <c r="H173" i="1"/>
  <c r="J172" i="1"/>
  <c r="L172" i="1" s="1"/>
  <c r="S171" i="1"/>
  <c r="J170" i="1"/>
  <c r="L170" i="1" s="1"/>
  <c r="S169" i="1"/>
  <c r="H169" i="1"/>
  <c r="J168" i="1"/>
  <c r="L168" i="1" s="1"/>
  <c r="S167" i="1"/>
  <c r="H165" i="1"/>
  <c r="O165" i="1"/>
  <c r="J160" i="1"/>
  <c r="L160" i="1" s="1"/>
  <c r="O160" i="1"/>
  <c r="O198" i="1"/>
  <c r="J198" i="1"/>
  <c r="L198" i="1" s="1"/>
  <c r="H184" i="1"/>
  <c r="P177" i="1"/>
  <c r="J749" i="1"/>
  <c r="L749" i="1" s="1"/>
  <c r="O749" i="1"/>
  <c r="S414" i="1"/>
  <c r="S385" i="1"/>
  <c r="S379" i="1"/>
  <c r="S377" i="1"/>
  <c r="S373" i="1"/>
  <c r="S367" i="1"/>
  <c r="S361" i="1"/>
  <c r="L360" i="1"/>
  <c r="S359" i="1"/>
  <c r="S352" i="1"/>
  <c r="S346" i="1"/>
  <c r="S341" i="1"/>
  <c r="S339" i="1"/>
  <c r="S333" i="1"/>
  <c r="S327" i="1"/>
  <c r="S320" i="1"/>
  <c r="S316" i="1"/>
  <c r="O314" i="1"/>
  <c r="O312" i="1"/>
  <c r="O311" i="1"/>
  <c r="O310" i="1"/>
  <c r="O306" i="1"/>
  <c r="O309" i="1"/>
  <c r="O308" i="1"/>
  <c r="O307" i="1"/>
  <c r="O305" i="1"/>
  <c r="O304" i="1"/>
  <c r="O303" i="1"/>
  <c r="O302" i="1"/>
  <c r="O301" i="1"/>
  <c r="O300" i="1"/>
  <c r="O299" i="1"/>
  <c r="O298" i="1"/>
  <c r="O297" i="1"/>
  <c r="H295" i="1"/>
  <c r="O282" i="1"/>
  <c r="O281" i="1"/>
  <c r="O280" i="1"/>
  <c r="O279" i="1"/>
  <c r="O755" i="1"/>
  <c r="O754" i="1"/>
  <c r="O753" i="1"/>
  <c r="O278" i="1"/>
  <c r="O277" i="1"/>
  <c r="O276" i="1"/>
  <c r="O275" i="1"/>
  <c r="O274" i="1"/>
  <c r="O273" i="1"/>
  <c r="O272" i="1"/>
  <c r="O271" i="1"/>
  <c r="O270" i="1"/>
  <c r="O269" i="1"/>
  <c r="O267" i="1"/>
  <c r="O266" i="1"/>
  <c r="O265" i="1"/>
  <c r="O264" i="1"/>
  <c r="S252" i="1"/>
  <c r="S251" i="1"/>
  <c r="S249" i="1"/>
  <c r="S247" i="1"/>
  <c r="H239" i="1"/>
  <c r="L234" i="1"/>
  <c r="H221" i="1"/>
  <c r="S211" i="1"/>
  <c r="S210" i="1"/>
  <c r="H208" i="1"/>
  <c r="H203" i="1"/>
  <c r="P201" i="1"/>
  <c r="H202" i="1"/>
  <c r="H196" i="1"/>
  <c r="S191" i="1"/>
  <c r="O188" i="1"/>
  <c r="O295" i="1"/>
  <c r="S260" i="1"/>
  <c r="S259" i="1"/>
  <c r="S258" i="1"/>
  <c r="S256" i="1"/>
  <c r="S250" i="1"/>
  <c r="J246" i="1"/>
  <c r="L246" i="1" s="1"/>
  <c r="J243" i="1"/>
  <c r="L243" i="1" s="1"/>
  <c r="H235" i="1"/>
  <c r="H233" i="1"/>
  <c r="L230" i="1"/>
  <c r="S228" i="1"/>
  <c r="L224" i="1"/>
  <c r="O221" i="1"/>
  <c r="H213" i="1"/>
  <c r="H211" i="1"/>
  <c r="J206" i="1"/>
  <c r="L206" i="1" s="1"/>
  <c r="J205" i="1"/>
  <c r="L205" i="1" s="1"/>
  <c r="O202" i="1"/>
  <c r="S199" i="1"/>
  <c r="H189" i="1"/>
  <c r="L187" i="1"/>
  <c r="J184" i="1"/>
  <c r="L184" i="1" s="1"/>
  <c r="J164" i="1"/>
  <c r="L164" i="1" s="1"/>
  <c r="O164" i="1"/>
  <c r="J157" i="1"/>
  <c r="L157" i="1" s="1"/>
  <c r="O157" i="1"/>
  <c r="O153" i="1"/>
  <c r="O149" i="1"/>
  <c r="O145" i="1"/>
  <c r="O141" i="1"/>
  <c r="O132" i="1"/>
  <c r="H131" i="1"/>
  <c r="J130" i="1"/>
  <c r="L130" i="1" s="1"/>
  <c r="O128" i="1"/>
  <c r="O126" i="1"/>
  <c r="H126" i="1"/>
  <c r="J125" i="1"/>
  <c r="L125" i="1" s="1"/>
  <c r="O124" i="1"/>
  <c r="H124" i="1"/>
  <c r="J123" i="1"/>
  <c r="L123" i="1" s="1"/>
  <c r="J120" i="1"/>
  <c r="L120" i="1" s="1"/>
  <c r="O119" i="1"/>
  <c r="H119" i="1"/>
  <c r="J118" i="1"/>
  <c r="L118" i="1" s="1"/>
  <c r="O117" i="1"/>
  <c r="H117" i="1"/>
  <c r="O111" i="1"/>
  <c r="O108" i="1"/>
  <c r="O96" i="1"/>
  <c r="S61" i="1"/>
  <c r="H60" i="1"/>
  <c r="S48" i="1"/>
  <c r="S42" i="1"/>
  <c r="S40" i="1"/>
  <c r="J40" i="1"/>
  <c r="L40" i="1" s="1"/>
  <c r="S39" i="1"/>
  <c r="J19" i="1"/>
  <c r="L19" i="1" s="1"/>
  <c r="J9" i="1"/>
  <c r="L9" i="1" s="1"/>
  <c r="S6" i="1"/>
  <c r="S4" i="1"/>
  <c r="L199" i="1"/>
  <c r="L193" i="1"/>
  <c r="S181" i="1"/>
  <c r="S180" i="1"/>
  <c r="S174" i="1"/>
  <c r="S172" i="1"/>
  <c r="S170" i="1"/>
  <c r="S168" i="1"/>
  <c r="S166" i="1"/>
  <c r="S162" i="1"/>
  <c r="S751" i="1"/>
  <c r="S157" i="1"/>
  <c r="O155" i="1"/>
  <c r="S153" i="1"/>
  <c r="O151" i="1"/>
  <c r="S149" i="1"/>
  <c r="O147" i="1"/>
  <c r="S145" i="1"/>
  <c r="O143" i="1"/>
  <c r="S141" i="1"/>
  <c r="O139" i="1"/>
  <c r="O131" i="1"/>
  <c r="L126" i="1"/>
  <c r="L124" i="1"/>
  <c r="L119" i="1"/>
  <c r="L117" i="1"/>
  <c r="S80" i="1"/>
  <c r="J74" i="1"/>
  <c r="L74" i="1" s="1"/>
  <c r="L68" i="1"/>
  <c r="S164" i="1"/>
  <c r="S163" i="1"/>
  <c r="S161" i="1"/>
  <c r="S160" i="1"/>
  <c r="S159" i="1"/>
  <c r="S750" i="1"/>
  <c r="S749" i="1"/>
  <c r="S158" i="1"/>
  <c r="S156" i="1"/>
  <c r="S155" i="1"/>
  <c r="S154" i="1"/>
  <c r="S152" i="1"/>
  <c r="S151" i="1"/>
  <c r="S148" i="1"/>
  <c r="S147" i="1"/>
  <c r="S146" i="1"/>
  <c r="S144" i="1"/>
  <c r="S143" i="1"/>
  <c r="S142" i="1"/>
  <c r="S139" i="1"/>
  <c r="S138" i="1"/>
  <c r="S136" i="1"/>
  <c r="S133" i="1"/>
  <c r="S131" i="1"/>
  <c r="H130" i="1"/>
  <c r="L128" i="1"/>
  <c r="H122" i="1"/>
  <c r="H125" i="1"/>
  <c r="H123" i="1"/>
  <c r="H120" i="1"/>
  <c r="H118" i="1"/>
  <c r="H113" i="1"/>
  <c r="H109" i="1"/>
  <c r="S104" i="1"/>
  <c r="H104" i="1"/>
  <c r="S98" i="1"/>
  <c r="H98" i="1"/>
  <c r="H97" i="1"/>
  <c r="S95" i="1"/>
  <c r="H94" i="1"/>
  <c r="S69" i="1"/>
  <c r="S68" i="1"/>
  <c r="L58" i="1"/>
  <c r="L46" i="1"/>
  <c r="H19" i="1"/>
  <c r="H18" i="1"/>
  <c r="H13" i="1"/>
  <c r="H9" i="1"/>
  <c r="L4" i="1"/>
  <c r="S76" i="1"/>
  <c r="S75" i="1"/>
  <c r="S71" i="1"/>
  <c r="S70" i="1"/>
  <c r="S67" i="1"/>
  <c r="L63" i="1"/>
  <c r="S60" i="1"/>
  <c r="J60" i="1"/>
  <c r="L60" i="1" s="1"/>
  <c r="S59" i="1"/>
  <c r="H59" i="1"/>
  <c r="H58" i="1"/>
  <c r="S56" i="1"/>
  <c r="S55" i="1"/>
  <c r="H46" i="1"/>
  <c r="S38" i="1"/>
  <c r="J20" i="1"/>
  <c r="L20" i="1" s="1"/>
  <c r="O18" i="1"/>
  <c r="J16" i="1"/>
  <c r="L16" i="1" s="1"/>
  <c r="O13" i="1"/>
  <c r="O1173" i="1"/>
  <c r="O1095" i="1"/>
  <c r="J1095" i="1"/>
  <c r="L1095" i="1" s="1"/>
  <c r="O1068" i="1"/>
  <c r="J1068" i="1"/>
  <c r="L1068" i="1" s="1"/>
  <c r="O933" i="1"/>
  <c r="J933" i="1"/>
  <c r="L933" i="1" s="1"/>
  <c r="O871" i="1"/>
  <c r="J871" i="1"/>
  <c r="L871" i="1" s="1"/>
  <c r="H1331" i="1"/>
  <c r="O1327" i="1"/>
  <c r="L1323" i="1"/>
  <c r="O1314" i="1"/>
  <c r="H1308" i="1"/>
  <c r="O1304" i="1"/>
  <c r="O1302" i="1" s="1"/>
  <c r="O1299" i="1"/>
  <c r="O1295" i="1"/>
  <c r="L1290" i="1"/>
  <c r="L1286" i="1"/>
  <c r="O1279" i="1"/>
  <c r="O1274" i="1"/>
  <c r="O1261" i="1"/>
  <c r="H1258" i="1"/>
  <c r="L1255" i="1"/>
  <c r="L1247" i="1"/>
  <c r="L1244" i="1"/>
  <c r="L1240" i="1"/>
  <c r="O1193" i="1"/>
  <c r="O1172" i="1"/>
  <c r="L1159" i="1"/>
  <c r="H1131" i="1"/>
  <c r="J1104" i="1"/>
  <c r="L1104" i="1" s="1"/>
  <c r="O1104" i="1"/>
  <c r="O1102" i="1"/>
  <c r="J1102" i="1"/>
  <c r="L1102" i="1" s="1"/>
  <c r="O1098" i="1"/>
  <c r="J1098" i="1"/>
  <c r="L1098" i="1" s="1"/>
  <c r="J1096" i="1"/>
  <c r="L1096" i="1" s="1"/>
  <c r="O1096" i="1"/>
  <c r="H1086" i="1"/>
  <c r="O1086" i="1"/>
  <c r="J1086" i="1"/>
  <c r="L1086" i="1" s="1"/>
  <c r="O914" i="1"/>
  <c r="J914" i="1"/>
  <c r="L914" i="1" s="1"/>
  <c r="O847" i="1"/>
  <c r="J847" i="1"/>
  <c r="L847" i="1" s="1"/>
  <c r="J1349" i="1"/>
  <c r="L1349" i="1" s="1"/>
  <c r="J1348" i="1"/>
  <c r="L1348" i="1" s="1"/>
  <c r="L1332" i="1"/>
  <c r="H1328" i="1"/>
  <c r="J1327" i="1"/>
  <c r="L1327" i="1" s="1"/>
  <c r="H1325" i="1"/>
  <c r="J1308" i="1"/>
  <c r="L1308" i="1" s="1"/>
  <c r="O1296" i="1"/>
  <c r="J1258" i="1"/>
  <c r="L1258" i="1" s="1"/>
  <c r="H1253" i="1"/>
  <c r="O1244" i="1"/>
  <c r="O1242" i="1"/>
  <c r="O1240" i="1"/>
  <c r="H1228" i="1"/>
  <c r="H1227" i="1"/>
  <c r="H1226" i="1"/>
  <c r="H1225" i="1"/>
  <c r="H1224" i="1"/>
  <c r="H1223" i="1"/>
  <c r="H1222" i="1"/>
  <c r="O1161" i="1"/>
  <c r="O1159" i="1"/>
  <c r="O1157" i="1"/>
  <c r="L1135" i="1"/>
  <c r="J1131" i="1"/>
  <c r="L1131" i="1" s="1"/>
  <c r="J1130" i="1"/>
  <c r="L1130" i="1" s="1"/>
  <c r="L1129" i="1"/>
  <c r="O1128" i="1"/>
  <c r="O1114" i="1"/>
  <c r="O1110" i="1"/>
  <c r="O1092" i="1"/>
  <c r="J1092" i="1"/>
  <c r="L1092" i="1" s="1"/>
  <c r="J1082" i="1"/>
  <c r="L1082" i="1" s="1"/>
  <c r="O1082" i="1"/>
  <c r="O1077" i="1"/>
  <c r="J1077" i="1"/>
  <c r="L1077" i="1" s="1"/>
  <c r="O1067" i="1"/>
  <c r="J1067" i="1"/>
  <c r="L1067" i="1" s="1"/>
  <c r="J1064" i="1"/>
  <c r="L1064" i="1" s="1"/>
  <c r="O1064" i="1"/>
  <c r="O1017" i="1"/>
  <c r="O1009" i="1"/>
  <c r="J1007" i="1"/>
  <c r="L1007" i="1" s="1"/>
  <c r="H1007" i="1"/>
  <c r="J996" i="1"/>
  <c r="L996" i="1" s="1"/>
  <c r="O996" i="1"/>
  <c r="H996" i="1"/>
  <c r="O854" i="1"/>
  <c r="J854" i="1"/>
  <c r="L854" i="1" s="1"/>
  <c r="H841" i="1"/>
  <c r="O841" i="1"/>
  <c r="J841" i="1"/>
  <c r="L841" i="1" s="1"/>
  <c r="H620" i="1"/>
  <c r="J620" i="1"/>
  <c r="L620" i="1" s="1"/>
  <c r="O620" i="1"/>
  <c r="J609" i="1"/>
  <c r="L609" i="1" s="1"/>
  <c r="O609" i="1"/>
  <c r="O593" i="1"/>
  <c r="J593" i="1"/>
  <c r="L593" i="1" s="1"/>
  <c r="O1194" i="1"/>
  <c r="O1138" i="1"/>
  <c r="O1079" i="1"/>
  <c r="J1079" i="1"/>
  <c r="L1079" i="1" s="1"/>
  <c r="J1057" i="1"/>
  <c r="L1057" i="1" s="1"/>
  <c r="O1057" i="1"/>
  <c r="J1005" i="1"/>
  <c r="L1005" i="1" s="1"/>
  <c r="O1005" i="1"/>
  <c r="H1005" i="1"/>
  <c r="O913" i="1"/>
  <c r="J913" i="1"/>
  <c r="L913" i="1" s="1"/>
  <c r="O1349" i="1"/>
  <c r="O1331" i="1"/>
  <c r="H1314" i="1"/>
  <c r="L1312" i="1"/>
  <c r="H1304" i="1"/>
  <c r="H1295" i="1"/>
  <c r="O1287" i="1"/>
  <c r="H1287" i="1"/>
  <c r="L1281" i="1"/>
  <c r="H1279" i="1"/>
  <c r="H1274" i="1"/>
  <c r="L1271" i="1"/>
  <c r="H1261" i="1"/>
  <c r="L1259" i="1"/>
  <c r="L1242" i="1"/>
  <c r="L1229" i="1"/>
  <c r="H1198" i="1"/>
  <c r="H1193" i="1"/>
  <c r="H1172" i="1"/>
  <c r="L1169" i="1"/>
  <c r="L1161" i="1"/>
  <c r="L1157" i="1"/>
  <c r="H1135" i="1"/>
  <c r="H1115" i="1"/>
  <c r="H1111" i="1"/>
  <c r="J1100" i="1"/>
  <c r="L1100" i="1" s="1"/>
  <c r="O1100" i="1"/>
  <c r="O1080" i="1"/>
  <c r="J1080" i="1"/>
  <c r="L1080" i="1" s="1"/>
  <c r="O1071" i="1"/>
  <c r="J1071" i="1"/>
  <c r="L1071" i="1" s="1"/>
  <c r="J1050" i="1"/>
  <c r="L1050" i="1" s="1"/>
  <c r="O1050" i="1"/>
  <c r="O951" i="1"/>
  <c r="J951" i="1"/>
  <c r="L951" i="1" s="1"/>
  <c r="O934" i="1"/>
  <c r="J934" i="1"/>
  <c r="L934" i="1" s="1"/>
  <c r="O1346" i="1"/>
  <c r="O1345" i="1" s="1"/>
  <c r="H1344" i="1"/>
  <c r="L1338" i="1"/>
  <c r="H1336" i="1"/>
  <c r="O1335" i="1"/>
  <c r="H1329" i="1"/>
  <c r="J1328" i="1"/>
  <c r="L1328" i="1" s="1"/>
  <c r="H1326" i="1"/>
  <c r="J1325" i="1"/>
  <c r="L1325" i="1" s="1"/>
  <c r="L1324" i="1"/>
  <c r="L1319" i="1"/>
  <c r="O1310" i="1"/>
  <c r="J1306" i="1"/>
  <c r="L1306" i="1" s="1"/>
  <c r="J1305" i="1"/>
  <c r="L1305" i="1" s="1"/>
  <c r="L1304" i="1"/>
  <c r="H1301" i="1"/>
  <c r="O1297" i="1"/>
  <c r="H1297" i="1"/>
  <c r="H1296" i="1"/>
  <c r="L1293" i="1"/>
  <c r="L1292" i="1"/>
  <c r="O1288" i="1"/>
  <c r="L1279" i="1"/>
  <c r="J1278" i="1"/>
  <c r="L1278" i="1" s="1"/>
  <c r="L1274" i="1"/>
  <c r="H1273" i="1"/>
  <c r="O1265" i="1"/>
  <c r="L1261" i="1"/>
  <c r="H1260" i="1"/>
  <c r="H1257" i="1"/>
  <c r="J1253" i="1"/>
  <c r="L1253" i="1" s="1"/>
  <c r="H1251" i="1"/>
  <c r="O1238" i="1"/>
  <c r="O1237" i="1"/>
  <c r="O1236" i="1"/>
  <c r="O1235" i="1"/>
  <c r="O1234" i="1"/>
  <c r="O1233" i="1"/>
  <c r="O1232" i="1"/>
  <c r="O1231" i="1"/>
  <c r="H1229" i="1"/>
  <c r="J1228" i="1"/>
  <c r="L1228" i="1" s="1"/>
  <c r="L1205" i="1"/>
  <c r="L1204" i="1"/>
  <c r="L1203" i="1"/>
  <c r="L1202" i="1"/>
  <c r="L1201" i="1"/>
  <c r="L1200" i="1"/>
  <c r="L1199" i="1"/>
  <c r="O1198" i="1"/>
  <c r="H1196" i="1"/>
  <c r="H1195" i="1"/>
  <c r="L1193" i="1"/>
  <c r="H1192" i="1"/>
  <c r="H1178" i="1"/>
  <c r="H1177" i="1"/>
  <c r="H1176" i="1"/>
  <c r="H1175" i="1"/>
  <c r="H1174" i="1"/>
  <c r="L1172" i="1"/>
  <c r="H1171" i="1"/>
  <c r="H1154" i="1"/>
  <c r="H1153" i="1"/>
  <c r="H1152" i="1"/>
  <c r="H1151" i="1"/>
  <c r="H1150" i="1"/>
  <c r="H1149" i="1"/>
  <c r="H1148" i="1"/>
  <c r="H1144" i="1"/>
  <c r="H1143" i="1"/>
  <c r="H1142" i="1"/>
  <c r="H1141" i="1"/>
  <c r="H1140" i="1"/>
  <c r="H1139" i="1"/>
  <c r="J1137" i="1"/>
  <c r="L1137" i="1" s="1"/>
  <c r="L1136" i="1"/>
  <c r="O1135" i="1"/>
  <c r="H1134" i="1"/>
  <c r="H1128" i="1"/>
  <c r="J1121" i="1"/>
  <c r="L1121" i="1" s="1"/>
  <c r="O1121" i="1"/>
  <c r="O1115" i="1"/>
  <c r="H1114" i="1"/>
  <c r="O1111" i="1"/>
  <c r="H1110" i="1"/>
  <c r="O1091" i="1"/>
  <c r="J1091" i="1"/>
  <c r="L1091" i="1" s="1"/>
  <c r="H1087" i="1"/>
  <c r="J1087" i="1"/>
  <c r="L1087" i="1" s="1"/>
  <c r="O1087" i="1"/>
  <c r="O1081" i="1"/>
  <c r="J1081" i="1"/>
  <c r="L1081" i="1" s="1"/>
  <c r="O1078" i="1"/>
  <c r="O1076" i="1"/>
  <c r="J1076" i="1"/>
  <c r="L1076" i="1" s="1"/>
  <c r="J1072" i="1"/>
  <c r="L1072" i="1" s="1"/>
  <c r="O1072" i="1"/>
  <c r="O1063" i="1"/>
  <c r="J1063" i="1"/>
  <c r="L1063" i="1" s="1"/>
  <c r="H1050" i="1"/>
  <c r="H1046" i="1"/>
  <c r="J1046" i="1"/>
  <c r="L1046" i="1" s="1"/>
  <c r="O1046" i="1"/>
  <c r="J952" i="1"/>
  <c r="L952" i="1" s="1"/>
  <c r="O952" i="1"/>
  <c r="J935" i="1"/>
  <c r="L935" i="1" s="1"/>
  <c r="O935" i="1"/>
  <c r="J915" i="1"/>
  <c r="L915" i="1" s="1"/>
  <c r="O915" i="1"/>
  <c r="O769" i="1"/>
  <c r="J769" i="1"/>
  <c r="L769" i="1" s="1"/>
  <c r="J761" i="1"/>
  <c r="L761" i="1" s="1"/>
  <c r="O761" i="1"/>
  <c r="L1122" i="1"/>
  <c r="H1121" i="1"/>
  <c r="H1108" i="1"/>
  <c r="H1107" i="1"/>
  <c r="L1105" i="1"/>
  <c r="H1104" i="1"/>
  <c r="L1101" i="1"/>
  <c r="H1100" i="1"/>
  <c r="L1097" i="1"/>
  <c r="H1096" i="1"/>
  <c r="H1072" i="1"/>
  <c r="H1064" i="1"/>
  <c r="H1057" i="1"/>
  <c r="H1013" i="1"/>
  <c r="L1009" i="1"/>
  <c r="J1000" i="1"/>
  <c r="L1000" i="1" s="1"/>
  <c r="H1000" i="1"/>
  <c r="O1000" i="1"/>
  <c r="J961" i="1"/>
  <c r="L961" i="1" s="1"/>
  <c r="H952" i="1"/>
  <c r="J942" i="1"/>
  <c r="L942" i="1" s="1"/>
  <c r="J941" i="1"/>
  <c r="L941" i="1" s="1"/>
  <c r="H935" i="1"/>
  <c r="J926" i="1"/>
  <c r="L926" i="1" s="1"/>
  <c r="J924" i="1"/>
  <c r="L924" i="1" s="1"/>
  <c r="H915" i="1"/>
  <c r="J906" i="1"/>
  <c r="L906" i="1" s="1"/>
  <c r="J905" i="1"/>
  <c r="L905" i="1" s="1"/>
  <c r="O894" i="1"/>
  <c r="O886" i="1"/>
  <c r="J880" i="1"/>
  <c r="L880" i="1" s="1"/>
  <c r="H880" i="1"/>
  <c r="O880" i="1"/>
  <c r="H854" i="1"/>
  <c r="O845" i="1"/>
  <c r="J839" i="1"/>
  <c r="L839" i="1" s="1"/>
  <c r="O839" i="1"/>
  <c r="J835" i="1"/>
  <c r="L835" i="1" s="1"/>
  <c r="O835" i="1"/>
  <c r="H800" i="1"/>
  <c r="O800" i="1"/>
  <c r="H769" i="1"/>
  <c r="J763" i="1"/>
  <c r="L763" i="1" s="1"/>
  <c r="O763" i="1"/>
  <c r="H761" i="1"/>
  <c r="O744" i="1"/>
  <c r="J731" i="1"/>
  <c r="L731" i="1" s="1"/>
  <c r="H731" i="1"/>
  <c r="O731" i="1"/>
  <c r="J594" i="1"/>
  <c r="L594" i="1" s="1"/>
  <c r="O594" i="1"/>
  <c r="J927" i="1"/>
  <c r="L927" i="1" s="1"/>
  <c r="O927" i="1"/>
  <c r="J907" i="1"/>
  <c r="L907" i="1" s="1"/>
  <c r="O907" i="1"/>
  <c r="J898" i="1"/>
  <c r="L898" i="1" s="1"/>
  <c r="O898" i="1"/>
  <c r="H898" i="1"/>
  <c r="O893" i="1"/>
  <c r="J893" i="1"/>
  <c r="L893" i="1" s="1"/>
  <c r="J891" i="1"/>
  <c r="L891" i="1" s="1"/>
  <c r="O891" i="1"/>
  <c r="O885" i="1"/>
  <c r="J885" i="1"/>
  <c r="L885" i="1" s="1"/>
  <c r="J883" i="1"/>
  <c r="L883" i="1" s="1"/>
  <c r="O883" i="1"/>
  <c r="J873" i="1"/>
  <c r="L873" i="1" s="1"/>
  <c r="O873" i="1"/>
  <c r="J869" i="1"/>
  <c r="L869" i="1" s="1"/>
  <c r="O869" i="1"/>
  <c r="J866" i="1"/>
  <c r="L866" i="1" s="1"/>
  <c r="O866" i="1"/>
  <c r="J836" i="1"/>
  <c r="L836" i="1" s="1"/>
  <c r="O836" i="1"/>
  <c r="J832" i="1"/>
  <c r="L832" i="1" s="1"/>
  <c r="O832" i="1"/>
  <c r="J764" i="1"/>
  <c r="L764" i="1" s="1"/>
  <c r="O764" i="1"/>
  <c r="J745" i="1"/>
  <c r="L745" i="1" s="1"/>
  <c r="O745" i="1"/>
  <c r="J496" i="1"/>
  <c r="L496" i="1" s="1"/>
  <c r="O496" i="1"/>
  <c r="J445" i="1"/>
  <c r="L445" i="1" s="1"/>
  <c r="O445" i="1"/>
  <c r="H445" i="1"/>
  <c r="H346" i="1"/>
  <c r="J346" i="1"/>
  <c r="L346" i="1" s="1"/>
  <c r="O346" i="1"/>
  <c r="H333" i="1"/>
  <c r="O333" i="1"/>
  <c r="J333" i="1"/>
  <c r="L333" i="1" s="1"/>
  <c r="H327" i="1"/>
  <c r="J327" i="1"/>
  <c r="L327" i="1" s="1"/>
  <c r="O327" i="1"/>
  <c r="J292" i="1"/>
  <c r="L292" i="1" s="1"/>
  <c r="O292" i="1"/>
  <c r="H292" i="1"/>
  <c r="H1137" i="1"/>
  <c r="H1133" i="1"/>
  <c r="H1130" i="1"/>
  <c r="L1127" i="1"/>
  <c r="H1123" i="1"/>
  <c r="O1108" i="1"/>
  <c r="O1107" i="1"/>
  <c r="L1103" i="1"/>
  <c r="H1102" i="1"/>
  <c r="L1099" i="1"/>
  <c r="H1098" i="1"/>
  <c r="L1094" i="1"/>
  <c r="O1093" i="1"/>
  <c r="H1092" i="1"/>
  <c r="H1088" i="1"/>
  <c r="J1088" i="1"/>
  <c r="L1088" i="1" s="1"/>
  <c r="H1082" i="1"/>
  <c r="L1070" i="1"/>
  <c r="O1069" i="1"/>
  <c r="H1068" i="1"/>
  <c r="L1062" i="1"/>
  <c r="O1061" i="1"/>
  <c r="L1054" i="1"/>
  <c r="H1047" i="1"/>
  <c r="J1047" i="1"/>
  <c r="L1047" i="1" s="1"/>
  <c r="L1036" i="1"/>
  <c r="J1035" i="1"/>
  <c r="L1035" i="1" s="1"/>
  <c r="O1035" i="1"/>
  <c r="H1017" i="1"/>
  <c r="L1013" i="1"/>
  <c r="H1009" i="1"/>
  <c r="J1002" i="1"/>
  <c r="L1002" i="1" s="1"/>
  <c r="O1002" i="1"/>
  <c r="H999" i="1"/>
  <c r="O966" i="1"/>
  <c r="H962" i="1"/>
  <c r="O948" i="1"/>
  <c r="H943" i="1"/>
  <c r="H927" i="1"/>
  <c r="H907" i="1"/>
  <c r="L876" i="1"/>
  <c r="O870" i="1"/>
  <c r="J870" i="1"/>
  <c r="L870" i="1" s="1"/>
  <c r="J859" i="1"/>
  <c r="L859" i="1" s="1"/>
  <c r="O859" i="1"/>
  <c r="H858" i="1"/>
  <c r="L855" i="1"/>
  <c r="J852" i="1"/>
  <c r="L852" i="1" s="1"/>
  <c r="O852" i="1"/>
  <c r="J766" i="1"/>
  <c r="L766" i="1" s="1"/>
  <c r="O766" i="1"/>
  <c r="H764" i="1"/>
  <c r="H745" i="1"/>
  <c r="O608" i="1"/>
  <c r="J608" i="1"/>
  <c r="L608" i="1" s="1"/>
  <c r="H518" i="1"/>
  <c r="O518" i="1"/>
  <c r="H514" i="1"/>
  <c r="O514" i="1"/>
  <c r="H511" i="1"/>
  <c r="O511" i="1"/>
  <c r="H1095" i="1"/>
  <c r="H1091" i="1"/>
  <c r="H1085" i="1"/>
  <c r="L1083" i="1"/>
  <c r="H1079" i="1"/>
  <c r="H1078" i="1"/>
  <c r="H1071" i="1"/>
  <c r="H1067" i="1"/>
  <c r="H1063" i="1"/>
  <c r="L1052" i="1"/>
  <c r="L1051" i="1"/>
  <c r="H1048" i="1"/>
  <c r="L1044" i="1"/>
  <c r="H1019" i="1"/>
  <c r="L1016" i="1"/>
  <c r="H1015" i="1"/>
  <c r="H1011" i="1"/>
  <c r="O1003" i="1"/>
  <c r="O994" i="1"/>
  <c r="H964" i="1"/>
  <c r="H960" i="1"/>
  <c r="H955" i="1"/>
  <c r="H950" i="1"/>
  <c r="H946" i="1"/>
  <c r="H939" i="1"/>
  <c r="H931" i="1"/>
  <c r="H919" i="1"/>
  <c r="H911" i="1"/>
  <c r="H903" i="1"/>
  <c r="L892" i="1"/>
  <c r="H890" i="1"/>
  <c r="L884" i="1"/>
  <c r="O877" i="1"/>
  <c r="L867" i="1"/>
  <c r="H865" i="1"/>
  <c r="L858" i="1"/>
  <c r="J838" i="1"/>
  <c r="L838" i="1" s="1"/>
  <c r="O838" i="1"/>
  <c r="J834" i="1"/>
  <c r="L834" i="1" s="1"/>
  <c r="O834" i="1"/>
  <c r="J734" i="1"/>
  <c r="L734" i="1" s="1"/>
  <c r="O734" i="1"/>
  <c r="L716" i="1"/>
  <c r="J699" i="1"/>
  <c r="L699" i="1" s="1"/>
  <c r="J695" i="1"/>
  <c r="L695" i="1" s="1"/>
  <c r="O695" i="1"/>
  <c r="L688" i="1"/>
  <c r="L686" i="1"/>
  <c r="J680" i="1"/>
  <c r="L680" i="1" s="1"/>
  <c r="O680" i="1"/>
  <c r="J671" i="1"/>
  <c r="L671" i="1" s="1"/>
  <c r="H671" i="1"/>
  <c r="H668" i="1"/>
  <c r="O668" i="1"/>
  <c r="J668" i="1"/>
  <c r="L668" i="1" s="1"/>
  <c r="J667" i="1"/>
  <c r="L667" i="1" s="1"/>
  <c r="O667" i="1"/>
  <c r="L637" i="1"/>
  <c r="J597" i="1"/>
  <c r="L597" i="1" s="1"/>
  <c r="J504" i="1"/>
  <c r="L504" i="1" s="1"/>
  <c r="H462" i="1"/>
  <c r="J462" i="1"/>
  <c r="L462" i="1" s="1"/>
  <c r="O462" i="1"/>
  <c r="H245" i="1"/>
  <c r="O245" i="1"/>
  <c r="J245" i="1"/>
  <c r="L245" i="1" s="1"/>
  <c r="O209" i="1"/>
  <c r="J209" i="1"/>
  <c r="L209" i="1" s="1"/>
  <c r="J696" i="1"/>
  <c r="L696" i="1" s="1"/>
  <c r="O696" i="1"/>
  <c r="J681" i="1"/>
  <c r="L681" i="1" s="1"/>
  <c r="O681" i="1"/>
  <c r="H676" i="1"/>
  <c r="O676" i="1"/>
  <c r="H624" i="1"/>
  <c r="J624" i="1"/>
  <c r="L624" i="1" s="1"/>
  <c r="L607" i="1"/>
  <c r="L599" i="1"/>
  <c r="J598" i="1"/>
  <c r="L598" i="1" s="1"/>
  <c r="O598" i="1"/>
  <c r="L595" i="1"/>
  <c r="H517" i="1"/>
  <c r="O517" i="1"/>
  <c r="H513" i="1"/>
  <c r="O513" i="1"/>
  <c r="H510" i="1"/>
  <c r="O510" i="1"/>
  <c r="J505" i="1"/>
  <c r="L505" i="1" s="1"/>
  <c r="O505" i="1"/>
  <c r="O494" i="1"/>
  <c r="J494" i="1"/>
  <c r="L494" i="1" s="1"/>
  <c r="J430" i="1"/>
  <c r="L430" i="1" s="1"/>
  <c r="O430" i="1"/>
  <c r="J294" i="1"/>
  <c r="L294" i="1" s="1"/>
  <c r="O294" i="1"/>
  <c r="H294" i="1"/>
  <c r="L1006" i="1"/>
  <c r="L1001" i="1"/>
  <c r="L997" i="1"/>
  <c r="H965" i="1"/>
  <c r="L962" i="1"/>
  <c r="H961" i="1"/>
  <c r="L958" i="1"/>
  <c r="H956" i="1"/>
  <c r="H951" i="1"/>
  <c r="L948" i="1"/>
  <c r="H947" i="1"/>
  <c r="L943" i="1"/>
  <c r="H942" i="1"/>
  <c r="H934" i="1"/>
  <c r="H926" i="1"/>
  <c r="H914" i="1"/>
  <c r="H906" i="1"/>
  <c r="H891" i="1"/>
  <c r="H883" i="1"/>
  <c r="H876" i="1"/>
  <c r="O876" i="1"/>
  <c r="H866" i="1"/>
  <c r="H847" i="1"/>
  <c r="L844" i="1"/>
  <c r="J842" i="1"/>
  <c r="L842" i="1" s="1"/>
  <c r="J837" i="1"/>
  <c r="L837" i="1" s="1"/>
  <c r="O837" i="1"/>
  <c r="H836" i="1"/>
  <c r="J833" i="1"/>
  <c r="L833" i="1" s="1"/>
  <c r="O833" i="1"/>
  <c r="H832" i="1"/>
  <c r="J732" i="1"/>
  <c r="L732" i="1" s="1"/>
  <c r="J694" i="1"/>
  <c r="L694" i="1" s="1"/>
  <c r="O694" i="1"/>
  <c r="H672" i="1"/>
  <c r="O672" i="1"/>
  <c r="L662" i="1"/>
  <c r="L660" i="1"/>
  <c r="L658" i="1"/>
  <c r="L656" i="1"/>
  <c r="L654" i="1"/>
  <c r="L651" i="1"/>
  <c r="L649" i="1"/>
  <c r="L648" i="1"/>
  <c r="L646" i="1"/>
  <c r="L643" i="1"/>
  <c r="O624" i="1"/>
  <c r="H622" i="1"/>
  <c r="J622" i="1"/>
  <c r="L622" i="1" s="1"/>
  <c r="O622" i="1"/>
  <c r="H609" i="1"/>
  <c r="J586" i="1"/>
  <c r="L586" i="1" s="1"/>
  <c r="H586" i="1"/>
  <c r="O586" i="1"/>
  <c r="L558" i="1"/>
  <c r="L545" i="1"/>
  <c r="J543" i="1"/>
  <c r="L543" i="1" s="1"/>
  <c r="H519" i="1"/>
  <c r="O519" i="1"/>
  <c r="H515" i="1"/>
  <c r="O515" i="1"/>
  <c r="H505" i="1"/>
  <c r="O499" i="1"/>
  <c r="H496" i="1"/>
  <c r="O479" i="1"/>
  <c r="O451" i="1"/>
  <c r="J451" i="1"/>
  <c r="L451" i="1" s="1"/>
  <c r="J450" i="1"/>
  <c r="L450" i="1" s="1"/>
  <c r="O450" i="1"/>
  <c r="H450" i="1"/>
  <c r="J439" i="1"/>
  <c r="L439" i="1" s="1"/>
  <c r="O439" i="1"/>
  <c r="H439" i="1"/>
  <c r="H386" i="1"/>
  <c r="O386" i="1"/>
  <c r="J369" i="1"/>
  <c r="L369" i="1" s="1"/>
  <c r="O369" i="1"/>
  <c r="H334" i="1"/>
  <c r="O334" i="1"/>
  <c r="J334" i="1"/>
  <c r="L334" i="1" s="1"/>
  <c r="J231" i="1"/>
  <c r="L231" i="1" s="1"/>
  <c r="O231" i="1"/>
  <c r="J227" i="1"/>
  <c r="L227" i="1" s="1"/>
  <c r="O227" i="1"/>
  <c r="J220" i="1"/>
  <c r="L220" i="1" s="1"/>
  <c r="O220" i="1"/>
  <c r="H220" i="1"/>
  <c r="O210" i="1"/>
  <c r="J210" i="1"/>
  <c r="L210" i="1" s="1"/>
  <c r="J183" i="1"/>
  <c r="L183" i="1" s="1"/>
  <c r="O183" i="1"/>
  <c r="O129" i="1"/>
  <c r="J129" i="1"/>
  <c r="L129" i="1" s="1"/>
  <c r="H44" i="1"/>
  <c r="J44" i="1"/>
  <c r="L44" i="1" s="1"/>
  <c r="H941" i="1"/>
  <c r="L938" i="1"/>
  <c r="H937" i="1"/>
  <c r="H933" i="1"/>
  <c r="L930" i="1"/>
  <c r="H929" i="1"/>
  <c r="H924" i="1"/>
  <c r="H917" i="1"/>
  <c r="H913" i="1"/>
  <c r="H909" i="1"/>
  <c r="H905" i="1"/>
  <c r="L902" i="1"/>
  <c r="H901" i="1"/>
  <c r="L899" i="1"/>
  <c r="L897" i="1"/>
  <c r="L894" i="1"/>
  <c r="H893" i="1"/>
  <c r="H889" i="1"/>
  <c r="L886" i="1"/>
  <c r="H885" i="1"/>
  <c r="L881" i="1"/>
  <c r="H875" i="1"/>
  <c r="H873" i="1"/>
  <c r="H870" i="1"/>
  <c r="H869" i="1"/>
  <c r="H864" i="1"/>
  <c r="L862" i="1"/>
  <c r="L860" i="1"/>
  <c r="H859" i="1"/>
  <c r="L741" i="1"/>
  <c r="L740" i="1"/>
  <c r="L739" i="1"/>
  <c r="L738" i="1"/>
  <c r="L737" i="1"/>
  <c r="H699" i="1"/>
  <c r="J697" i="1"/>
  <c r="L697" i="1" s="1"/>
  <c r="O697" i="1"/>
  <c r="L691" i="1"/>
  <c r="L689" i="1"/>
  <c r="L687" i="1"/>
  <c r="L685" i="1"/>
  <c r="L683" i="1"/>
  <c r="H681" i="1"/>
  <c r="H641" i="1"/>
  <c r="H630" i="1"/>
  <c r="J630" i="1"/>
  <c r="L630" i="1" s="1"/>
  <c r="H629" i="1"/>
  <c r="O629" i="1"/>
  <c r="H618" i="1"/>
  <c r="J618" i="1"/>
  <c r="L618" i="1" s="1"/>
  <c r="H605" i="1"/>
  <c r="L600" i="1"/>
  <c r="H594" i="1"/>
  <c r="H570" i="1"/>
  <c r="H557" i="1"/>
  <c r="L551" i="1"/>
  <c r="H544" i="1"/>
  <c r="H516" i="1"/>
  <c r="O516" i="1"/>
  <c r="H512" i="1"/>
  <c r="O512" i="1"/>
  <c r="H509" i="1"/>
  <c r="O509" i="1"/>
  <c r="H501" i="1"/>
  <c r="J498" i="1"/>
  <c r="L498" i="1" s="1"/>
  <c r="H758" i="1"/>
  <c r="O478" i="1"/>
  <c r="J478" i="1"/>
  <c r="L478" i="1" s="1"/>
  <c r="L476" i="1"/>
  <c r="J475" i="1"/>
  <c r="L475" i="1" s="1"/>
  <c r="O475" i="1"/>
  <c r="H451" i="1"/>
  <c r="J427" i="1"/>
  <c r="L427" i="1" s="1"/>
  <c r="O427" i="1"/>
  <c r="H387" i="1"/>
  <c r="O387" i="1"/>
  <c r="H369" i="1"/>
  <c r="H343" i="1"/>
  <c r="O343" i="1"/>
  <c r="J343" i="1"/>
  <c r="L343" i="1" s="1"/>
  <c r="H335" i="1"/>
  <c r="J335" i="1"/>
  <c r="L335" i="1" s="1"/>
  <c r="O335" i="1"/>
  <c r="H458" i="1"/>
  <c r="O458" i="1"/>
  <c r="J458" i="1"/>
  <c r="L458" i="1" s="1"/>
  <c r="H459" i="1"/>
  <c r="J459" i="1"/>
  <c r="L459" i="1" s="1"/>
  <c r="O459" i="1"/>
  <c r="H457" i="1"/>
  <c r="O457" i="1"/>
  <c r="J446" i="1"/>
  <c r="L446" i="1" s="1"/>
  <c r="H446" i="1"/>
  <c r="O446" i="1"/>
  <c r="H345" i="1"/>
  <c r="O345" i="1"/>
  <c r="J345" i="1"/>
  <c r="L345" i="1" s="1"/>
  <c r="L728" i="1"/>
  <c r="L727" i="1"/>
  <c r="L726" i="1"/>
  <c r="L725" i="1"/>
  <c r="L724" i="1"/>
  <c r="L712" i="1"/>
  <c r="L711" i="1"/>
  <c r="L710" i="1"/>
  <c r="H697" i="1"/>
  <c r="H696" i="1"/>
  <c r="H695" i="1"/>
  <c r="H694" i="1"/>
  <c r="L674" i="1"/>
  <c r="L670" i="1"/>
  <c r="L639" i="1"/>
  <c r="H637" i="1"/>
  <c r="L627" i="1"/>
  <c r="H608" i="1"/>
  <c r="H604" i="1"/>
  <c r="H597" i="1"/>
  <c r="H593" i="1"/>
  <c r="H560" i="1"/>
  <c r="L557" i="1"/>
  <c r="L554" i="1"/>
  <c r="H553" i="1"/>
  <c r="L544" i="1"/>
  <c r="H543" i="1"/>
  <c r="H504" i="1"/>
  <c r="L501" i="1"/>
  <c r="H500" i="1"/>
  <c r="L492" i="1"/>
  <c r="H491" i="1"/>
  <c r="L499" i="1"/>
  <c r="H498" i="1"/>
  <c r="H494" i="1"/>
  <c r="L758" i="1"/>
  <c r="H757" i="1"/>
  <c r="L487" i="1"/>
  <c r="H486" i="1"/>
  <c r="H475" i="1"/>
  <c r="L455" i="1"/>
  <c r="H454" i="1"/>
  <c r="J454" i="1"/>
  <c r="L454" i="1" s="1"/>
  <c r="H453" i="1"/>
  <c r="O453" i="1"/>
  <c r="L452" i="1"/>
  <c r="H430" i="1"/>
  <c r="J365" i="1"/>
  <c r="L365" i="1" s="1"/>
  <c r="O365" i="1"/>
  <c r="H365" i="1"/>
  <c r="H348" i="1"/>
  <c r="J348" i="1"/>
  <c r="L348" i="1" s="1"/>
  <c r="O348" i="1"/>
  <c r="H341" i="1"/>
  <c r="O341" i="1"/>
  <c r="J341" i="1"/>
  <c r="L341" i="1" s="1"/>
  <c r="H339" i="1"/>
  <c r="J339" i="1"/>
  <c r="L339" i="1" s="1"/>
  <c r="O339" i="1"/>
  <c r="H331" i="1"/>
  <c r="O331" i="1"/>
  <c r="J331" i="1"/>
  <c r="L331" i="1" s="1"/>
  <c r="H329" i="1"/>
  <c r="J329" i="1"/>
  <c r="L329" i="1" s="1"/>
  <c r="O329" i="1"/>
  <c r="L636" i="1"/>
  <c r="L635" i="1"/>
  <c r="H632" i="1"/>
  <c r="O628" i="1"/>
  <c r="H625" i="1"/>
  <c r="H623" i="1"/>
  <c r="H621" i="1"/>
  <c r="H619" i="1"/>
  <c r="H507" i="1"/>
  <c r="H503" i="1"/>
  <c r="H481" i="1"/>
  <c r="H490" i="1"/>
  <c r="H497" i="1"/>
  <c r="H493" i="1"/>
  <c r="H485" i="1"/>
  <c r="H470" i="1"/>
  <c r="O447" i="1"/>
  <c r="H447" i="1"/>
  <c r="J432" i="1"/>
  <c r="L432" i="1" s="1"/>
  <c r="O432" i="1"/>
  <c r="H429" i="1"/>
  <c r="J379" i="1"/>
  <c r="L379" i="1" s="1"/>
  <c r="O379" i="1"/>
  <c r="J367" i="1"/>
  <c r="L367" i="1" s="1"/>
  <c r="O367" i="1"/>
  <c r="J361" i="1"/>
  <c r="L361" i="1" s="1"/>
  <c r="O361" i="1"/>
  <c r="H342" i="1"/>
  <c r="H332" i="1"/>
  <c r="H484" i="1"/>
  <c r="L479" i="1"/>
  <c r="H478" i="1"/>
  <c r="H474" i="1"/>
  <c r="L470" i="1"/>
  <c r="H469" i="1"/>
  <c r="L466" i="1"/>
  <c r="H465" i="1"/>
  <c r="H464" i="1"/>
  <c r="H461" i="1"/>
  <c r="H456" i="1"/>
  <c r="L443" i="1"/>
  <c r="L434" i="1"/>
  <c r="L431" i="1"/>
  <c r="J384" i="1"/>
  <c r="L384" i="1" s="1"/>
  <c r="O384" i="1"/>
  <c r="L366" i="1"/>
  <c r="L359" i="1"/>
  <c r="L351" i="1"/>
  <c r="L314" i="1"/>
  <c r="L312" i="1"/>
  <c r="L311" i="1"/>
  <c r="L310" i="1"/>
  <c r="L306" i="1"/>
  <c r="L309" i="1"/>
  <c r="L308" i="1"/>
  <c r="L307" i="1"/>
  <c r="J296" i="1"/>
  <c r="L296" i="1" s="1"/>
  <c r="O296" i="1"/>
  <c r="J286" i="1"/>
  <c r="L286" i="1" s="1"/>
  <c r="O286" i="1"/>
  <c r="J284" i="1"/>
  <c r="L284" i="1" s="1"/>
  <c r="O284" i="1"/>
  <c r="O250" i="1"/>
  <c r="J250" i="1"/>
  <c r="L250" i="1" s="1"/>
  <c r="H237" i="1"/>
  <c r="O237" i="1"/>
  <c r="J237" i="1"/>
  <c r="L237" i="1" s="1"/>
  <c r="O194" i="1"/>
  <c r="J194" i="1"/>
  <c r="L194" i="1" s="1"/>
  <c r="H463" i="1"/>
  <c r="H460" i="1"/>
  <c r="H455" i="1"/>
  <c r="L442" i="1"/>
  <c r="H385" i="1"/>
  <c r="O385" i="1"/>
  <c r="L372" i="1"/>
  <c r="J371" i="1"/>
  <c r="L371" i="1" s="1"/>
  <c r="O371" i="1"/>
  <c r="O256" i="1"/>
  <c r="O254" i="1"/>
  <c r="H252" i="1"/>
  <c r="H247" i="1"/>
  <c r="L229" i="1"/>
  <c r="L223" i="1"/>
  <c r="O216" i="1"/>
  <c r="O207" i="1"/>
  <c r="H206" i="1"/>
  <c r="L200" i="1"/>
  <c r="O199" i="1"/>
  <c r="H198" i="1"/>
  <c r="L127" i="1"/>
  <c r="L122" i="1"/>
  <c r="H61" i="1"/>
  <c r="O61" i="1"/>
  <c r="J61" i="1"/>
  <c r="L61" i="1" s="1"/>
  <c r="O17" i="1"/>
  <c r="J17" i="1"/>
  <c r="L17" i="1" s="1"/>
  <c r="O12" i="1"/>
  <c r="J12" i="1"/>
  <c r="L12" i="1" s="1"/>
  <c r="O7" i="1"/>
  <c r="J7" i="1"/>
  <c r="L7" i="1" s="1"/>
  <c r="L305" i="1"/>
  <c r="L304" i="1"/>
  <c r="L303" i="1"/>
  <c r="L302" i="1"/>
  <c r="L301" i="1"/>
  <c r="L300" i="1"/>
  <c r="L299" i="1"/>
  <c r="L298" i="1"/>
  <c r="L297" i="1"/>
  <c r="L290" i="1"/>
  <c r="L295" i="1"/>
  <c r="L293" i="1"/>
  <c r="L270" i="1"/>
  <c r="L269" i="1"/>
  <c r="L267" i="1"/>
  <c r="L266" i="1"/>
  <c r="L265" i="1"/>
  <c r="L264" i="1"/>
  <c r="L262" i="1"/>
  <c r="L260" i="1"/>
  <c r="L259" i="1"/>
  <c r="L258" i="1"/>
  <c r="L256" i="1"/>
  <c r="L254" i="1"/>
  <c r="H250" i="1"/>
  <c r="H231" i="1"/>
  <c r="H229" i="1"/>
  <c r="H227" i="1"/>
  <c r="H223" i="1"/>
  <c r="H215" i="1"/>
  <c r="O215" i="1"/>
  <c r="H210" i="1"/>
  <c r="H194" i="1"/>
  <c r="H183" i="1"/>
  <c r="H171" i="1"/>
  <c r="O171" i="1"/>
  <c r="J171" i="1"/>
  <c r="L171" i="1" s="1"/>
  <c r="H167" i="1"/>
  <c r="O167" i="1"/>
  <c r="J167" i="1"/>
  <c r="L167" i="1" s="1"/>
  <c r="H163" i="1"/>
  <c r="O163" i="1"/>
  <c r="J163" i="1"/>
  <c r="L163" i="1" s="1"/>
  <c r="H159" i="1"/>
  <c r="O159" i="1"/>
  <c r="J159" i="1"/>
  <c r="L159" i="1" s="1"/>
  <c r="H158" i="1"/>
  <c r="O158" i="1"/>
  <c r="J158" i="1"/>
  <c r="L158" i="1" s="1"/>
  <c r="H154" i="1"/>
  <c r="O154" i="1"/>
  <c r="J154" i="1"/>
  <c r="L154" i="1" s="1"/>
  <c r="H146" i="1"/>
  <c r="O146" i="1"/>
  <c r="J146" i="1"/>
  <c r="L146" i="1" s="1"/>
  <c r="H142" i="1"/>
  <c r="O142" i="1"/>
  <c r="J142" i="1"/>
  <c r="L142" i="1" s="1"/>
  <c r="H138" i="1"/>
  <c r="O138" i="1"/>
  <c r="J138" i="1"/>
  <c r="L138" i="1" s="1"/>
  <c r="H133" i="1"/>
  <c r="O133" i="1"/>
  <c r="J133" i="1"/>
  <c r="L133" i="1" s="1"/>
  <c r="H129" i="1"/>
  <c r="J110" i="1"/>
  <c r="L110" i="1" s="1"/>
  <c r="H110" i="1"/>
  <c r="O110" i="1"/>
  <c r="O75" i="1"/>
  <c r="J75" i="1"/>
  <c r="L75" i="1" s="1"/>
  <c r="O70" i="1"/>
  <c r="J70" i="1"/>
  <c r="L70" i="1" s="1"/>
  <c r="H50" i="1"/>
  <c r="O50" i="1"/>
  <c r="J50" i="1"/>
  <c r="L50" i="1" s="1"/>
  <c r="L381" i="1"/>
  <c r="L374" i="1"/>
  <c r="L373" i="1"/>
  <c r="L363" i="1"/>
  <c r="L358" i="1"/>
  <c r="L352" i="1"/>
  <c r="H349" i="1"/>
  <c r="H347" i="1"/>
  <c r="H340" i="1"/>
  <c r="H336" i="1"/>
  <c r="H330" i="1"/>
  <c r="H328" i="1"/>
  <c r="H282" i="1"/>
  <c r="H281" i="1"/>
  <c r="H280" i="1"/>
  <c r="H279" i="1"/>
  <c r="H755" i="1"/>
  <c r="H754" i="1"/>
  <c r="H753" i="1"/>
  <c r="H278" i="1"/>
  <c r="H277" i="1"/>
  <c r="H276" i="1"/>
  <c r="H275" i="1"/>
  <c r="H274" i="1"/>
  <c r="H273" i="1"/>
  <c r="H272" i="1"/>
  <c r="H271" i="1"/>
  <c r="H249" i="1"/>
  <c r="L247" i="1"/>
  <c r="O246" i="1"/>
  <c r="O242" i="1"/>
  <c r="L240" i="1"/>
  <c r="O238" i="1"/>
  <c r="L236" i="1"/>
  <c r="O230" i="1"/>
  <c r="H230" i="1"/>
  <c r="O224" i="1"/>
  <c r="H224" i="1"/>
  <c r="L221" i="1"/>
  <c r="H207" i="1"/>
  <c r="H199" i="1"/>
  <c r="L131" i="1"/>
  <c r="J116" i="1"/>
  <c r="L116" i="1" s="1"/>
  <c r="H116" i="1"/>
  <c r="O116" i="1"/>
  <c r="H161" i="1"/>
  <c r="H750" i="1"/>
  <c r="H156" i="1"/>
  <c r="H152" i="1"/>
  <c r="H148" i="1"/>
  <c r="H144" i="1"/>
  <c r="H136" i="1"/>
  <c r="L115" i="1"/>
  <c r="L113" i="1"/>
  <c r="L111" i="1"/>
  <c r="H108" i="1"/>
  <c r="H96" i="1"/>
  <c r="H95" i="1"/>
  <c r="H74" i="1"/>
  <c r="H69" i="1"/>
  <c r="L66" i="1"/>
  <c r="L65" i="1"/>
  <c r="L64" i="1"/>
  <c r="O60" i="1"/>
  <c r="H57" i="1"/>
  <c r="H55" i="1"/>
  <c r="H54" i="1"/>
  <c r="O46" i="1"/>
  <c r="H42" i="1"/>
  <c r="H20" i="1"/>
  <c r="H16" i="1"/>
  <c r="H6" i="1"/>
  <c r="H4" i="1"/>
  <c r="O173" i="1"/>
  <c r="H172" i="1"/>
  <c r="O169" i="1"/>
  <c r="H168" i="1"/>
  <c r="H164" i="1"/>
  <c r="H160" i="1"/>
  <c r="H749" i="1"/>
  <c r="H155" i="1"/>
  <c r="H151" i="1"/>
  <c r="H147" i="1"/>
  <c r="H143" i="1"/>
  <c r="H139" i="1"/>
  <c r="H63" i="1"/>
  <c r="H73" i="1"/>
  <c r="H62" i="1"/>
  <c r="O59" i="1"/>
  <c r="H56" i="1"/>
  <c r="H49" i="1"/>
  <c r="H48" i="1"/>
  <c r="O4" i="1"/>
  <c r="H209" i="1"/>
  <c r="H205" i="1"/>
  <c r="H197" i="1"/>
  <c r="H174" i="1"/>
  <c r="J173" i="1"/>
  <c r="L173" i="1" s="1"/>
  <c r="H170" i="1"/>
  <c r="J169" i="1"/>
  <c r="L169" i="1" s="1"/>
  <c r="H166" i="1"/>
  <c r="J165" i="1"/>
  <c r="L165" i="1" s="1"/>
  <c r="H162" i="1"/>
  <c r="J161" i="1"/>
  <c r="L161" i="1" s="1"/>
  <c r="H751" i="1"/>
  <c r="J750" i="1"/>
  <c r="L750" i="1" s="1"/>
  <c r="H157" i="1"/>
  <c r="J156" i="1"/>
  <c r="L156" i="1" s="1"/>
  <c r="H153" i="1"/>
  <c r="J152" i="1"/>
  <c r="L152" i="1" s="1"/>
  <c r="H149" i="1"/>
  <c r="J148" i="1"/>
  <c r="L148" i="1" s="1"/>
  <c r="H145" i="1"/>
  <c r="J144" i="1"/>
  <c r="L144" i="1" s="1"/>
  <c r="H141" i="1"/>
  <c r="J136" i="1"/>
  <c r="L136" i="1" s="1"/>
  <c r="H132" i="1"/>
  <c r="L108" i="1"/>
  <c r="L96" i="1"/>
  <c r="L76" i="1"/>
  <c r="H75" i="1"/>
  <c r="L71" i="1"/>
  <c r="H70" i="1"/>
  <c r="O73" i="1"/>
  <c r="L57" i="1"/>
  <c r="L54" i="1"/>
  <c r="H17" i="1"/>
  <c r="H12" i="1"/>
  <c r="H7" i="1"/>
  <c r="S1193" i="1"/>
  <c r="Q1190" i="1"/>
  <c r="P1190" i="1"/>
  <c r="H1355" i="1"/>
  <c r="O1334" i="1"/>
  <c r="H1334" i="1"/>
  <c r="O1332" i="1"/>
  <c r="H1332" i="1"/>
  <c r="O1324" i="1"/>
  <c r="H1324" i="1"/>
  <c r="O1320" i="1"/>
  <c r="H1320" i="1"/>
  <c r="O1316" i="1"/>
  <c r="H1316" i="1"/>
  <c r="O1312" i="1"/>
  <c r="H1312" i="1"/>
  <c r="S1308" i="1"/>
  <c r="H1306" i="1"/>
  <c r="S1304" i="1"/>
  <c r="S1292" i="1"/>
  <c r="O1290" i="1"/>
  <c r="H1290" i="1"/>
  <c r="O1286" i="1"/>
  <c r="H1286" i="1"/>
  <c r="S1279" i="1"/>
  <c r="H1278" i="1"/>
  <c r="Q1270" i="1"/>
  <c r="S1271" i="1"/>
  <c r="S1346" i="1"/>
  <c r="S1356" i="1"/>
  <c r="J1356" i="1"/>
  <c r="L1356" i="1" s="1"/>
  <c r="H1354" i="1"/>
  <c r="Q1342" i="1"/>
  <c r="O1338" i="1"/>
  <c r="O1336" i="1"/>
  <c r="O1321" i="1"/>
  <c r="H1321" i="1"/>
  <c r="O1317" i="1"/>
  <c r="H1317" i="1"/>
  <c r="O1313" i="1"/>
  <c r="H1313" i="1"/>
  <c r="P1309" i="1"/>
  <c r="S1307" i="1"/>
  <c r="J1307" i="1"/>
  <c r="L1307" i="1" s="1"/>
  <c r="H1305" i="1"/>
  <c r="J1303" i="1"/>
  <c r="L1303" i="1" s="1"/>
  <c r="S1280" i="1"/>
  <c r="J1280" i="1"/>
  <c r="L1280" i="1" s="1"/>
  <c r="L1276" i="1"/>
  <c r="P1302" i="1"/>
  <c r="H1356" i="1"/>
  <c r="Q1353" i="1"/>
  <c r="S1354" i="1"/>
  <c r="O1323" i="1"/>
  <c r="H1323" i="1"/>
  <c r="O1319" i="1"/>
  <c r="H1319" i="1"/>
  <c r="O1315" i="1"/>
  <c r="H1315" i="1"/>
  <c r="O1311" i="1"/>
  <c r="H1311" i="1"/>
  <c r="S1310" i="1"/>
  <c r="H1307" i="1"/>
  <c r="S1305" i="1"/>
  <c r="H1303" i="1"/>
  <c r="Q1299" i="1"/>
  <c r="S1300" i="1"/>
  <c r="O1289" i="1"/>
  <c r="H1289" i="1"/>
  <c r="S1281" i="1"/>
  <c r="H1280" i="1"/>
  <c r="P1275" i="1"/>
  <c r="P1252" i="1"/>
  <c r="J1227" i="1"/>
  <c r="L1227" i="1" s="1"/>
  <c r="J1226" i="1"/>
  <c r="L1226" i="1" s="1"/>
  <c r="J1225" i="1"/>
  <c r="L1225" i="1" s="1"/>
  <c r="J1224" i="1"/>
  <c r="L1224" i="1" s="1"/>
  <c r="J1223" i="1"/>
  <c r="L1223" i="1" s="1"/>
  <c r="J1222" i="1"/>
  <c r="L1222" i="1" s="1"/>
  <c r="J1196" i="1"/>
  <c r="L1196" i="1" s="1"/>
  <c r="J1195" i="1"/>
  <c r="L1195" i="1" s="1"/>
  <c r="J1178" i="1"/>
  <c r="L1178" i="1" s="1"/>
  <c r="J1177" i="1"/>
  <c r="L1177" i="1" s="1"/>
  <c r="J1176" i="1"/>
  <c r="L1176" i="1" s="1"/>
  <c r="J1175" i="1"/>
  <c r="L1175" i="1" s="1"/>
  <c r="J1174" i="1"/>
  <c r="L1174" i="1" s="1"/>
  <c r="S1169" i="1"/>
  <c r="J1154" i="1"/>
  <c r="L1154" i="1" s="1"/>
  <c r="J1153" i="1"/>
  <c r="L1153" i="1" s="1"/>
  <c r="J1152" i="1"/>
  <c r="L1152" i="1" s="1"/>
  <c r="J1151" i="1"/>
  <c r="L1151" i="1" s="1"/>
  <c r="J1150" i="1"/>
  <c r="L1150" i="1" s="1"/>
  <c r="J1149" i="1"/>
  <c r="L1149" i="1" s="1"/>
  <c r="J1148" i="1"/>
  <c r="L1148" i="1" s="1"/>
  <c r="J1144" i="1"/>
  <c r="L1144" i="1" s="1"/>
  <c r="J1143" i="1"/>
  <c r="L1143" i="1" s="1"/>
  <c r="J1142" i="1"/>
  <c r="L1142" i="1" s="1"/>
  <c r="J1141" i="1"/>
  <c r="L1141" i="1" s="1"/>
  <c r="J1140" i="1"/>
  <c r="L1140" i="1" s="1"/>
  <c r="J1139" i="1"/>
  <c r="L1139" i="1" s="1"/>
  <c r="S1121" i="1"/>
  <c r="J1108" i="1"/>
  <c r="L1108" i="1" s="1"/>
  <c r="J1107" i="1"/>
  <c r="L1107" i="1" s="1"/>
  <c r="P1084" i="1"/>
  <c r="Q1008" i="1"/>
  <c r="S1009" i="1"/>
  <c r="S971" i="1"/>
  <c r="H1238" i="1"/>
  <c r="H1237" i="1"/>
  <c r="H1236" i="1"/>
  <c r="H1235" i="1"/>
  <c r="H1234" i="1"/>
  <c r="H1233" i="1"/>
  <c r="H1232" i="1"/>
  <c r="S1231" i="1"/>
  <c r="H1231" i="1"/>
  <c r="H1205" i="1"/>
  <c r="H1204" i="1"/>
  <c r="H1203" i="1"/>
  <c r="H1202" i="1"/>
  <c r="H1201" i="1"/>
  <c r="H1200" i="1"/>
  <c r="H1184" i="1"/>
  <c r="H1183" i="1"/>
  <c r="S1182" i="1"/>
  <c r="S1080" i="1"/>
  <c r="S1076" i="1"/>
  <c r="O1058" i="1"/>
  <c r="H1058" i="1"/>
  <c r="O1054" i="1"/>
  <c r="H1054" i="1"/>
  <c r="O1051" i="1"/>
  <c r="H1051" i="1"/>
  <c r="S1050" i="1"/>
  <c r="O1044" i="1"/>
  <c r="H1044" i="1"/>
  <c r="O1040" i="1"/>
  <c r="H1040" i="1"/>
  <c r="O1036" i="1"/>
  <c r="H1036" i="1"/>
  <c r="S1035" i="1"/>
  <c r="O1032" i="1"/>
  <c r="H1032" i="1"/>
  <c r="S1030" i="1"/>
  <c r="J1030" i="1"/>
  <c r="L1030" i="1" s="1"/>
  <c r="O1028" i="1"/>
  <c r="H1028" i="1"/>
  <c r="S1026" i="1"/>
  <c r="J1026" i="1"/>
  <c r="L1026" i="1" s="1"/>
  <c r="O1024" i="1"/>
  <c r="H1024" i="1"/>
  <c r="J1022" i="1"/>
  <c r="L1022" i="1" s="1"/>
  <c r="H992" i="1"/>
  <c r="J992" i="1"/>
  <c r="L992" i="1" s="1"/>
  <c r="H991" i="1"/>
  <c r="J991" i="1"/>
  <c r="L991" i="1" s="1"/>
  <c r="H990" i="1"/>
  <c r="J990" i="1"/>
  <c r="L990" i="1" s="1"/>
  <c r="H989" i="1"/>
  <c r="J989" i="1"/>
  <c r="L989" i="1" s="1"/>
  <c r="H986" i="1"/>
  <c r="J986" i="1"/>
  <c r="L986" i="1" s="1"/>
  <c r="H985" i="1"/>
  <c r="J985" i="1"/>
  <c r="L985" i="1" s="1"/>
  <c r="H984" i="1"/>
  <c r="J984" i="1"/>
  <c r="L984" i="1" s="1"/>
  <c r="H983" i="1"/>
  <c r="J983" i="1"/>
  <c r="L983" i="1" s="1"/>
  <c r="H982" i="1"/>
  <c r="J982" i="1"/>
  <c r="L982" i="1" s="1"/>
  <c r="H981" i="1"/>
  <c r="J981" i="1"/>
  <c r="L981" i="1" s="1"/>
  <c r="H980" i="1"/>
  <c r="J980" i="1"/>
  <c r="L980" i="1" s="1"/>
  <c r="H979" i="1"/>
  <c r="J979" i="1"/>
  <c r="L979" i="1" s="1"/>
  <c r="H978" i="1"/>
  <c r="J978" i="1"/>
  <c r="L978" i="1" s="1"/>
  <c r="H977" i="1"/>
  <c r="J977" i="1"/>
  <c r="L977" i="1" s="1"/>
  <c r="H976" i="1"/>
  <c r="J976" i="1"/>
  <c r="L976" i="1" s="1"/>
  <c r="H975" i="1"/>
  <c r="J975" i="1"/>
  <c r="L975" i="1" s="1"/>
  <c r="H974" i="1"/>
  <c r="J974" i="1"/>
  <c r="L974" i="1" s="1"/>
  <c r="H973" i="1"/>
  <c r="J973" i="1"/>
  <c r="L973" i="1" s="1"/>
  <c r="H972" i="1"/>
  <c r="J972" i="1"/>
  <c r="L972" i="1" s="1"/>
  <c r="H971" i="1"/>
  <c r="J971" i="1"/>
  <c r="L971" i="1" s="1"/>
  <c r="S1303" i="1"/>
  <c r="S1276" i="1"/>
  <c r="Q1089" i="1"/>
  <c r="S1083" i="1"/>
  <c r="H1081" i="1"/>
  <c r="S1079" i="1"/>
  <c r="L1078" i="1"/>
  <c r="H1077" i="1"/>
  <c r="Q1074" i="1"/>
  <c r="S1075" i="1"/>
  <c r="Q1060" i="1"/>
  <c r="O1059" i="1"/>
  <c r="H1059" i="1"/>
  <c r="O1055" i="1"/>
  <c r="H1055" i="1"/>
  <c r="O1052" i="1"/>
  <c r="H1052" i="1"/>
  <c r="O1045" i="1"/>
  <c r="H1045" i="1"/>
  <c r="O1041" i="1"/>
  <c r="H1041" i="1"/>
  <c r="O1037" i="1"/>
  <c r="H1037" i="1"/>
  <c r="L1032" i="1"/>
  <c r="L1028" i="1"/>
  <c r="L1024" i="1"/>
  <c r="P1021" i="1"/>
  <c r="P925" i="1"/>
  <c r="S1247" i="1"/>
  <c r="S1191" i="1"/>
  <c r="S1133" i="1"/>
  <c r="S1082" i="1"/>
  <c r="H1080" i="1"/>
  <c r="S1078" i="1"/>
  <c r="H1076" i="1"/>
  <c r="O1056" i="1"/>
  <c r="O1042" i="1"/>
  <c r="H1042" i="1"/>
  <c r="O1038" i="1"/>
  <c r="H1038" i="1"/>
  <c r="P1034" i="1"/>
  <c r="S1032" i="1"/>
  <c r="H1030" i="1"/>
  <c r="S1028" i="1"/>
  <c r="H1026" i="1"/>
  <c r="S1024" i="1"/>
  <c r="H1022" i="1"/>
  <c r="L1017" i="1"/>
  <c r="O992" i="1"/>
  <c r="O991" i="1"/>
  <c r="O990" i="1"/>
  <c r="O989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L966" i="1"/>
  <c r="S901" i="1"/>
  <c r="J872" i="1"/>
  <c r="L872" i="1" s="1"/>
  <c r="S864" i="1"/>
  <c r="Q856" i="1"/>
  <c r="P849" i="1"/>
  <c r="P874" i="1"/>
  <c r="P840" i="1"/>
  <c r="O572" i="1"/>
  <c r="Q882" i="1"/>
  <c r="O881" i="1"/>
  <c r="H881" i="1"/>
  <c r="H872" i="1"/>
  <c r="S870" i="1"/>
  <c r="O861" i="1"/>
  <c r="H861" i="1"/>
  <c r="O857" i="1"/>
  <c r="Q831" i="1"/>
  <c r="S832" i="1"/>
  <c r="L709" i="1"/>
  <c r="S1022" i="1"/>
  <c r="S926" i="1"/>
  <c r="S873" i="1"/>
  <c r="H871" i="1"/>
  <c r="Q868" i="1"/>
  <c r="S869" i="1"/>
  <c r="O862" i="1"/>
  <c r="O858" i="1"/>
  <c r="S857" i="1"/>
  <c r="L857" i="1"/>
  <c r="L816" i="1"/>
  <c r="L815" i="1"/>
  <c r="L814" i="1"/>
  <c r="L813" i="1"/>
  <c r="L811" i="1"/>
  <c r="L810" i="1"/>
  <c r="L809" i="1"/>
  <c r="L803" i="1"/>
  <c r="L802" i="1"/>
  <c r="L796" i="1"/>
  <c r="L795" i="1"/>
  <c r="L794" i="1"/>
  <c r="L793" i="1"/>
  <c r="L792" i="1"/>
  <c r="L791" i="1"/>
  <c r="L790" i="1"/>
  <c r="L775" i="1"/>
  <c r="L774" i="1"/>
  <c r="L773" i="1"/>
  <c r="L772" i="1"/>
  <c r="L771" i="1"/>
  <c r="S802" i="1"/>
  <c r="S771" i="1"/>
  <c r="S737" i="1"/>
  <c r="S709" i="1"/>
  <c r="S680" i="1"/>
  <c r="O641" i="1"/>
  <c r="O637" i="1"/>
  <c r="O632" i="1"/>
  <c r="J625" i="1"/>
  <c r="L625" i="1" s="1"/>
  <c r="O623" i="1"/>
  <c r="J621" i="1"/>
  <c r="L621" i="1" s="1"/>
  <c r="O619" i="1"/>
  <c r="H617" i="1"/>
  <c r="J617" i="1"/>
  <c r="L617" i="1" s="1"/>
  <c r="H616" i="1"/>
  <c r="J616" i="1"/>
  <c r="L616" i="1" s="1"/>
  <c r="H614" i="1"/>
  <c r="J614" i="1"/>
  <c r="L614" i="1" s="1"/>
  <c r="H613" i="1"/>
  <c r="J613" i="1"/>
  <c r="L613" i="1" s="1"/>
  <c r="P601" i="1"/>
  <c r="L570" i="1"/>
  <c r="O561" i="1"/>
  <c r="P612" i="1"/>
  <c r="S573" i="1"/>
  <c r="S562" i="1"/>
  <c r="S790" i="1"/>
  <c r="S761" i="1"/>
  <c r="S724" i="1"/>
  <c r="S694" i="1"/>
  <c r="O639" i="1"/>
  <c r="H639" i="1"/>
  <c r="O635" i="1"/>
  <c r="H635" i="1"/>
  <c r="O625" i="1"/>
  <c r="J623" i="1"/>
  <c r="L623" i="1" s="1"/>
  <c r="O621" i="1"/>
  <c r="J619" i="1"/>
  <c r="L619" i="1" s="1"/>
  <c r="O617" i="1"/>
  <c r="O616" i="1"/>
  <c r="O614" i="1"/>
  <c r="O613" i="1"/>
  <c r="H584" i="1"/>
  <c r="J584" i="1"/>
  <c r="L584" i="1" s="1"/>
  <c r="H583" i="1"/>
  <c r="J583" i="1"/>
  <c r="L583" i="1" s="1"/>
  <c r="H582" i="1"/>
  <c r="J582" i="1"/>
  <c r="L582" i="1" s="1"/>
  <c r="H581" i="1"/>
  <c r="J581" i="1"/>
  <c r="L581" i="1" s="1"/>
  <c r="H580" i="1"/>
  <c r="J580" i="1"/>
  <c r="L580" i="1" s="1"/>
  <c r="H579" i="1"/>
  <c r="J579" i="1"/>
  <c r="L579" i="1" s="1"/>
  <c r="H578" i="1"/>
  <c r="J578" i="1"/>
  <c r="L578" i="1" s="1"/>
  <c r="H577" i="1"/>
  <c r="J577" i="1"/>
  <c r="L577" i="1" s="1"/>
  <c r="H576" i="1"/>
  <c r="J576" i="1"/>
  <c r="L576" i="1" s="1"/>
  <c r="H575" i="1"/>
  <c r="J575" i="1"/>
  <c r="L575" i="1" s="1"/>
  <c r="H574" i="1"/>
  <c r="J574" i="1"/>
  <c r="L574" i="1" s="1"/>
  <c r="H573" i="1"/>
  <c r="J573" i="1"/>
  <c r="L573" i="1" s="1"/>
  <c r="P569" i="1"/>
  <c r="H566" i="1"/>
  <c r="J566" i="1"/>
  <c r="L566" i="1" s="1"/>
  <c r="H565" i="1"/>
  <c r="J565" i="1"/>
  <c r="L565" i="1" s="1"/>
  <c r="H563" i="1"/>
  <c r="J563" i="1"/>
  <c r="L563" i="1" s="1"/>
  <c r="H562" i="1"/>
  <c r="J562" i="1"/>
  <c r="L562" i="1" s="1"/>
  <c r="O640" i="1"/>
  <c r="H640" i="1"/>
  <c r="O636" i="1"/>
  <c r="H636" i="1"/>
  <c r="S613" i="1"/>
  <c r="L605" i="1"/>
  <c r="Q590" i="1"/>
  <c r="S591" i="1"/>
  <c r="Q567" i="1"/>
  <c r="P550" i="1"/>
  <c r="S602" i="1"/>
  <c r="S570" i="1"/>
  <c r="S551" i="1"/>
  <c r="J519" i="1"/>
  <c r="L519" i="1" s="1"/>
  <c r="J518" i="1"/>
  <c r="L518" i="1" s="1"/>
  <c r="J517" i="1"/>
  <c r="L517" i="1" s="1"/>
  <c r="J516" i="1"/>
  <c r="L516" i="1" s="1"/>
  <c r="J515" i="1"/>
  <c r="L515" i="1" s="1"/>
  <c r="J514" i="1"/>
  <c r="L514" i="1" s="1"/>
  <c r="J513" i="1"/>
  <c r="L513" i="1" s="1"/>
  <c r="J512" i="1"/>
  <c r="L512" i="1" s="1"/>
  <c r="J511" i="1"/>
  <c r="L511" i="1" s="1"/>
  <c r="J510" i="1"/>
  <c r="L510" i="1" s="1"/>
  <c r="J509" i="1"/>
  <c r="L509" i="1" s="1"/>
  <c r="L441" i="1"/>
  <c r="O440" i="1"/>
  <c r="H440" i="1"/>
  <c r="S442" i="1"/>
  <c r="Q433" i="1"/>
  <c r="S434" i="1"/>
  <c r="J424" i="1"/>
  <c r="L424" i="1" s="1"/>
  <c r="H424" i="1"/>
  <c r="J423" i="1"/>
  <c r="L423" i="1" s="1"/>
  <c r="H423" i="1"/>
  <c r="J422" i="1"/>
  <c r="L422" i="1" s="1"/>
  <c r="H422" i="1"/>
  <c r="J421" i="1"/>
  <c r="L421" i="1" s="1"/>
  <c r="H421" i="1"/>
  <c r="J419" i="1"/>
  <c r="L419" i="1" s="1"/>
  <c r="H419" i="1"/>
  <c r="J417" i="1"/>
  <c r="L417" i="1" s="1"/>
  <c r="H417" i="1"/>
  <c r="J416" i="1"/>
  <c r="L416" i="1" s="1"/>
  <c r="H416" i="1"/>
  <c r="J415" i="1"/>
  <c r="L415" i="1" s="1"/>
  <c r="H415" i="1"/>
  <c r="J414" i="1"/>
  <c r="L414" i="1" s="1"/>
  <c r="H414" i="1"/>
  <c r="J413" i="1"/>
  <c r="L413" i="1" s="1"/>
  <c r="H413" i="1"/>
  <c r="S441" i="1"/>
  <c r="L440" i="1"/>
  <c r="H436" i="1"/>
  <c r="H442" i="1"/>
  <c r="H434" i="1"/>
  <c r="O442" i="1"/>
  <c r="O434" i="1"/>
  <c r="O424" i="1"/>
  <c r="O423" i="1"/>
  <c r="O422" i="1"/>
  <c r="O421" i="1"/>
  <c r="O419" i="1"/>
  <c r="O417" i="1"/>
  <c r="O416" i="1"/>
  <c r="O415" i="1"/>
  <c r="O414" i="1"/>
  <c r="O413" i="1"/>
  <c r="S412" i="1"/>
  <c r="H412" i="1"/>
  <c r="J387" i="1"/>
  <c r="L387" i="1" s="1"/>
  <c r="J386" i="1"/>
  <c r="L386" i="1" s="1"/>
  <c r="J385" i="1"/>
  <c r="L385" i="1" s="1"/>
  <c r="O383" i="1"/>
  <c r="H383" i="1"/>
  <c r="O378" i="1"/>
  <c r="H378" i="1"/>
  <c r="O372" i="1"/>
  <c r="H372" i="1"/>
  <c r="O368" i="1"/>
  <c r="H368" i="1"/>
  <c r="O364" i="1"/>
  <c r="H364" i="1"/>
  <c r="O360" i="1"/>
  <c r="H360" i="1"/>
  <c r="O351" i="1"/>
  <c r="H351" i="1"/>
  <c r="J347" i="1"/>
  <c r="L347" i="1" s="1"/>
  <c r="J342" i="1"/>
  <c r="L342" i="1" s="1"/>
  <c r="J336" i="1"/>
  <c r="L336" i="1" s="1"/>
  <c r="J332" i="1"/>
  <c r="L332" i="1" s="1"/>
  <c r="J328" i="1"/>
  <c r="L328" i="1" s="1"/>
  <c r="P283" i="1"/>
  <c r="L282" i="1"/>
  <c r="L281" i="1"/>
  <c r="L280" i="1"/>
  <c r="L279" i="1"/>
  <c r="L755" i="1"/>
  <c r="L754" i="1"/>
  <c r="L753" i="1"/>
  <c r="L278" i="1"/>
  <c r="L277" i="1"/>
  <c r="L276" i="1"/>
  <c r="L275" i="1"/>
  <c r="L274" i="1"/>
  <c r="L273" i="1"/>
  <c r="L272" i="1"/>
  <c r="L271" i="1"/>
  <c r="O380" i="1"/>
  <c r="H380" i="1"/>
  <c r="O374" i="1"/>
  <c r="H374" i="1"/>
  <c r="P350" i="1"/>
  <c r="O370" i="1"/>
  <c r="H370" i="1"/>
  <c r="O366" i="1"/>
  <c r="H366" i="1"/>
  <c r="O362" i="1"/>
  <c r="H362" i="1"/>
  <c r="O358" i="1"/>
  <c r="H358" i="1"/>
  <c r="O347" i="1"/>
  <c r="O342" i="1"/>
  <c r="O336" i="1"/>
  <c r="O332" i="1"/>
  <c r="O328" i="1"/>
  <c r="J326" i="1"/>
  <c r="L326" i="1" s="1"/>
  <c r="H326" i="1"/>
  <c r="J325" i="1"/>
  <c r="L325" i="1" s="1"/>
  <c r="H325" i="1"/>
  <c r="J324" i="1"/>
  <c r="L324" i="1" s="1"/>
  <c r="H324" i="1"/>
  <c r="J322" i="1"/>
  <c r="L322" i="1" s="1"/>
  <c r="H322" i="1"/>
  <c r="J323" i="1"/>
  <c r="L323" i="1" s="1"/>
  <c r="H323" i="1"/>
  <c r="J321" i="1"/>
  <c r="L321" i="1" s="1"/>
  <c r="H321" i="1"/>
  <c r="J320" i="1"/>
  <c r="L320" i="1" s="1"/>
  <c r="H320" i="1"/>
  <c r="J319" i="1"/>
  <c r="L319" i="1" s="1"/>
  <c r="H319" i="1"/>
  <c r="J318" i="1"/>
  <c r="L318" i="1" s="1"/>
  <c r="H318" i="1"/>
  <c r="J317" i="1"/>
  <c r="L317" i="1" s="1"/>
  <c r="H317" i="1"/>
  <c r="J316" i="1"/>
  <c r="L316" i="1" s="1"/>
  <c r="H316" i="1"/>
  <c r="J315" i="1"/>
  <c r="L315" i="1" s="1"/>
  <c r="H315" i="1"/>
  <c r="J313" i="1"/>
  <c r="L313" i="1" s="1"/>
  <c r="H313" i="1"/>
  <c r="H314" i="1"/>
  <c r="H312" i="1"/>
  <c r="H311" i="1"/>
  <c r="H310" i="1"/>
  <c r="H306" i="1"/>
  <c r="H309" i="1"/>
  <c r="H308" i="1"/>
  <c r="H307" i="1"/>
  <c r="H305" i="1"/>
  <c r="H304" i="1"/>
  <c r="H303" i="1"/>
  <c r="H302" i="1"/>
  <c r="H301" i="1"/>
  <c r="H300" i="1"/>
  <c r="H299" i="1"/>
  <c r="H298" i="1"/>
  <c r="S223" i="1"/>
  <c r="J218" i="1"/>
  <c r="L218" i="1" s="1"/>
  <c r="P214" i="1"/>
  <c r="L211" i="1"/>
  <c r="L207" i="1"/>
  <c r="L202" i="1"/>
  <c r="O177" i="1"/>
  <c r="S270" i="1"/>
  <c r="H270" i="1"/>
  <c r="H269" i="1"/>
  <c r="H267" i="1"/>
  <c r="H266" i="1"/>
  <c r="H265" i="1"/>
  <c r="H264" i="1"/>
  <c r="H262" i="1"/>
  <c r="H260" i="1"/>
  <c r="H259" i="1"/>
  <c r="H258" i="1"/>
  <c r="H256" i="1"/>
  <c r="S254" i="1"/>
  <c r="H254" i="1"/>
  <c r="Q232" i="1"/>
  <c r="J217" i="1"/>
  <c r="L217" i="1" s="1"/>
  <c r="Q201" i="1"/>
  <c r="S202" i="1"/>
  <c r="S178" i="1"/>
  <c r="O228" i="1"/>
  <c r="H228" i="1"/>
  <c r="H181" i="1"/>
  <c r="J181" i="1"/>
  <c r="L181" i="1" s="1"/>
  <c r="H180" i="1"/>
  <c r="J180" i="1"/>
  <c r="L180" i="1" s="1"/>
  <c r="H178" i="1"/>
  <c r="J178" i="1"/>
  <c r="L178" i="1" s="1"/>
  <c r="O229" i="1"/>
  <c r="O223" i="1"/>
  <c r="J219" i="1"/>
  <c r="L219" i="1" s="1"/>
  <c r="O217" i="1"/>
  <c r="J215" i="1"/>
  <c r="L215" i="1" s="1"/>
  <c r="S79" i="1"/>
  <c r="Q78" i="1"/>
  <c r="O104" i="1"/>
  <c r="O98" i="1"/>
  <c r="J93" i="1"/>
  <c r="L93" i="1" s="1"/>
  <c r="H93" i="1"/>
  <c r="J88" i="1"/>
  <c r="L88" i="1" s="1"/>
  <c r="H88" i="1"/>
  <c r="J91" i="1"/>
  <c r="L91" i="1" s="1"/>
  <c r="H91" i="1"/>
  <c r="J90" i="1"/>
  <c r="L90" i="1" s="1"/>
  <c r="H90" i="1"/>
  <c r="J85" i="1"/>
  <c r="L85" i="1" s="1"/>
  <c r="H85" i="1"/>
  <c r="J84" i="1"/>
  <c r="L84" i="1" s="1"/>
  <c r="H84" i="1"/>
  <c r="J83" i="1"/>
  <c r="L83" i="1" s="1"/>
  <c r="H83" i="1"/>
  <c r="J92" i="1"/>
  <c r="L92" i="1" s="1"/>
  <c r="H92" i="1"/>
  <c r="J81" i="1"/>
  <c r="L81" i="1" s="1"/>
  <c r="H81" i="1"/>
  <c r="J80" i="1"/>
  <c r="L80" i="1" s="1"/>
  <c r="H80" i="1"/>
  <c r="J79" i="1"/>
  <c r="L79" i="1" s="1"/>
  <c r="H79" i="1"/>
  <c r="O109" i="1"/>
  <c r="O97" i="1"/>
  <c r="J95" i="1"/>
  <c r="L95" i="1" s="1"/>
  <c r="O94" i="1"/>
  <c r="P78" i="1"/>
  <c r="J104" i="1"/>
  <c r="L104" i="1" s="1"/>
  <c r="J98" i="1"/>
  <c r="L98" i="1" s="1"/>
  <c r="O55" i="1"/>
  <c r="O49" i="1"/>
  <c r="O45" i="1"/>
  <c r="O41" i="1"/>
  <c r="J39" i="1"/>
  <c r="L39" i="1" s="1"/>
  <c r="H39" i="1"/>
  <c r="J38" i="1"/>
  <c r="L38" i="1" s="1"/>
  <c r="H38" i="1"/>
  <c r="J37" i="1"/>
  <c r="L37" i="1" s="1"/>
  <c r="H37" i="1"/>
  <c r="J36" i="1"/>
  <c r="L36" i="1" s="1"/>
  <c r="H36" i="1"/>
  <c r="J35" i="1"/>
  <c r="L35" i="1" s="1"/>
  <c r="H35" i="1"/>
  <c r="H66" i="1"/>
  <c r="H65" i="1"/>
  <c r="H64" i="1"/>
  <c r="O62" i="1"/>
  <c r="O58" i="1"/>
  <c r="O54" i="1"/>
  <c r="O48" i="1"/>
  <c r="O44" i="1"/>
  <c r="O40" i="1"/>
  <c r="P34" i="1"/>
  <c r="Q34" i="1"/>
  <c r="J73" i="1"/>
  <c r="L73" i="1" s="1"/>
  <c r="J59" i="1"/>
  <c r="L59" i="1" s="1"/>
  <c r="J55" i="1"/>
  <c r="L55" i="1" s="1"/>
  <c r="J49" i="1"/>
  <c r="L49" i="1" s="1"/>
  <c r="J45" i="1"/>
  <c r="L45" i="1" s="1"/>
  <c r="J41" i="1"/>
  <c r="L41" i="1" s="1"/>
  <c r="O39" i="1"/>
  <c r="O38" i="1"/>
  <c r="O37" i="1"/>
  <c r="O36" i="1"/>
  <c r="O35" i="1"/>
  <c r="L18" i="1"/>
  <c r="L13" i="1"/>
  <c r="S35" i="1"/>
  <c r="U830" i="8"/>
  <c r="Q830" i="8"/>
  <c r="P830" i="8"/>
  <c r="R830" i="8" s="1"/>
  <c r="K830" i="8"/>
  <c r="I830" i="8"/>
  <c r="O830" i="8" s="1"/>
  <c r="G830" i="8"/>
  <c r="U383" i="8"/>
  <c r="Q383" i="8"/>
  <c r="P383" i="8"/>
  <c r="R383" i="8" s="1"/>
  <c r="K383" i="8"/>
  <c r="I383" i="8"/>
  <c r="O383" i="8" s="1"/>
  <c r="G383" i="8"/>
  <c r="U334" i="8"/>
  <c r="Q334" i="8"/>
  <c r="P334" i="8"/>
  <c r="R334" i="8" s="1"/>
  <c r="K334" i="8"/>
  <c r="I334" i="8"/>
  <c r="J334" i="8" s="1"/>
  <c r="G334" i="8"/>
  <c r="U344" i="8"/>
  <c r="Q344" i="8"/>
  <c r="P344" i="8"/>
  <c r="R344" i="8" s="1"/>
  <c r="K344" i="8"/>
  <c r="I344" i="8"/>
  <c r="O344" i="8" s="1"/>
  <c r="G344" i="8"/>
  <c r="R569" i="1" l="1"/>
  <c r="R679" i="1"/>
  <c r="R1299" i="1"/>
  <c r="R797" i="1"/>
  <c r="R1342" i="1"/>
  <c r="R1106" i="1"/>
  <c r="R1194" i="1"/>
  <c r="R1246" i="1"/>
  <c r="R425" i="1"/>
  <c r="R723" i="1"/>
  <c r="R863" i="1"/>
  <c r="R177" i="1"/>
  <c r="R542" i="1"/>
  <c r="R693" i="1"/>
  <c r="R1168" i="1"/>
  <c r="R1264" i="1"/>
  <c r="R736" i="1"/>
  <c r="R1132" i="1"/>
  <c r="R78" i="1"/>
  <c r="R34" i="1"/>
  <c r="R590" i="1"/>
  <c r="R748" i="1"/>
  <c r="R561" i="1"/>
  <c r="R874" i="1"/>
  <c r="R752" i="1"/>
  <c r="R201" i="1"/>
  <c r="R411" i="1"/>
  <c r="R550" i="1"/>
  <c r="R698" i="1"/>
  <c r="R760" i="1"/>
  <c r="R789" i="1"/>
  <c r="R993" i="1"/>
  <c r="R1049" i="1"/>
  <c r="R1181" i="1"/>
  <c r="R253" i="1"/>
  <c r="R508" i="1"/>
  <c r="R831" i="1"/>
  <c r="R1353" i="1"/>
  <c r="R1008" i="1"/>
  <c r="R1060" i="1"/>
  <c r="R1252" i="1"/>
  <c r="R1330" i="1"/>
  <c r="R612" i="1"/>
  <c r="R713" i="1"/>
  <c r="R817" i="1"/>
  <c r="R882" i="1"/>
  <c r="R900" i="1"/>
  <c r="R1285" i="1"/>
  <c r="R1084" i="1"/>
  <c r="R970" i="1"/>
  <c r="R770" i="1"/>
  <c r="R1120" i="1"/>
  <c r="R756" i="1"/>
  <c r="R3" i="1"/>
  <c r="R232" i="1"/>
  <c r="R1291" i="1"/>
  <c r="R1309" i="1"/>
  <c r="R856" i="1"/>
  <c r="R1089" i="1"/>
  <c r="R182" i="1"/>
  <c r="R631" i="1"/>
  <c r="R708" i="1"/>
  <c r="R1347" i="1"/>
  <c r="R601" i="1"/>
  <c r="R801" i="1"/>
  <c r="R729" i="1"/>
  <c r="R1206" i="1"/>
  <c r="R350" i="1"/>
  <c r="R849" i="1"/>
  <c r="R868" i="1"/>
  <c r="R1074" i="1"/>
  <c r="R1155" i="1"/>
  <c r="R925" i="1"/>
  <c r="R1034" i="1"/>
  <c r="R1173" i="1"/>
  <c r="R1270" i="1"/>
  <c r="R214" i="1"/>
  <c r="R585" i="1"/>
  <c r="R742" i="1"/>
  <c r="R776" i="1"/>
  <c r="R1021" i="1"/>
  <c r="R1109" i="1"/>
  <c r="R1230" i="1"/>
  <c r="R1275" i="1"/>
  <c r="R222" i="1"/>
  <c r="R572" i="1"/>
  <c r="R682" i="1"/>
  <c r="R840" i="1"/>
  <c r="R878" i="1"/>
  <c r="R896" i="1"/>
  <c r="R1138" i="1"/>
  <c r="R1185" i="1"/>
  <c r="R1302" i="1"/>
  <c r="R283" i="1"/>
  <c r="R642" i="1"/>
  <c r="R433" i="1"/>
  <c r="R765" i="1"/>
  <c r="R1197" i="1"/>
  <c r="R1190" i="1"/>
  <c r="R1221" i="1"/>
  <c r="R1239" i="1"/>
  <c r="S567" i="1"/>
  <c r="S1345" i="1"/>
  <c r="S781" i="1"/>
  <c r="O748" i="1"/>
  <c r="S752" i="1"/>
  <c r="O756" i="1"/>
  <c r="S748" i="1"/>
  <c r="O752" i="1"/>
  <c r="S756" i="1"/>
  <c r="S776" i="1"/>
  <c r="S569" i="1"/>
  <c r="O698" i="1"/>
  <c r="S878" i="1"/>
  <c r="S1106" i="1"/>
  <c r="S1264" i="1"/>
  <c r="O1206" i="1"/>
  <c r="O896" i="1"/>
  <c r="S177" i="1"/>
  <c r="S723" i="1"/>
  <c r="S1173" i="1"/>
  <c r="S849" i="1"/>
  <c r="S1168" i="1"/>
  <c r="S863" i="1"/>
  <c r="S1347" i="1"/>
  <c r="S34" i="1"/>
  <c r="O214" i="1"/>
  <c r="S1190" i="1"/>
  <c r="S765" i="1"/>
  <c r="S801" i="1"/>
  <c r="O585" i="1"/>
  <c r="O789" i="1"/>
  <c r="S542" i="1"/>
  <c r="S708" i="1"/>
  <c r="S1246" i="1"/>
  <c r="S1252" i="1"/>
  <c r="S1049" i="1"/>
  <c r="S1299" i="1"/>
  <c r="O1190" i="1"/>
  <c r="O1270" i="1"/>
  <c r="O849" i="1"/>
  <c r="O1132" i="1"/>
  <c r="S1155" i="1"/>
  <c r="O1181" i="1"/>
  <c r="S1194" i="1"/>
  <c r="S679" i="1"/>
  <c r="S631" i="1"/>
  <c r="S742" i="1"/>
  <c r="S874" i="1"/>
  <c r="O542" i="1"/>
  <c r="S1084" i="1"/>
  <c r="S698" i="1"/>
  <c r="S1060" i="1"/>
  <c r="S425" i="1"/>
  <c r="S817" i="1"/>
  <c r="S1239" i="1"/>
  <c r="S1330" i="1"/>
  <c r="S283" i="1"/>
  <c r="S1120" i="1"/>
  <c r="O863" i="1"/>
  <c r="O797" i="1"/>
  <c r="S896" i="1"/>
  <c r="S1285" i="1"/>
  <c r="S590" i="1"/>
  <c r="S789" i="1"/>
  <c r="S572" i="1"/>
  <c r="S831" i="1"/>
  <c r="S1291" i="1"/>
  <c r="S693" i="1"/>
  <c r="S900" i="1"/>
  <c r="S1132" i="1"/>
  <c r="S1181" i="1"/>
  <c r="S1270" i="1"/>
  <c r="S214" i="1"/>
  <c r="S1089" i="1"/>
  <c r="O550" i="1"/>
  <c r="O801" i="1"/>
  <c r="O1252" i="1"/>
  <c r="O682" i="1"/>
  <c r="O817" i="1"/>
  <c r="S383" i="8"/>
  <c r="J830" i="8"/>
  <c r="L830" i="8" s="1"/>
  <c r="S830" i="8"/>
  <c r="J383" i="8"/>
  <c r="L383" i="8" s="1"/>
  <c r="H830" i="8"/>
  <c r="O1089" i="1"/>
  <c r="S1185" i="1"/>
  <c r="O1084" i="1"/>
  <c r="S350" i="1"/>
  <c r="S585" i="1"/>
  <c r="O708" i="1"/>
  <c r="O770" i="1"/>
  <c r="O723" i="1"/>
  <c r="S1221" i="1"/>
  <c r="S840" i="1"/>
  <c r="S1109" i="1"/>
  <c r="O1185" i="1"/>
  <c r="S508" i="1"/>
  <c r="S182" i="1"/>
  <c r="S232" i="1"/>
  <c r="S642" i="1"/>
  <c r="S882" i="1"/>
  <c r="O736" i="1"/>
  <c r="S797" i="1"/>
  <c r="S993" i="1"/>
  <c r="S1138" i="1"/>
  <c r="S201" i="1"/>
  <c r="S222" i="1"/>
  <c r="S561" i="1"/>
  <c r="S736" i="1"/>
  <c r="S856" i="1"/>
  <c r="S1302" i="1"/>
  <c r="S1309" i="1"/>
  <c r="O425" i="1"/>
  <c r="O874" i="1"/>
  <c r="O1074" i="1"/>
  <c r="O1197" i="1"/>
  <c r="O713" i="1"/>
  <c r="S729" i="1"/>
  <c r="S713" i="1"/>
  <c r="S1197" i="1"/>
  <c r="S411" i="1"/>
  <c r="S550" i="1"/>
  <c r="S760" i="1"/>
  <c r="S770" i="1"/>
  <c r="S1008" i="1"/>
  <c r="S1353" i="1"/>
  <c r="O1120" i="1"/>
  <c r="O1264" i="1"/>
  <c r="S682" i="1"/>
  <c r="S1206" i="1"/>
  <c r="S78" i="1"/>
  <c r="S601" i="1"/>
  <c r="S612" i="1"/>
  <c r="S925" i="1"/>
  <c r="S1275" i="1"/>
  <c r="S1034" i="1"/>
  <c r="S1230" i="1"/>
  <c r="S970" i="1"/>
  <c r="O601" i="1"/>
  <c r="O1347" i="1"/>
  <c r="O1155" i="1"/>
  <c r="O1168" i="1"/>
  <c r="O411" i="1"/>
  <c r="O900" i="1"/>
  <c r="O1008" i="1"/>
  <c r="S253" i="1"/>
  <c r="O642" i="1"/>
  <c r="O1275" i="1"/>
  <c r="S1021" i="1"/>
  <c r="O201" i="1"/>
  <c r="O993" i="1"/>
  <c r="O1109" i="1"/>
  <c r="O590" i="1"/>
  <c r="O840" i="1"/>
  <c r="O1291" i="1"/>
  <c r="O232" i="1"/>
  <c r="O868" i="1"/>
  <c r="O742" i="1"/>
  <c r="S1342" i="1"/>
  <c r="O612" i="1"/>
  <c r="S868" i="1"/>
  <c r="O1021" i="1"/>
  <c r="O729" i="1"/>
  <c r="H344" i="8"/>
  <c r="O508" i="1"/>
  <c r="O882" i="1"/>
  <c r="O283" i="1"/>
  <c r="O1049" i="1"/>
  <c r="O1309" i="1"/>
  <c r="O1330" i="1"/>
  <c r="O693" i="1"/>
  <c r="O679" i="1"/>
  <c r="O765" i="1"/>
  <c r="O1106" i="1"/>
  <c r="O831" i="1"/>
  <c r="O925" i="1"/>
  <c r="O760" i="1"/>
  <c r="O1239" i="1"/>
  <c r="O78" i="1"/>
  <c r="O222" i="1"/>
  <c r="O878" i="1"/>
  <c r="O1034" i="1"/>
  <c r="O253" i="1"/>
  <c r="O182" i="1"/>
  <c r="O1060" i="1"/>
  <c r="O1230" i="1"/>
  <c r="O856" i="1"/>
  <c r="O970" i="1"/>
  <c r="O1285" i="1"/>
  <c r="O433" i="1"/>
  <c r="S433" i="1"/>
  <c r="O631" i="1"/>
  <c r="O34" i="1"/>
  <c r="O350" i="1"/>
  <c r="S1074" i="1"/>
  <c r="J344" i="8"/>
  <c r="L344" i="8" s="1"/>
  <c r="H334" i="8"/>
  <c r="H383" i="8"/>
  <c r="S334" i="8"/>
  <c r="L334" i="8"/>
  <c r="O334" i="8"/>
  <c r="S344" i="8"/>
  <c r="C81" i="2"/>
  <c r="C74" i="2"/>
  <c r="C72" i="2"/>
  <c r="C71" i="2"/>
  <c r="C68" i="2"/>
  <c r="C67" i="2"/>
  <c r="U1145" i="8" l="1"/>
  <c r="Q1145" i="8"/>
  <c r="P1145" i="8"/>
  <c r="R1145" i="8" s="1"/>
  <c r="K1145" i="8"/>
  <c r="I1145" i="8"/>
  <c r="O1145" i="8" s="1"/>
  <c r="G1145" i="8"/>
  <c r="U1179" i="8"/>
  <c r="Q1179" i="8"/>
  <c r="P1179" i="8"/>
  <c r="R1179" i="8" s="1"/>
  <c r="K1179" i="8"/>
  <c r="I1179" i="8"/>
  <c r="O1179" i="8" s="1"/>
  <c r="G1179" i="8"/>
  <c r="U1180" i="8"/>
  <c r="Q1180" i="8"/>
  <c r="P1180" i="8"/>
  <c r="R1180" i="8" s="1"/>
  <c r="K1180" i="8"/>
  <c r="I1180" i="8"/>
  <c r="O1180" i="8" s="1"/>
  <c r="G1180" i="8"/>
  <c r="U1139" i="8"/>
  <c r="Q1139" i="8"/>
  <c r="P1139" i="8"/>
  <c r="R1139" i="8" s="1"/>
  <c r="K1139" i="8"/>
  <c r="I1139" i="8"/>
  <c r="O1139" i="8" s="1"/>
  <c r="G1139" i="8"/>
  <c r="U997" i="8"/>
  <c r="Q997" i="8"/>
  <c r="P997" i="8"/>
  <c r="R997" i="8" s="1"/>
  <c r="K997" i="8"/>
  <c r="I997" i="8"/>
  <c r="J997" i="8" s="1"/>
  <c r="G997" i="8"/>
  <c r="S1179" i="8" l="1"/>
  <c r="H1139" i="8"/>
  <c r="H1179" i="8"/>
  <c r="H1180" i="8"/>
  <c r="H1145" i="8"/>
  <c r="J1145" i="8"/>
  <c r="L1145" i="8" s="1"/>
  <c r="S1139" i="8"/>
  <c r="S1180" i="8"/>
  <c r="S1145" i="8"/>
  <c r="L997" i="8"/>
  <c r="J1179" i="8"/>
  <c r="L1179" i="8" s="1"/>
  <c r="J1180" i="8"/>
  <c r="L1180" i="8" s="1"/>
  <c r="J1139" i="8"/>
  <c r="L1139" i="8" s="1"/>
  <c r="H997" i="8"/>
  <c r="S997" i="8"/>
  <c r="O997" i="8"/>
  <c r="P1360" i="8" l="1"/>
  <c r="R1360" i="8" s="1"/>
  <c r="P1359" i="8"/>
  <c r="R1359" i="8" s="1"/>
  <c r="P1358" i="8"/>
  <c r="R1358" i="8" s="1"/>
  <c r="P1357" i="8"/>
  <c r="R1357" i="8" s="1"/>
  <c r="P1356" i="8"/>
  <c r="R1356" i="8" s="1"/>
  <c r="P1355" i="8"/>
  <c r="R1355" i="8" s="1"/>
  <c r="P1354" i="8"/>
  <c r="R1354" i="8" s="1"/>
  <c r="P1352" i="8"/>
  <c r="R1352" i="8" s="1"/>
  <c r="P1351" i="8"/>
  <c r="R1351" i="8" s="1"/>
  <c r="P1350" i="8"/>
  <c r="R1350" i="8" s="1"/>
  <c r="P1349" i="8"/>
  <c r="R1349" i="8" s="1"/>
  <c r="P1348" i="8"/>
  <c r="R1348" i="8" s="1"/>
  <c r="P1347" i="8"/>
  <c r="R1347" i="8" s="1"/>
  <c r="P1346" i="8"/>
  <c r="R1346" i="8" s="1"/>
  <c r="P1345" i="8"/>
  <c r="R1345" i="8" s="1"/>
  <c r="P1344" i="8"/>
  <c r="R1344" i="8" s="1"/>
  <c r="P1343" i="8"/>
  <c r="R1343" i="8" s="1"/>
  <c r="P1341" i="8"/>
  <c r="R1341" i="8" s="1"/>
  <c r="P1340" i="8"/>
  <c r="R1340" i="8" s="1"/>
  <c r="P1339" i="8"/>
  <c r="R1339" i="8" s="1"/>
  <c r="P1338" i="8"/>
  <c r="R1338" i="8" s="1"/>
  <c r="P1334" i="8"/>
  <c r="R1334" i="8" s="1"/>
  <c r="P1332" i="8"/>
  <c r="R1332" i="8" s="1"/>
  <c r="P1331" i="8"/>
  <c r="R1331" i="8" s="1"/>
  <c r="P1330" i="8"/>
  <c r="R1330" i="8" s="1"/>
  <c r="P1329" i="8"/>
  <c r="R1329" i="8" s="1"/>
  <c r="P1326" i="8"/>
  <c r="R1326" i="8" s="1"/>
  <c r="P1324" i="8"/>
  <c r="R1324" i="8" s="1"/>
  <c r="P1320" i="8"/>
  <c r="R1320" i="8" s="1"/>
  <c r="P1318" i="8"/>
  <c r="R1318" i="8" s="1"/>
  <c r="P1317" i="8"/>
  <c r="R1317" i="8" s="1"/>
  <c r="P1316" i="8"/>
  <c r="R1316" i="8" s="1"/>
  <c r="P1315" i="8"/>
  <c r="R1315" i="8" s="1"/>
  <c r="P1314" i="8"/>
  <c r="R1314" i="8" s="1"/>
  <c r="P1313" i="8"/>
  <c r="R1313" i="8" s="1"/>
  <c r="P1312" i="8"/>
  <c r="R1312" i="8" s="1"/>
  <c r="P1311" i="8"/>
  <c r="R1311" i="8" s="1"/>
  <c r="P1309" i="8"/>
  <c r="R1309" i="8" s="1"/>
  <c r="P1308" i="8"/>
  <c r="R1308" i="8" s="1"/>
  <c r="P1307" i="8"/>
  <c r="R1307" i="8" s="1"/>
  <c r="P1306" i="8"/>
  <c r="R1306" i="8" s="1"/>
  <c r="P1304" i="8"/>
  <c r="R1304" i="8" s="1"/>
  <c r="P1303" i="8"/>
  <c r="R1303" i="8" s="1"/>
  <c r="P1302" i="8"/>
  <c r="R1302" i="8" s="1"/>
  <c r="P1300" i="8"/>
  <c r="R1300" i="8" s="1"/>
  <c r="P1298" i="8"/>
  <c r="R1298" i="8" s="1"/>
  <c r="P1297" i="8"/>
  <c r="R1297" i="8" s="1"/>
  <c r="P1296" i="8"/>
  <c r="R1296" i="8" s="1"/>
  <c r="P1294" i="8"/>
  <c r="R1294" i="8" s="1"/>
  <c r="P1293" i="8"/>
  <c r="R1293" i="8" s="1"/>
  <c r="P1292" i="8"/>
  <c r="R1292" i="8" s="1"/>
  <c r="P1290" i="8"/>
  <c r="R1290" i="8" s="1"/>
  <c r="P1289" i="8"/>
  <c r="R1289" i="8" s="1"/>
  <c r="P1288" i="8"/>
  <c r="R1288" i="8" s="1"/>
  <c r="P1287" i="8"/>
  <c r="R1287" i="8" s="1"/>
  <c r="P1286" i="8"/>
  <c r="R1286" i="8" s="1"/>
  <c r="P1284" i="8"/>
  <c r="R1284" i="8" s="1"/>
  <c r="P1283" i="8"/>
  <c r="R1283" i="8" s="1"/>
  <c r="P1282" i="8"/>
  <c r="R1282" i="8" s="1"/>
  <c r="P1281" i="8"/>
  <c r="R1281" i="8" s="1"/>
  <c r="P1280" i="8"/>
  <c r="R1280" i="8" s="1"/>
  <c r="P1279" i="8"/>
  <c r="R1279" i="8" s="1"/>
  <c r="P1278" i="8"/>
  <c r="R1278" i="8" s="1"/>
  <c r="P1277" i="8"/>
  <c r="R1277" i="8" s="1"/>
  <c r="P1276" i="8"/>
  <c r="R1276" i="8" s="1"/>
  <c r="P1275" i="8"/>
  <c r="R1275" i="8" s="1"/>
  <c r="P1273" i="8"/>
  <c r="R1273" i="8" s="1"/>
  <c r="P1272" i="8"/>
  <c r="R1272" i="8" s="1"/>
  <c r="P1271" i="8"/>
  <c r="R1271" i="8" s="1"/>
  <c r="P1270" i="8"/>
  <c r="R1270" i="8" s="1"/>
  <c r="P1269" i="8"/>
  <c r="R1269" i="8" s="1"/>
  <c r="P1268" i="8"/>
  <c r="R1268" i="8" s="1"/>
  <c r="P1267" i="8"/>
  <c r="R1267" i="8" s="1"/>
  <c r="P1266" i="8"/>
  <c r="R1266" i="8" s="1"/>
  <c r="P1265" i="8"/>
  <c r="R1265" i="8" s="1"/>
  <c r="P1264" i="8"/>
  <c r="R1264" i="8" s="1"/>
  <c r="P1262" i="8"/>
  <c r="R1262" i="8" s="1"/>
  <c r="R1261" i="8" s="1"/>
  <c r="P1260" i="8"/>
  <c r="R1260" i="8" s="1"/>
  <c r="P1259" i="8"/>
  <c r="R1259" i="8" s="1"/>
  <c r="P1258" i="8"/>
  <c r="R1258" i="8" s="1"/>
  <c r="P1257" i="8"/>
  <c r="R1257" i="8" s="1"/>
  <c r="P1256" i="8"/>
  <c r="R1256" i="8" s="1"/>
  <c r="P1255" i="8"/>
  <c r="R1255" i="8" s="1"/>
  <c r="P1254" i="8"/>
  <c r="R1254" i="8" s="1"/>
  <c r="P1253" i="8"/>
  <c r="R1253" i="8" s="1"/>
  <c r="P1252" i="8"/>
  <c r="R1252" i="8" s="1"/>
  <c r="P1251" i="8"/>
  <c r="R1251" i="8" s="1"/>
  <c r="P1250" i="8"/>
  <c r="R1250" i="8" s="1"/>
  <c r="P1249" i="8"/>
  <c r="R1249" i="8" s="1"/>
  <c r="P1248" i="8"/>
  <c r="R1248" i="8" s="1"/>
  <c r="P1247" i="8"/>
  <c r="R1247" i="8" s="1"/>
  <c r="P1245" i="8"/>
  <c r="R1245" i="8" s="1"/>
  <c r="P1244" i="8"/>
  <c r="R1244" i="8" s="1"/>
  <c r="P1243" i="8"/>
  <c r="R1243" i="8" s="1"/>
  <c r="P1242" i="8"/>
  <c r="R1242" i="8" s="1"/>
  <c r="P1241" i="8"/>
  <c r="R1241" i="8" s="1"/>
  <c r="P1240" i="8"/>
  <c r="R1240" i="8" s="1"/>
  <c r="P1239" i="8"/>
  <c r="R1239" i="8" s="1"/>
  <c r="P1238" i="8"/>
  <c r="R1238" i="8" s="1"/>
  <c r="P1237" i="8"/>
  <c r="R1237" i="8" s="1"/>
  <c r="P1236" i="8"/>
  <c r="R1236" i="8" s="1"/>
  <c r="P1235" i="8"/>
  <c r="R1235" i="8" s="1"/>
  <c r="P1234" i="8"/>
  <c r="R1234" i="8" s="1"/>
  <c r="P1232" i="8"/>
  <c r="R1232" i="8" s="1"/>
  <c r="P1231" i="8"/>
  <c r="R1231" i="8" s="1"/>
  <c r="P1230" i="8"/>
  <c r="R1230" i="8" s="1"/>
  <c r="P1229" i="8"/>
  <c r="R1229" i="8" s="1"/>
  <c r="P1228" i="8"/>
  <c r="R1228" i="8" s="1"/>
  <c r="P1227" i="8"/>
  <c r="R1227" i="8" s="1"/>
  <c r="P1226" i="8"/>
  <c r="R1226" i="8" s="1"/>
  <c r="P1225" i="8"/>
  <c r="R1225" i="8" s="1"/>
  <c r="P1224" i="8"/>
  <c r="R1224" i="8" s="1"/>
  <c r="P1223" i="8"/>
  <c r="R1223" i="8" s="1"/>
  <c r="P1222" i="8"/>
  <c r="R1222" i="8" s="1"/>
  <c r="P1221" i="8"/>
  <c r="R1221" i="8" s="1"/>
  <c r="P1219" i="8"/>
  <c r="R1219" i="8" s="1"/>
  <c r="P1218" i="8"/>
  <c r="R1218" i="8" s="1"/>
  <c r="P1217" i="8"/>
  <c r="R1217" i="8" s="1"/>
  <c r="P1216" i="8"/>
  <c r="R1216" i="8" s="1"/>
  <c r="P1215" i="8"/>
  <c r="R1215" i="8" s="1"/>
  <c r="P1214" i="8"/>
  <c r="R1214" i="8" s="1"/>
  <c r="P1213" i="8"/>
  <c r="R1213" i="8" s="1"/>
  <c r="P1212" i="8"/>
  <c r="R1212" i="8" s="1"/>
  <c r="P1211" i="8"/>
  <c r="R1211" i="8" s="1"/>
  <c r="P1210" i="8"/>
  <c r="R1210" i="8" s="1"/>
  <c r="P1209" i="8"/>
  <c r="R1209" i="8" s="1"/>
  <c r="P1207" i="8"/>
  <c r="R1207" i="8" s="1"/>
  <c r="P1206" i="8"/>
  <c r="R1206" i="8" s="1"/>
  <c r="P1204" i="8"/>
  <c r="R1204" i="8" s="1"/>
  <c r="P1203" i="8"/>
  <c r="R1203" i="8" s="1"/>
  <c r="P1201" i="8"/>
  <c r="R1201" i="8" s="1"/>
  <c r="P1200" i="8"/>
  <c r="R1200" i="8" s="1"/>
  <c r="P1199" i="8"/>
  <c r="R1199" i="8" s="1"/>
  <c r="P1198" i="8"/>
  <c r="R1198" i="8" s="1"/>
  <c r="P1197" i="8"/>
  <c r="R1197" i="8" s="1"/>
  <c r="P1196" i="8"/>
  <c r="R1196" i="8" s="1"/>
  <c r="P1195" i="8"/>
  <c r="R1195" i="8" s="1"/>
  <c r="P1194" i="8"/>
  <c r="R1194" i="8" s="1"/>
  <c r="P1193" i="8"/>
  <c r="R1193" i="8" s="1"/>
  <c r="P1192" i="8"/>
  <c r="R1192" i="8" s="1"/>
  <c r="P1191" i="8"/>
  <c r="R1191" i="8" s="1"/>
  <c r="P1190" i="8"/>
  <c r="R1190" i="8" s="1"/>
  <c r="P1189" i="8"/>
  <c r="R1189" i="8" s="1"/>
  <c r="P1188" i="8"/>
  <c r="R1188" i="8" s="1"/>
  <c r="P1187" i="8"/>
  <c r="R1187" i="8" s="1"/>
  <c r="P1186" i="8"/>
  <c r="R1186" i="8" s="1"/>
  <c r="P1185" i="8"/>
  <c r="R1185" i="8" s="1"/>
  <c r="P1183" i="8"/>
  <c r="R1183" i="8" s="1"/>
  <c r="P1163" i="8"/>
  <c r="R1163" i="8" s="1"/>
  <c r="P1178" i="8"/>
  <c r="R1178" i="8" s="1"/>
  <c r="P1177" i="8"/>
  <c r="R1177" i="8" s="1"/>
  <c r="P1176" i="8"/>
  <c r="R1176" i="8" s="1"/>
  <c r="P1175" i="8"/>
  <c r="R1175" i="8" s="1"/>
  <c r="P1173" i="8"/>
  <c r="R1173" i="8" s="1"/>
  <c r="P1172" i="8"/>
  <c r="R1172" i="8" s="1"/>
  <c r="P1171" i="8"/>
  <c r="R1171" i="8" s="1"/>
  <c r="P1170" i="8"/>
  <c r="R1170" i="8" s="1"/>
  <c r="P1168" i="8"/>
  <c r="R1168" i="8" s="1"/>
  <c r="P1167" i="8"/>
  <c r="R1167" i="8" s="1"/>
  <c r="P1166" i="8"/>
  <c r="R1166" i="8" s="1"/>
  <c r="P1165" i="8"/>
  <c r="R1165" i="8" s="1"/>
  <c r="P1164" i="8"/>
  <c r="R1164" i="8" s="1"/>
  <c r="P1161" i="8"/>
  <c r="R1161" i="8" s="1"/>
  <c r="P1160" i="8"/>
  <c r="R1160" i="8" s="1"/>
  <c r="P1159" i="8"/>
  <c r="R1159" i="8" s="1"/>
  <c r="P1158" i="8"/>
  <c r="R1158" i="8" s="1"/>
  <c r="P1157" i="8"/>
  <c r="R1157" i="8" s="1"/>
  <c r="P1156" i="8"/>
  <c r="R1156" i="8" s="1"/>
  <c r="P1155" i="8"/>
  <c r="R1155" i="8" s="1"/>
  <c r="P1154" i="8"/>
  <c r="R1154" i="8" s="1"/>
  <c r="P1153" i="8"/>
  <c r="R1153" i="8" s="1"/>
  <c r="P1151" i="8"/>
  <c r="R1151" i="8" s="1"/>
  <c r="P1150" i="8"/>
  <c r="R1150" i="8" s="1"/>
  <c r="P1149" i="8"/>
  <c r="R1149" i="8" s="1"/>
  <c r="P1148" i="8"/>
  <c r="R1148" i="8" s="1"/>
  <c r="P1147" i="8"/>
  <c r="R1147" i="8" s="1"/>
  <c r="P1146" i="8"/>
  <c r="R1146" i="8" s="1"/>
  <c r="P1144" i="8"/>
  <c r="R1144" i="8" s="1"/>
  <c r="P1143" i="8"/>
  <c r="R1143" i="8" s="1"/>
  <c r="P1142" i="8"/>
  <c r="R1142" i="8" s="1"/>
  <c r="P1141" i="8"/>
  <c r="R1141" i="8" s="1"/>
  <c r="P1140" i="8"/>
  <c r="R1140" i="8" s="1"/>
  <c r="P1138" i="8"/>
  <c r="R1138" i="8" s="1"/>
  <c r="P1136" i="8"/>
  <c r="R1136" i="8" s="1"/>
  <c r="P1135" i="8"/>
  <c r="R1135" i="8" s="1"/>
  <c r="P1134" i="8"/>
  <c r="R1134" i="8" s="1"/>
  <c r="P1133" i="8"/>
  <c r="R1133" i="8" s="1"/>
  <c r="P1132" i="8"/>
  <c r="R1132" i="8" s="1"/>
  <c r="P1130" i="8"/>
  <c r="R1130" i="8" s="1"/>
  <c r="P1129" i="8"/>
  <c r="R1129" i="8" s="1"/>
  <c r="P1128" i="8"/>
  <c r="R1128" i="8" s="1"/>
  <c r="P1126" i="8"/>
  <c r="R1126" i="8" s="1"/>
  <c r="P1125" i="8"/>
  <c r="R1125" i="8" s="1"/>
  <c r="P1124" i="8"/>
  <c r="R1124" i="8" s="1"/>
  <c r="P1123" i="8"/>
  <c r="R1123" i="8" s="1"/>
  <c r="P1122" i="8"/>
  <c r="R1122" i="8" s="1"/>
  <c r="P1121" i="8"/>
  <c r="R1121" i="8" s="1"/>
  <c r="P1120" i="8"/>
  <c r="R1120" i="8" s="1"/>
  <c r="P1119" i="8"/>
  <c r="R1119" i="8" s="1"/>
  <c r="P1118" i="8"/>
  <c r="R1118" i="8" s="1"/>
  <c r="P1117" i="8"/>
  <c r="R1117" i="8" s="1"/>
  <c r="P1116" i="8"/>
  <c r="R1116" i="8" s="1"/>
  <c r="P1114" i="8"/>
  <c r="R1114" i="8" s="1"/>
  <c r="P1113" i="8"/>
  <c r="R1113" i="8" s="1"/>
  <c r="P1111" i="8"/>
  <c r="R1111" i="8" s="1"/>
  <c r="P1110" i="8"/>
  <c r="R1110" i="8" s="1"/>
  <c r="P1109" i="8"/>
  <c r="R1109" i="8" s="1"/>
  <c r="P1108" i="8"/>
  <c r="R1108" i="8" s="1"/>
  <c r="P1107" i="8"/>
  <c r="R1107" i="8" s="1"/>
  <c r="P1106" i="8"/>
  <c r="R1106" i="8" s="1"/>
  <c r="P1105" i="8"/>
  <c r="R1105" i="8" s="1"/>
  <c r="P1104" i="8"/>
  <c r="R1104" i="8" s="1"/>
  <c r="P1103" i="8"/>
  <c r="R1103" i="8" s="1"/>
  <c r="P1102" i="8"/>
  <c r="R1102" i="8" s="1"/>
  <c r="P1101" i="8"/>
  <c r="R1101" i="8" s="1"/>
  <c r="P1100" i="8"/>
  <c r="R1100" i="8" s="1"/>
  <c r="P1099" i="8"/>
  <c r="R1099" i="8" s="1"/>
  <c r="P1097" i="8"/>
  <c r="R1097" i="8" s="1"/>
  <c r="P1096" i="8"/>
  <c r="R1096" i="8" s="1"/>
  <c r="P1095" i="8"/>
  <c r="R1095" i="8" s="1"/>
  <c r="P1093" i="8"/>
  <c r="R1093" i="8" s="1"/>
  <c r="P1091" i="8"/>
  <c r="R1091" i="8" s="1"/>
  <c r="P1090" i="8"/>
  <c r="R1090" i="8" s="1"/>
  <c r="P1088" i="8"/>
  <c r="R1088" i="8" s="1"/>
  <c r="P1087" i="8"/>
  <c r="R1087" i="8" s="1"/>
  <c r="P1086" i="8"/>
  <c r="R1086" i="8" s="1"/>
  <c r="P1085" i="8"/>
  <c r="R1085" i="8" s="1"/>
  <c r="P1084" i="8"/>
  <c r="R1084" i="8" s="1"/>
  <c r="P1081" i="8"/>
  <c r="R1081" i="8" s="1"/>
  <c r="P1079" i="8"/>
  <c r="R1079" i="8" s="1"/>
  <c r="P1077" i="8"/>
  <c r="R1077" i="8" s="1"/>
  <c r="P1076" i="8"/>
  <c r="R1076" i="8" s="1"/>
  <c r="P1073" i="8"/>
  <c r="R1073" i="8" s="1"/>
  <c r="P1071" i="8"/>
  <c r="R1071" i="8" s="1"/>
  <c r="P1070" i="8"/>
  <c r="R1070" i="8" s="1"/>
  <c r="P1069" i="8"/>
  <c r="R1069" i="8" s="1"/>
  <c r="P1068" i="8"/>
  <c r="R1068" i="8" s="1"/>
  <c r="P1067" i="8"/>
  <c r="R1067" i="8" s="1"/>
  <c r="P1066" i="8"/>
  <c r="R1066" i="8" s="1"/>
  <c r="P1056" i="8"/>
  <c r="R1056" i="8" s="1"/>
  <c r="P1055" i="8"/>
  <c r="R1055" i="8" s="1"/>
  <c r="P1053" i="8"/>
  <c r="R1053" i="8" s="1"/>
  <c r="P1051" i="8"/>
  <c r="R1051" i="8" s="1"/>
  <c r="P1050" i="8"/>
  <c r="R1050" i="8" s="1"/>
  <c r="P1049" i="8"/>
  <c r="R1049" i="8" s="1"/>
  <c r="P1048" i="8"/>
  <c r="R1048" i="8" s="1"/>
  <c r="P1047" i="8"/>
  <c r="R1047" i="8" s="1"/>
  <c r="P1046" i="8"/>
  <c r="R1046" i="8" s="1"/>
  <c r="P1045" i="8"/>
  <c r="R1045" i="8" s="1"/>
  <c r="P1044" i="8"/>
  <c r="R1044" i="8" s="1"/>
  <c r="P1042" i="8"/>
  <c r="R1042" i="8" s="1"/>
  <c r="P1041" i="8"/>
  <c r="R1041" i="8" s="1"/>
  <c r="P1040" i="8"/>
  <c r="R1040" i="8" s="1"/>
  <c r="P1039" i="8"/>
  <c r="R1039" i="8" s="1"/>
  <c r="P1038" i="8"/>
  <c r="R1038" i="8" s="1"/>
  <c r="P1037" i="8"/>
  <c r="R1037" i="8" s="1"/>
  <c r="P1036" i="8"/>
  <c r="R1036" i="8" s="1"/>
  <c r="P1034" i="8"/>
  <c r="R1034" i="8" s="1"/>
  <c r="P1033" i="8"/>
  <c r="R1033" i="8" s="1"/>
  <c r="P1032" i="8"/>
  <c r="R1032" i="8" s="1"/>
  <c r="P1031" i="8"/>
  <c r="R1031" i="8" s="1"/>
  <c r="P1030" i="8"/>
  <c r="R1030" i="8" s="1"/>
  <c r="P1028" i="8"/>
  <c r="R1028" i="8" s="1"/>
  <c r="P1027" i="8"/>
  <c r="R1027" i="8" s="1"/>
  <c r="P1026" i="8"/>
  <c r="R1026" i="8" s="1"/>
  <c r="P1025" i="8"/>
  <c r="R1025" i="8" s="1"/>
  <c r="P1024" i="8"/>
  <c r="R1024" i="8" s="1"/>
  <c r="P1023" i="8"/>
  <c r="R1023" i="8" s="1"/>
  <c r="P1022" i="8"/>
  <c r="R1022" i="8" s="1"/>
  <c r="P1021" i="8"/>
  <c r="R1021" i="8" s="1"/>
  <c r="P1020" i="8"/>
  <c r="R1020" i="8" s="1"/>
  <c r="P1018" i="8"/>
  <c r="R1018" i="8" s="1"/>
  <c r="P1017" i="8"/>
  <c r="R1017" i="8" s="1"/>
  <c r="P1016" i="8"/>
  <c r="R1016" i="8" s="1"/>
  <c r="P1015" i="8"/>
  <c r="R1015" i="8" s="1"/>
  <c r="P1008" i="8"/>
  <c r="R1008" i="8" s="1"/>
  <c r="P1007" i="8"/>
  <c r="R1007" i="8" s="1"/>
  <c r="P1006" i="8"/>
  <c r="R1006" i="8" s="1"/>
  <c r="P1005" i="8"/>
  <c r="R1005" i="8" s="1"/>
  <c r="P1004" i="8"/>
  <c r="R1004" i="8" s="1"/>
  <c r="P1002" i="8"/>
  <c r="R1002" i="8" s="1"/>
  <c r="P1001" i="8"/>
  <c r="R1001" i="8" s="1"/>
  <c r="P1000" i="8"/>
  <c r="R1000" i="8" s="1"/>
  <c r="P999" i="8"/>
  <c r="R999" i="8" s="1"/>
  <c r="P998" i="8"/>
  <c r="R998" i="8" s="1"/>
  <c r="P996" i="8"/>
  <c r="R996" i="8" s="1"/>
  <c r="P995" i="8"/>
  <c r="R995" i="8" s="1"/>
  <c r="P993" i="8"/>
  <c r="R993" i="8" s="1"/>
  <c r="P992" i="8"/>
  <c r="R992" i="8" s="1"/>
  <c r="P990" i="8"/>
  <c r="R990" i="8" s="1"/>
  <c r="P989" i="8"/>
  <c r="R989" i="8" s="1"/>
  <c r="P988" i="8"/>
  <c r="R988" i="8" s="1"/>
  <c r="P987" i="8"/>
  <c r="R987" i="8" s="1"/>
  <c r="P986" i="8"/>
  <c r="R986" i="8" s="1"/>
  <c r="P985" i="8"/>
  <c r="R985" i="8" s="1"/>
  <c r="P984" i="8"/>
  <c r="R984" i="8" s="1"/>
  <c r="P983" i="8"/>
  <c r="R983" i="8" s="1"/>
  <c r="P982" i="8"/>
  <c r="R982" i="8" s="1"/>
  <c r="P981" i="8"/>
  <c r="R981" i="8" s="1"/>
  <c r="P980" i="8"/>
  <c r="R980" i="8" s="1"/>
  <c r="P979" i="8"/>
  <c r="R979" i="8" s="1"/>
  <c r="P978" i="8"/>
  <c r="R978" i="8" s="1"/>
  <c r="P977" i="8"/>
  <c r="R977" i="8" s="1"/>
  <c r="P976" i="8"/>
  <c r="R976" i="8" s="1"/>
  <c r="P975" i="8"/>
  <c r="R975" i="8" s="1"/>
  <c r="P973" i="8"/>
  <c r="R973" i="8" s="1"/>
  <c r="P972" i="8"/>
  <c r="R972" i="8" s="1"/>
  <c r="P971" i="8"/>
  <c r="R971" i="8" s="1"/>
  <c r="P970" i="8"/>
  <c r="R970" i="8" s="1"/>
  <c r="P968" i="8"/>
  <c r="R968" i="8" s="1"/>
  <c r="P967" i="8"/>
  <c r="R967" i="8" s="1"/>
  <c r="P966" i="8"/>
  <c r="R966" i="8" s="1"/>
  <c r="P965" i="8"/>
  <c r="R965" i="8" s="1"/>
  <c r="P964" i="8"/>
  <c r="R964" i="8" s="1"/>
  <c r="P963" i="8"/>
  <c r="R963" i="8" s="1"/>
  <c r="P962" i="8"/>
  <c r="R962" i="8" s="1"/>
  <c r="P961" i="8"/>
  <c r="R961" i="8" s="1"/>
  <c r="P960" i="8"/>
  <c r="R960" i="8" s="1"/>
  <c r="P958" i="8"/>
  <c r="R958" i="8" s="1"/>
  <c r="P957" i="8"/>
  <c r="R957" i="8" s="1"/>
  <c r="P956" i="8"/>
  <c r="R956" i="8" s="1"/>
  <c r="P955" i="8"/>
  <c r="R955" i="8" s="1"/>
  <c r="P954" i="8"/>
  <c r="R954" i="8" s="1"/>
  <c r="P953" i="8"/>
  <c r="R953" i="8" s="1"/>
  <c r="P952" i="8"/>
  <c r="R952" i="8" s="1"/>
  <c r="P951" i="8"/>
  <c r="R951" i="8" s="1"/>
  <c r="P950" i="8"/>
  <c r="R950" i="8" s="1"/>
  <c r="P949" i="8"/>
  <c r="R949" i="8" s="1"/>
  <c r="P948" i="8"/>
  <c r="R948" i="8" s="1"/>
  <c r="P947" i="8"/>
  <c r="R947" i="8" s="1"/>
  <c r="P946" i="8"/>
  <c r="R946" i="8" s="1"/>
  <c r="P944" i="8"/>
  <c r="R944" i="8" s="1"/>
  <c r="P943" i="8"/>
  <c r="R943" i="8" s="1"/>
  <c r="P942" i="8"/>
  <c r="R942" i="8" s="1"/>
  <c r="P941" i="8"/>
  <c r="R941" i="8" s="1"/>
  <c r="P940" i="8"/>
  <c r="R940" i="8" s="1"/>
  <c r="P939" i="8"/>
  <c r="R939" i="8" s="1"/>
  <c r="P937" i="8"/>
  <c r="R937" i="8" s="1"/>
  <c r="P936" i="8"/>
  <c r="R936" i="8" s="1"/>
  <c r="P935" i="8"/>
  <c r="R935" i="8" s="1"/>
  <c r="P934" i="8"/>
  <c r="R934" i="8" s="1"/>
  <c r="P932" i="8"/>
  <c r="R932" i="8" s="1"/>
  <c r="P931" i="8"/>
  <c r="R931" i="8" s="1"/>
  <c r="P930" i="8"/>
  <c r="R930" i="8" s="1"/>
  <c r="P928" i="8"/>
  <c r="R928" i="8" s="1"/>
  <c r="P927" i="8"/>
  <c r="R927" i="8" s="1"/>
  <c r="P926" i="8"/>
  <c r="R926" i="8" s="1"/>
  <c r="P923" i="8"/>
  <c r="R923" i="8" s="1"/>
  <c r="P922" i="8"/>
  <c r="R922" i="8" s="1"/>
  <c r="P921" i="8"/>
  <c r="R921" i="8" s="1"/>
  <c r="P920" i="8"/>
  <c r="R920" i="8" s="1"/>
  <c r="P919" i="8"/>
  <c r="R919" i="8" s="1"/>
  <c r="P918" i="8"/>
  <c r="R918" i="8" s="1"/>
  <c r="P916" i="8"/>
  <c r="R916" i="8" s="1"/>
  <c r="P915" i="8"/>
  <c r="R915" i="8" s="1"/>
  <c r="P914" i="8"/>
  <c r="R914" i="8" s="1"/>
  <c r="P912" i="8"/>
  <c r="R912" i="8" s="1"/>
  <c r="P911" i="8"/>
  <c r="R911" i="8" s="1"/>
  <c r="P909" i="8"/>
  <c r="R909" i="8" s="1"/>
  <c r="P908" i="8"/>
  <c r="R908" i="8" s="1"/>
  <c r="P907" i="8"/>
  <c r="R907" i="8" s="1"/>
  <c r="P906" i="8"/>
  <c r="R906" i="8" s="1"/>
  <c r="P905" i="8"/>
  <c r="R905" i="8" s="1"/>
  <c r="P904" i="8"/>
  <c r="R904" i="8" s="1"/>
  <c r="P903" i="8"/>
  <c r="R903" i="8" s="1"/>
  <c r="P902" i="8"/>
  <c r="R902" i="8" s="1"/>
  <c r="R1319" i="8" l="1"/>
  <c r="R991" i="8"/>
  <c r="R1299" i="8"/>
  <c r="R1310" i="8"/>
  <c r="R1342" i="8"/>
  <c r="R901" i="8"/>
  <c r="R910" i="8"/>
  <c r="R959" i="8"/>
  <c r="R1029" i="8"/>
  <c r="R1043" i="8"/>
  <c r="R1078" i="8"/>
  <c r="R1094" i="8"/>
  <c r="R1263" i="8"/>
  <c r="R1295" i="8"/>
  <c r="R969" i="8"/>
  <c r="R974" i="8"/>
  <c r="R1035" i="8"/>
  <c r="R1098" i="8"/>
  <c r="R1137" i="8"/>
  <c r="R913" i="8"/>
  <c r="R929" i="8"/>
  <c r="R1052" i="8"/>
  <c r="R1072" i="8"/>
  <c r="R1083" i="8"/>
  <c r="R1182" i="8"/>
  <c r="R1233" i="8"/>
  <c r="R1353" i="8"/>
  <c r="R925" i="8"/>
  <c r="R945" i="8"/>
  <c r="R994" i="8"/>
  <c r="R1014" i="8"/>
  <c r="R1019" i="8"/>
  <c r="R1065" i="8"/>
  <c r="R1089" i="8"/>
  <c r="R1220" i="8"/>
  <c r="R1246" i="8"/>
  <c r="R1291" i="8"/>
  <c r="R1205" i="8"/>
  <c r="R1274" i="8"/>
  <c r="R1325" i="8"/>
  <c r="R1337" i="8"/>
  <c r="R917" i="8"/>
  <c r="R933" i="8"/>
  <c r="R938" i="8"/>
  <c r="R1003" i="8"/>
  <c r="R1112" i="8"/>
  <c r="R1285" i="8"/>
  <c r="K737" i="8"/>
  <c r="K738" i="8"/>
  <c r="K739" i="8"/>
  <c r="K736" i="8"/>
  <c r="I737" i="8"/>
  <c r="O737" i="8" s="1"/>
  <c r="I738" i="8"/>
  <c r="J738" i="8" s="1"/>
  <c r="I739" i="8"/>
  <c r="O739" i="8" s="1"/>
  <c r="I736" i="8"/>
  <c r="J736" i="8" s="1"/>
  <c r="G737" i="8"/>
  <c r="G738" i="8"/>
  <c r="G739" i="8"/>
  <c r="G736" i="8"/>
  <c r="U739" i="8"/>
  <c r="Q739" i="8"/>
  <c r="P739" i="8"/>
  <c r="R739" i="8" s="1"/>
  <c r="U738" i="8"/>
  <c r="Q738" i="8"/>
  <c r="P738" i="8"/>
  <c r="R738" i="8" s="1"/>
  <c r="U737" i="8"/>
  <c r="Q737" i="8"/>
  <c r="P737" i="8"/>
  <c r="R737" i="8" s="1"/>
  <c r="U736" i="8"/>
  <c r="Q736" i="8"/>
  <c r="P736" i="8"/>
  <c r="R736" i="8" s="1"/>
  <c r="N81" i="2"/>
  <c r="I81" i="2"/>
  <c r="D81" i="2"/>
  <c r="K1265" i="8"/>
  <c r="K1266" i="8"/>
  <c r="K1267" i="8"/>
  <c r="K1268" i="8"/>
  <c r="K1269" i="8"/>
  <c r="K1270" i="8"/>
  <c r="K1271" i="8"/>
  <c r="K1272" i="8"/>
  <c r="K1273" i="8"/>
  <c r="K1264" i="8"/>
  <c r="I1265" i="8"/>
  <c r="J1265" i="8" s="1"/>
  <c r="I1266" i="8"/>
  <c r="I1267" i="8"/>
  <c r="J1267" i="8" s="1"/>
  <c r="I1268" i="8"/>
  <c r="J1268" i="8" s="1"/>
  <c r="I1269" i="8"/>
  <c r="J1269" i="8" s="1"/>
  <c r="I1270" i="8"/>
  <c r="I1271" i="8"/>
  <c r="J1271" i="8" s="1"/>
  <c r="I1272" i="8"/>
  <c r="J1272" i="8" s="1"/>
  <c r="I1273" i="8"/>
  <c r="J1273" i="8" s="1"/>
  <c r="I1264" i="8"/>
  <c r="J1264" i="8" s="1"/>
  <c r="G1265" i="8"/>
  <c r="G1266" i="8"/>
  <c r="G1267" i="8"/>
  <c r="G1268" i="8"/>
  <c r="G1269" i="8"/>
  <c r="G1270" i="8"/>
  <c r="G1271" i="8"/>
  <c r="G1272" i="8"/>
  <c r="G1273" i="8"/>
  <c r="G1264" i="8"/>
  <c r="U1273" i="8"/>
  <c r="Q1273" i="8"/>
  <c r="U1272" i="8"/>
  <c r="Q1272" i="8"/>
  <c r="U1271" i="8"/>
  <c r="Q1271" i="8"/>
  <c r="U1270" i="8"/>
  <c r="Q1270" i="8"/>
  <c r="U1269" i="8"/>
  <c r="Q1269" i="8"/>
  <c r="U1268" i="8"/>
  <c r="Q1268" i="8"/>
  <c r="U1267" i="8"/>
  <c r="Q1267" i="8"/>
  <c r="U1266" i="8"/>
  <c r="Q1266" i="8"/>
  <c r="U1265" i="8"/>
  <c r="Q1265" i="8"/>
  <c r="U1264" i="8"/>
  <c r="Q1264" i="8"/>
  <c r="I38" i="2"/>
  <c r="C38" i="2"/>
  <c r="N38" i="2"/>
  <c r="D38" i="2"/>
  <c r="R735" i="8" l="1"/>
  <c r="H736" i="8"/>
  <c r="L738" i="8"/>
  <c r="L736" i="8"/>
  <c r="S738" i="8"/>
  <c r="S739" i="8"/>
  <c r="S1268" i="8"/>
  <c r="S736" i="8"/>
  <c r="S737" i="8"/>
  <c r="O738" i="8"/>
  <c r="O736" i="8"/>
  <c r="P735" i="8"/>
  <c r="S1269" i="8"/>
  <c r="S1272" i="8"/>
  <c r="S1273" i="8"/>
  <c r="H739" i="8"/>
  <c r="H737" i="8"/>
  <c r="J739" i="8"/>
  <c r="L739" i="8" s="1"/>
  <c r="J737" i="8"/>
  <c r="L737" i="8" s="1"/>
  <c r="H738" i="8"/>
  <c r="Q735" i="8"/>
  <c r="S1264" i="8"/>
  <c r="S1265" i="8"/>
  <c r="S1266" i="8"/>
  <c r="S1270" i="8"/>
  <c r="S1271" i="8"/>
  <c r="S1267" i="8"/>
  <c r="P1263" i="8"/>
  <c r="H1272" i="8"/>
  <c r="O1273" i="8"/>
  <c r="H1268" i="8"/>
  <c r="H1264" i="8"/>
  <c r="H1270" i="8"/>
  <c r="H1266" i="8"/>
  <c r="J1266" i="8"/>
  <c r="L1266" i="8" s="1"/>
  <c r="H1273" i="8"/>
  <c r="H1269" i="8"/>
  <c r="H1265" i="8"/>
  <c r="L1268" i="8"/>
  <c r="L1273" i="8"/>
  <c r="L1269" i="8"/>
  <c r="L1272" i="8"/>
  <c r="L1271" i="8"/>
  <c r="L1265" i="8"/>
  <c r="H1267" i="8"/>
  <c r="J1270" i="8"/>
  <c r="L1270" i="8" s="1"/>
  <c r="H1271" i="8"/>
  <c r="L1264" i="8"/>
  <c r="L1267" i="8"/>
  <c r="O1264" i="8"/>
  <c r="O1265" i="8"/>
  <c r="O1266" i="8"/>
  <c r="O1267" i="8"/>
  <c r="O1268" i="8"/>
  <c r="O1269" i="8"/>
  <c r="O1270" i="8"/>
  <c r="O1271" i="8"/>
  <c r="O1272" i="8"/>
  <c r="Q1263" i="8"/>
  <c r="U1360" i="8"/>
  <c r="U1359" i="8"/>
  <c r="U1358" i="8"/>
  <c r="U1357" i="8"/>
  <c r="U1356" i="8"/>
  <c r="U1355" i="8"/>
  <c r="U1354" i="8"/>
  <c r="U1352" i="8"/>
  <c r="U1351" i="8"/>
  <c r="U1350" i="8"/>
  <c r="U1349" i="8"/>
  <c r="U1348" i="8"/>
  <c r="U1347" i="8"/>
  <c r="U1346" i="8"/>
  <c r="U1345" i="8"/>
  <c r="U1344" i="8"/>
  <c r="U1343" i="8"/>
  <c r="U1334" i="8"/>
  <c r="U1332" i="8"/>
  <c r="U1331" i="8"/>
  <c r="U1330" i="8"/>
  <c r="U1329" i="8"/>
  <c r="U1326" i="8"/>
  <c r="U1324" i="8"/>
  <c r="U1320" i="8"/>
  <c r="U1341" i="8"/>
  <c r="U1340" i="8"/>
  <c r="U1339" i="8"/>
  <c r="U1338" i="8"/>
  <c r="U1318" i="8"/>
  <c r="U1317" i="8"/>
  <c r="U1316" i="8"/>
  <c r="U1315" i="8"/>
  <c r="U1314" i="8"/>
  <c r="U1313" i="8"/>
  <c r="U1312" i="8"/>
  <c r="U1311" i="8"/>
  <c r="U1309" i="8"/>
  <c r="U1308" i="8"/>
  <c r="U1307" i="8"/>
  <c r="U1306" i="8"/>
  <c r="U1304" i="8"/>
  <c r="U1303" i="8"/>
  <c r="U1302" i="8"/>
  <c r="U1300" i="8"/>
  <c r="U1298" i="8"/>
  <c r="U1297" i="8"/>
  <c r="U1296" i="8"/>
  <c r="U1294" i="8"/>
  <c r="U1293" i="8"/>
  <c r="U1292" i="8"/>
  <c r="U1290" i="8"/>
  <c r="U1289" i="8"/>
  <c r="U1288" i="8"/>
  <c r="U1287" i="8"/>
  <c r="U1286" i="8"/>
  <c r="U1284" i="8"/>
  <c r="U1283" i="8"/>
  <c r="U1282" i="8"/>
  <c r="U1281" i="8"/>
  <c r="U1280" i="8"/>
  <c r="U1279" i="8"/>
  <c r="U1278" i="8"/>
  <c r="U1277" i="8"/>
  <c r="U1276" i="8"/>
  <c r="U1275" i="8"/>
  <c r="U1262" i="8"/>
  <c r="U1261" i="8" s="1"/>
  <c r="U1260" i="8"/>
  <c r="U1259" i="8"/>
  <c r="U1258" i="8"/>
  <c r="U1257" i="8"/>
  <c r="U1256" i="8"/>
  <c r="U1255" i="8"/>
  <c r="U1254" i="8"/>
  <c r="U1253" i="8"/>
  <c r="U1252" i="8"/>
  <c r="U1251" i="8"/>
  <c r="U1250" i="8"/>
  <c r="U1249" i="8"/>
  <c r="U1248" i="8"/>
  <c r="U1247" i="8"/>
  <c r="U1245" i="8"/>
  <c r="U1244" i="8"/>
  <c r="U1243" i="8"/>
  <c r="U1242" i="8"/>
  <c r="U1241" i="8"/>
  <c r="U1240" i="8"/>
  <c r="U1239" i="8"/>
  <c r="U1238" i="8"/>
  <c r="U1237" i="8"/>
  <c r="U1236" i="8"/>
  <c r="U1235" i="8"/>
  <c r="U1234" i="8"/>
  <c r="U1232" i="8"/>
  <c r="U1231" i="8"/>
  <c r="U1230" i="8"/>
  <c r="U1229" i="8"/>
  <c r="U1228" i="8"/>
  <c r="U1227" i="8"/>
  <c r="U1226" i="8"/>
  <c r="U1225" i="8"/>
  <c r="U1224" i="8"/>
  <c r="U1223" i="8"/>
  <c r="U1222" i="8"/>
  <c r="U1221" i="8"/>
  <c r="U1219" i="8"/>
  <c r="U1218" i="8"/>
  <c r="U1217" i="8"/>
  <c r="U1216" i="8"/>
  <c r="U1215" i="8"/>
  <c r="U1214" i="8"/>
  <c r="U1213" i="8"/>
  <c r="U1212" i="8"/>
  <c r="U1211" i="8"/>
  <c r="U1210" i="8"/>
  <c r="U1209" i="8"/>
  <c r="U1207" i="8"/>
  <c r="U1206" i="8"/>
  <c r="U1204" i="8"/>
  <c r="U1203" i="8"/>
  <c r="U1201" i="8"/>
  <c r="U1200" i="8"/>
  <c r="U1199" i="8"/>
  <c r="U1198" i="8"/>
  <c r="U1197" i="8"/>
  <c r="U1196" i="8"/>
  <c r="U1195" i="8"/>
  <c r="U1194" i="8"/>
  <c r="U1193" i="8"/>
  <c r="U1192" i="8"/>
  <c r="U1191" i="8"/>
  <c r="U1190" i="8"/>
  <c r="U1189" i="8"/>
  <c r="U1188" i="8"/>
  <c r="U1187" i="8"/>
  <c r="U1186" i="8"/>
  <c r="U1185" i="8"/>
  <c r="U1183" i="8"/>
  <c r="U1163" i="8"/>
  <c r="U1178" i="8"/>
  <c r="U1177" i="8"/>
  <c r="U1176" i="8"/>
  <c r="U1175" i="8"/>
  <c r="U1173" i="8"/>
  <c r="U1172" i="8"/>
  <c r="U1171" i="8"/>
  <c r="U1170" i="8"/>
  <c r="U1168" i="8"/>
  <c r="U1167" i="8"/>
  <c r="U1166" i="8"/>
  <c r="U1165" i="8"/>
  <c r="U1164" i="8"/>
  <c r="U1161" i="8"/>
  <c r="U1160" i="8"/>
  <c r="U1159" i="8"/>
  <c r="U1158" i="8"/>
  <c r="U1157" i="8"/>
  <c r="U1156" i="8"/>
  <c r="U1155" i="8"/>
  <c r="U1154" i="8"/>
  <c r="U1153" i="8"/>
  <c r="U1151" i="8"/>
  <c r="U1150" i="8"/>
  <c r="U1149" i="8"/>
  <c r="U1148" i="8"/>
  <c r="U1147" i="8"/>
  <c r="U1146" i="8"/>
  <c r="U1144" i="8"/>
  <c r="U1143" i="8"/>
  <c r="U1142" i="8"/>
  <c r="U1141" i="8"/>
  <c r="U1140" i="8"/>
  <c r="U1138" i="8"/>
  <c r="U1136" i="8"/>
  <c r="U1135" i="8"/>
  <c r="U1134" i="8"/>
  <c r="U1133" i="8"/>
  <c r="U1132" i="8"/>
  <c r="U1130" i="8"/>
  <c r="U1129" i="8"/>
  <c r="U1128" i="8"/>
  <c r="U1126" i="8"/>
  <c r="U1125" i="8"/>
  <c r="U1124" i="8"/>
  <c r="U1123" i="8"/>
  <c r="U1122" i="8"/>
  <c r="U1121" i="8"/>
  <c r="U1120" i="8"/>
  <c r="U1119" i="8"/>
  <c r="U1118" i="8"/>
  <c r="U1117" i="8"/>
  <c r="U1116" i="8"/>
  <c r="U1114" i="8"/>
  <c r="U1113" i="8"/>
  <c r="U1111" i="8"/>
  <c r="U1110" i="8"/>
  <c r="U1109" i="8"/>
  <c r="U1108" i="8"/>
  <c r="U1107" i="8"/>
  <c r="U1106" i="8"/>
  <c r="U1105" i="8"/>
  <c r="U1104" i="8"/>
  <c r="U1103" i="8"/>
  <c r="U1102" i="8"/>
  <c r="U1101" i="8"/>
  <c r="U1100" i="8"/>
  <c r="U1099" i="8"/>
  <c r="U1097" i="8"/>
  <c r="U1096" i="8"/>
  <c r="U1095" i="8"/>
  <c r="U1093" i="8"/>
  <c r="U1091" i="8"/>
  <c r="U1090" i="8"/>
  <c r="U1088" i="8"/>
  <c r="U1087" i="8"/>
  <c r="U1086" i="8"/>
  <c r="U1085" i="8"/>
  <c r="U1084" i="8"/>
  <c r="U1081" i="8"/>
  <c r="U1079" i="8"/>
  <c r="U1077" i="8"/>
  <c r="U1076" i="8"/>
  <c r="U1073" i="8"/>
  <c r="U1071" i="8"/>
  <c r="U1070" i="8"/>
  <c r="U1069" i="8"/>
  <c r="U1068" i="8"/>
  <c r="U1067" i="8"/>
  <c r="U1066" i="8"/>
  <c r="U1056" i="8"/>
  <c r="U1055" i="8"/>
  <c r="U1053" i="8"/>
  <c r="U1051" i="8"/>
  <c r="U1050" i="8"/>
  <c r="U1049" i="8"/>
  <c r="U1048" i="8"/>
  <c r="U1047" i="8"/>
  <c r="U1046" i="8"/>
  <c r="U1045" i="8"/>
  <c r="U1044" i="8"/>
  <c r="U1042" i="8"/>
  <c r="U1041" i="8"/>
  <c r="U1040" i="8"/>
  <c r="U1039" i="8"/>
  <c r="U1038" i="8"/>
  <c r="U1037" i="8"/>
  <c r="U1036" i="8"/>
  <c r="U1034" i="8"/>
  <c r="U1033" i="8"/>
  <c r="U1032" i="8"/>
  <c r="U1031" i="8"/>
  <c r="U1030" i="8"/>
  <c r="U1028" i="8"/>
  <c r="U1027" i="8"/>
  <c r="U1026" i="8"/>
  <c r="U1025" i="8"/>
  <c r="U1024" i="8"/>
  <c r="U1023" i="8"/>
  <c r="U1022" i="8"/>
  <c r="U1021" i="8"/>
  <c r="U1020" i="8"/>
  <c r="U1018" i="8"/>
  <c r="U1017" i="8"/>
  <c r="U1016" i="8"/>
  <c r="U1015" i="8"/>
  <c r="U1008" i="8"/>
  <c r="U1007" i="8"/>
  <c r="U1006" i="8"/>
  <c r="U1005" i="8"/>
  <c r="U1004" i="8"/>
  <c r="U1002" i="8"/>
  <c r="U1001" i="8"/>
  <c r="U1000" i="8"/>
  <c r="U999" i="8"/>
  <c r="U998" i="8"/>
  <c r="U996" i="8"/>
  <c r="U995" i="8"/>
  <c r="U993" i="8"/>
  <c r="U992" i="8"/>
  <c r="U990" i="8"/>
  <c r="U989" i="8"/>
  <c r="U988" i="8"/>
  <c r="U987" i="8"/>
  <c r="U986" i="8"/>
  <c r="U985" i="8"/>
  <c r="U984" i="8"/>
  <c r="U983" i="8"/>
  <c r="U982" i="8"/>
  <c r="U981" i="8"/>
  <c r="U980" i="8"/>
  <c r="U979" i="8"/>
  <c r="U978" i="8"/>
  <c r="U977" i="8"/>
  <c r="U976" i="8"/>
  <c r="U975" i="8"/>
  <c r="U973" i="8"/>
  <c r="U972" i="8"/>
  <c r="U971" i="8"/>
  <c r="U970" i="8"/>
  <c r="U968" i="8"/>
  <c r="U967" i="8"/>
  <c r="U966" i="8"/>
  <c r="U965" i="8"/>
  <c r="U964" i="8"/>
  <c r="U963" i="8"/>
  <c r="U962" i="8"/>
  <c r="U961" i="8"/>
  <c r="U960" i="8"/>
  <c r="U958" i="8"/>
  <c r="U957" i="8"/>
  <c r="U956" i="8"/>
  <c r="U955" i="8"/>
  <c r="U954" i="8"/>
  <c r="U953" i="8"/>
  <c r="U952" i="8"/>
  <c r="U951" i="8"/>
  <c r="U950" i="8"/>
  <c r="U949" i="8"/>
  <c r="U948" i="8"/>
  <c r="U947" i="8"/>
  <c r="U946" i="8"/>
  <c r="U944" i="8"/>
  <c r="U943" i="8"/>
  <c r="U942" i="8"/>
  <c r="U941" i="8"/>
  <c r="U940" i="8"/>
  <c r="U939" i="8"/>
  <c r="U937" i="8"/>
  <c r="U936" i="8"/>
  <c r="U935" i="8"/>
  <c r="U934" i="8"/>
  <c r="U932" i="8"/>
  <c r="U931" i="8"/>
  <c r="U930" i="8"/>
  <c r="U928" i="8"/>
  <c r="U927" i="8"/>
  <c r="U926" i="8"/>
  <c r="U923" i="8"/>
  <c r="U922" i="8"/>
  <c r="U921" i="8"/>
  <c r="U920" i="8"/>
  <c r="U919" i="8"/>
  <c r="U918" i="8"/>
  <c r="U916" i="8"/>
  <c r="U915" i="8"/>
  <c r="U914" i="8"/>
  <c r="U912" i="8"/>
  <c r="U911" i="8"/>
  <c r="U909" i="8"/>
  <c r="U908" i="8"/>
  <c r="U907" i="8"/>
  <c r="U906" i="8"/>
  <c r="U905" i="8"/>
  <c r="U904" i="8"/>
  <c r="U903" i="8"/>
  <c r="U902" i="8"/>
  <c r="U900" i="8"/>
  <c r="U899" i="8"/>
  <c r="U898" i="8"/>
  <c r="U897" i="8"/>
  <c r="U896" i="8"/>
  <c r="U894" i="8"/>
  <c r="U893" i="8"/>
  <c r="U892" i="8"/>
  <c r="U891" i="8"/>
  <c r="U890" i="8"/>
  <c r="U888" i="8"/>
  <c r="U887" i="8"/>
  <c r="U886" i="8"/>
  <c r="U885" i="8"/>
  <c r="U884" i="8"/>
  <c r="U883" i="8"/>
  <c r="U881" i="8"/>
  <c r="U880" i="8"/>
  <c r="U879" i="8"/>
  <c r="U878" i="8"/>
  <c r="U877" i="8"/>
  <c r="U876" i="8"/>
  <c r="U875" i="8"/>
  <c r="U874" i="8"/>
  <c r="U873" i="8"/>
  <c r="U872" i="8"/>
  <c r="U871" i="8"/>
  <c r="U870" i="8"/>
  <c r="U869" i="8"/>
  <c r="U868" i="8"/>
  <c r="U867" i="8"/>
  <c r="U866" i="8"/>
  <c r="U865" i="8"/>
  <c r="U864" i="8"/>
  <c r="U863" i="8"/>
  <c r="U862" i="8"/>
  <c r="U860" i="8"/>
  <c r="U859" i="8"/>
  <c r="U857" i="8"/>
  <c r="U856" i="8"/>
  <c r="U855" i="8"/>
  <c r="U854" i="8"/>
  <c r="U853" i="8"/>
  <c r="U852" i="8"/>
  <c r="U851" i="8"/>
  <c r="U850" i="8"/>
  <c r="U841" i="8"/>
  <c r="U840" i="8"/>
  <c r="U839" i="8"/>
  <c r="U838" i="8"/>
  <c r="U837" i="8"/>
  <c r="U836" i="8"/>
  <c r="U834" i="8"/>
  <c r="U833" i="8"/>
  <c r="U832" i="8"/>
  <c r="U831" i="8"/>
  <c r="U829" i="8"/>
  <c r="U828" i="8"/>
  <c r="U827" i="8"/>
  <c r="U826" i="8"/>
  <c r="U825" i="8"/>
  <c r="U821" i="8"/>
  <c r="U820" i="8"/>
  <c r="U819" i="8"/>
  <c r="U801" i="8"/>
  <c r="U800" i="8"/>
  <c r="U799" i="8"/>
  <c r="U798" i="8"/>
  <c r="U797" i="8"/>
  <c r="U795" i="8"/>
  <c r="U794" i="8"/>
  <c r="U793" i="8"/>
  <c r="U792" i="8"/>
  <c r="U786" i="8"/>
  <c r="U785" i="8"/>
  <c r="U784" i="8"/>
  <c r="U783" i="8"/>
  <c r="U782" i="8"/>
  <c r="U780" i="8"/>
  <c r="U779" i="8"/>
  <c r="U778" i="8"/>
  <c r="U777" i="8"/>
  <c r="U775" i="8"/>
  <c r="U774" i="8"/>
  <c r="U773" i="8"/>
  <c r="U772" i="8"/>
  <c r="U771" i="8"/>
  <c r="U770" i="8"/>
  <c r="U769" i="8"/>
  <c r="U768" i="8"/>
  <c r="U767" i="8"/>
  <c r="U766" i="8"/>
  <c r="U764" i="8"/>
  <c r="U763" i="8"/>
  <c r="U762" i="8"/>
  <c r="U761" i="8"/>
  <c r="U760" i="8"/>
  <c r="U758" i="8"/>
  <c r="U757" i="8"/>
  <c r="U756" i="8"/>
  <c r="U755" i="8"/>
  <c r="U754" i="8"/>
  <c r="U752" i="8"/>
  <c r="U751" i="8"/>
  <c r="U750" i="8"/>
  <c r="U749" i="8"/>
  <c r="U748" i="8"/>
  <c r="U747" i="8"/>
  <c r="U745" i="8"/>
  <c r="U744" i="8"/>
  <c r="U743" i="8"/>
  <c r="U742" i="8"/>
  <c r="U741" i="8"/>
  <c r="U734" i="8"/>
  <c r="U733" i="8"/>
  <c r="U732" i="8"/>
  <c r="U730" i="8"/>
  <c r="U729" i="8"/>
  <c r="U728" i="8"/>
  <c r="U727" i="8"/>
  <c r="U726" i="8"/>
  <c r="U725" i="8"/>
  <c r="U724" i="8"/>
  <c r="U722" i="8"/>
  <c r="U721" i="8"/>
  <c r="U719" i="8"/>
  <c r="U718" i="8"/>
  <c r="U717" i="8"/>
  <c r="U716" i="8"/>
  <c r="U715" i="8"/>
  <c r="U714" i="8"/>
  <c r="U712" i="8"/>
  <c r="U710" i="8"/>
  <c r="U708" i="8"/>
  <c r="U706" i="8"/>
  <c r="U704" i="8"/>
  <c r="U703" i="8"/>
  <c r="U702" i="8"/>
  <c r="U701" i="8"/>
  <c r="U699" i="8"/>
  <c r="U709" i="8"/>
  <c r="U707" i="8"/>
  <c r="U705" i="8"/>
  <c r="U698" i="8"/>
  <c r="U696" i="8"/>
  <c r="U695" i="8"/>
  <c r="U694" i="8"/>
  <c r="U693" i="8"/>
  <c r="U692" i="8"/>
  <c r="U691" i="8"/>
  <c r="U690" i="8"/>
  <c r="U689" i="8"/>
  <c r="U688" i="8"/>
  <c r="U687" i="8"/>
  <c r="U685" i="8"/>
  <c r="U684" i="8"/>
  <c r="U683" i="8"/>
  <c r="U682" i="8"/>
  <c r="U681" i="8"/>
  <c r="U677" i="8"/>
  <c r="U676" i="8"/>
  <c r="U675" i="8"/>
  <c r="U661" i="8"/>
  <c r="U660" i="8"/>
  <c r="U659" i="8"/>
  <c r="U658" i="8"/>
  <c r="U657" i="8"/>
  <c r="U656" i="8"/>
  <c r="U655" i="8"/>
  <c r="U654" i="8"/>
  <c r="U653" i="8"/>
  <c r="U652" i="8"/>
  <c r="U651" i="8"/>
  <c r="U650" i="8"/>
  <c r="U648" i="8"/>
  <c r="U647" i="8"/>
  <c r="U646" i="8"/>
  <c r="U645" i="8"/>
  <c r="U644" i="8"/>
  <c r="U642" i="8"/>
  <c r="U641" i="8"/>
  <c r="U640" i="8"/>
  <c r="U639" i="8"/>
  <c r="U638" i="8"/>
  <c r="U636" i="8"/>
  <c r="U635" i="8"/>
  <c r="U634" i="8"/>
  <c r="U633" i="8"/>
  <c r="U631" i="8"/>
  <c r="U630" i="8"/>
  <c r="U629" i="8"/>
  <c r="U628" i="8"/>
  <c r="U626" i="8"/>
  <c r="U625" i="8"/>
  <c r="U624" i="8"/>
  <c r="U623" i="8"/>
  <c r="U622" i="8"/>
  <c r="U621" i="8"/>
  <c r="U620" i="8"/>
  <c r="U619" i="8"/>
  <c r="U618" i="8"/>
  <c r="U617" i="8"/>
  <c r="U616" i="8"/>
  <c r="U615" i="8"/>
  <c r="U614" i="8"/>
  <c r="U613" i="8"/>
  <c r="U612" i="8"/>
  <c r="U611" i="8"/>
  <c r="U610" i="8"/>
  <c r="U609" i="8"/>
  <c r="U608" i="8"/>
  <c r="U607" i="8"/>
  <c r="U605" i="8"/>
  <c r="U604" i="8"/>
  <c r="U603" i="8"/>
  <c r="U602" i="8"/>
  <c r="U601" i="8"/>
  <c r="U600" i="8"/>
  <c r="U599" i="8"/>
  <c r="U597" i="8"/>
  <c r="U596" i="8"/>
  <c r="U594" i="8"/>
  <c r="U593" i="8"/>
  <c r="U591" i="8"/>
  <c r="U590" i="8"/>
  <c r="U589" i="8"/>
  <c r="U588" i="8"/>
  <c r="U587" i="8"/>
  <c r="U586" i="8"/>
  <c r="U585" i="8"/>
  <c r="U584" i="8"/>
  <c r="U583" i="8"/>
  <c r="U582" i="8"/>
  <c r="U580" i="8"/>
  <c r="U579" i="8"/>
  <c r="U578" i="8"/>
  <c r="U577" i="8"/>
  <c r="U576" i="8"/>
  <c r="U575" i="8"/>
  <c r="U574" i="8"/>
  <c r="U573" i="8"/>
  <c r="U572" i="8"/>
  <c r="U571" i="8"/>
  <c r="U570" i="8"/>
  <c r="U568" i="8"/>
  <c r="U567" i="8"/>
  <c r="U566" i="8"/>
  <c r="U564" i="8"/>
  <c r="U563" i="8"/>
  <c r="U562" i="8"/>
  <c r="U537" i="8"/>
  <c r="U536" i="8"/>
  <c r="U535" i="8"/>
  <c r="U534" i="8"/>
  <c r="U533" i="8"/>
  <c r="U532" i="8"/>
  <c r="U531" i="8"/>
  <c r="U530" i="8"/>
  <c r="U529" i="8"/>
  <c r="U528" i="8"/>
  <c r="U527" i="8"/>
  <c r="U526" i="8"/>
  <c r="U524" i="8"/>
  <c r="U523" i="8"/>
  <c r="U521" i="8"/>
  <c r="U520" i="8"/>
  <c r="U519" i="8"/>
  <c r="U518" i="8"/>
  <c r="U517" i="8"/>
  <c r="U515" i="8"/>
  <c r="U514" i="8"/>
  <c r="U513" i="8"/>
  <c r="U512" i="8"/>
  <c r="U511" i="8"/>
  <c r="U509" i="8"/>
  <c r="U508" i="8"/>
  <c r="U507" i="8"/>
  <c r="U506" i="8"/>
  <c r="U505" i="8"/>
  <c r="U504" i="8"/>
  <c r="U503" i="8"/>
  <c r="U502" i="8"/>
  <c r="U501" i="8"/>
  <c r="U500" i="8"/>
  <c r="U499" i="8"/>
  <c r="U498" i="8"/>
  <c r="U516" i="8"/>
  <c r="U497" i="8"/>
  <c r="U510" i="8"/>
  <c r="U496" i="8"/>
  <c r="U495" i="8"/>
  <c r="U494" i="8"/>
  <c r="U493" i="8"/>
  <c r="U492" i="8"/>
  <c r="U491" i="8"/>
  <c r="U490" i="8"/>
  <c r="U480" i="8"/>
  <c r="U478" i="8"/>
  <c r="U475" i="8"/>
  <c r="U470" i="8"/>
  <c r="U459" i="8"/>
  <c r="U456" i="8"/>
  <c r="U454" i="8"/>
  <c r="U489" i="8"/>
  <c r="U488" i="8"/>
  <c r="U487" i="8"/>
  <c r="U486" i="8"/>
  <c r="U485" i="8"/>
  <c r="U484" i="8"/>
  <c r="U483" i="8"/>
  <c r="U482" i="8"/>
  <c r="U481" i="8"/>
  <c r="U479" i="8"/>
  <c r="U477" i="8"/>
  <c r="U476" i="8"/>
  <c r="U474" i="8"/>
  <c r="U473" i="8"/>
  <c r="U472" i="8"/>
  <c r="U471" i="8"/>
  <c r="U469" i="8"/>
  <c r="U467" i="8"/>
  <c r="U466" i="8"/>
  <c r="U465" i="8"/>
  <c r="U464" i="8"/>
  <c r="U463" i="8"/>
  <c r="U462" i="8"/>
  <c r="U461" i="8"/>
  <c r="U460" i="8"/>
  <c r="U458" i="8"/>
  <c r="U457" i="8"/>
  <c r="U455" i="8"/>
  <c r="U453" i="8"/>
  <c r="U452" i="8"/>
  <c r="U450" i="8"/>
  <c r="U449" i="8"/>
  <c r="U448" i="8"/>
  <c r="U447" i="8"/>
  <c r="U446" i="8"/>
  <c r="U445" i="8"/>
  <c r="U444" i="8"/>
  <c r="U442" i="8"/>
  <c r="U441" i="8"/>
  <c r="U440" i="8"/>
  <c r="U438" i="8"/>
  <c r="U437" i="8"/>
  <c r="U436" i="8"/>
  <c r="U435" i="8"/>
  <c r="U433" i="8"/>
  <c r="U432" i="8"/>
  <c r="U431" i="8"/>
  <c r="U430" i="8"/>
  <c r="U405" i="8"/>
  <c r="U404" i="8"/>
  <c r="U402" i="8"/>
  <c r="U401" i="8"/>
  <c r="U400" i="8"/>
  <c r="U399" i="8"/>
  <c r="U397" i="8"/>
  <c r="U396" i="8"/>
  <c r="U395" i="8"/>
  <c r="U394" i="8"/>
  <c r="U393" i="8"/>
  <c r="U392" i="8"/>
  <c r="U391" i="8"/>
  <c r="U390" i="8"/>
  <c r="U389" i="8"/>
  <c r="U398" i="8"/>
  <c r="U388" i="8"/>
  <c r="U387" i="8"/>
  <c r="U386" i="8"/>
  <c r="U385" i="8"/>
  <c r="U384" i="8"/>
  <c r="U382" i="8"/>
  <c r="U381" i="8"/>
  <c r="U377" i="8"/>
  <c r="U379" i="8"/>
  <c r="U378" i="8"/>
  <c r="U376" i="8"/>
  <c r="U374" i="8"/>
  <c r="U373" i="8"/>
  <c r="U372" i="8"/>
  <c r="U370" i="8"/>
  <c r="U369" i="8"/>
  <c r="U367" i="8"/>
  <c r="U366" i="8"/>
  <c r="U364" i="8"/>
  <c r="U363" i="8"/>
  <c r="U362" i="8"/>
  <c r="U361" i="8"/>
  <c r="U359" i="8"/>
  <c r="U358" i="8"/>
  <c r="U357" i="8"/>
  <c r="U356" i="8"/>
  <c r="U354" i="8"/>
  <c r="U353" i="8"/>
  <c r="U352" i="8"/>
  <c r="U351" i="8"/>
  <c r="U350" i="8"/>
  <c r="U349" i="8"/>
  <c r="U348" i="8"/>
  <c r="U347" i="8"/>
  <c r="U346" i="8"/>
  <c r="U343" i="8"/>
  <c r="U360" i="8"/>
  <c r="U342" i="8"/>
  <c r="U355" i="8"/>
  <c r="U341" i="8"/>
  <c r="U339" i="8"/>
  <c r="U338" i="8"/>
  <c r="U329" i="8"/>
  <c r="U309" i="8"/>
  <c r="U306" i="8"/>
  <c r="U337" i="8"/>
  <c r="U336" i="8"/>
  <c r="U335" i="8"/>
  <c r="U333" i="8"/>
  <c r="U332" i="8"/>
  <c r="U331" i="8"/>
  <c r="U330" i="8"/>
  <c r="U328" i="8"/>
  <c r="U327" i="8"/>
  <c r="U326" i="8"/>
  <c r="U325" i="8"/>
  <c r="U324" i="8"/>
  <c r="U323" i="8"/>
  <c r="U322" i="8"/>
  <c r="U321" i="8"/>
  <c r="U320" i="8"/>
  <c r="U319" i="8"/>
  <c r="U318" i="8"/>
  <c r="U315" i="8"/>
  <c r="U314" i="8"/>
  <c r="U313" i="8"/>
  <c r="U311" i="8"/>
  <c r="U310" i="8"/>
  <c r="U308" i="8"/>
  <c r="U307" i="8"/>
  <c r="U305" i="8"/>
  <c r="U303" i="8"/>
  <c r="U300" i="8"/>
  <c r="U299" i="8"/>
  <c r="U298" i="8"/>
  <c r="U296" i="8"/>
  <c r="U295" i="8"/>
  <c r="U294" i="8"/>
  <c r="U292" i="8"/>
  <c r="U302" i="8"/>
  <c r="U291" i="8"/>
  <c r="U297" i="8"/>
  <c r="U290" i="8"/>
  <c r="U289" i="8"/>
  <c r="U286" i="8"/>
  <c r="U280" i="8"/>
  <c r="U277" i="8"/>
  <c r="U288" i="8"/>
  <c r="U287" i="8"/>
  <c r="U285" i="8"/>
  <c r="U284" i="8"/>
  <c r="U283" i="8"/>
  <c r="U282" i="8"/>
  <c r="U281" i="8"/>
  <c r="U279" i="8"/>
  <c r="U276" i="8"/>
  <c r="U274" i="8"/>
  <c r="U272" i="8"/>
  <c r="U271" i="8"/>
  <c r="U269" i="8"/>
  <c r="U268" i="8"/>
  <c r="U267" i="8"/>
  <c r="U266" i="8"/>
  <c r="U222" i="8"/>
  <c r="U221" i="8"/>
  <c r="U220" i="8"/>
  <c r="U219" i="8"/>
  <c r="U218" i="8"/>
  <c r="U217" i="8"/>
  <c r="U216" i="8"/>
  <c r="U182" i="8"/>
  <c r="U181" i="8"/>
  <c r="U179" i="8"/>
  <c r="U214" i="8"/>
  <c r="U213" i="8"/>
  <c r="U212" i="8"/>
  <c r="U210" i="8"/>
  <c r="U208" i="8"/>
  <c r="U207" i="8"/>
  <c r="U206" i="8"/>
  <c r="U205" i="8"/>
  <c r="U204" i="8"/>
  <c r="U203" i="8"/>
  <c r="U201" i="8"/>
  <c r="U200" i="8"/>
  <c r="U199" i="8"/>
  <c r="U198" i="8"/>
  <c r="U197" i="8"/>
  <c r="U195" i="8"/>
  <c r="U194" i="8"/>
  <c r="U193" i="8"/>
  <c r="U187" i="8"/>
  <c r="U185" i="8"/>
  <c r="U192" i="8"/>
  <c r="U191" i="8"/>
  <c r="U190" i="8"/>
  <c r="U189" i="8"/>
  <c r="U188" i="8"/>
  <c r="U186" i="8"/>
  <c r="U184" i="8"/>
  <c r="U177" i="8"/>
  <c r="U176" i="8"/>
  <c r="U173" i="8"/>
  <c r="U172" i="8"/>
  <c r="U171" i="8"/>
  <c r="U170" i="8"/>
  <c r="U169" i="8"/>
  <c r="U168" i="8"/>
  <c r="U166" i="8"/>
  <c r="U165" i="8"/>
  <c r="U164" i="8"/>
  <c r="U163" i="8"/>
  <c r="U162" i="8"/>
  <c r="U161" i="8"/>
  <c r="U160" i="8"/>
  <c r="U159" i="8"/>
  <c r="U157" i="8"/>
  <c r="U156" i="8"/>
  <c r="U155" i="8"/>
  <c r="U154" i="8"/>
  <c r="U152" i="8"/>
  <c r="U151" i="8"/>
  <c r="U150" i="8"/>
  <c r="U149" i="8"/>
  <c r="U148" i="8"/>
  <c r="U147" i="8"/>
  <c r="U144" i="8"/>
  <c r="U143" i="8"/>
  <c r="U142" i="8"/>
  <c r="U167" i="8"/>
  <c r="U141" i="8"/>
  <c r="U158" i="8"/>
  <c r="U140" i="8"/>
  <c r="U139" i="8"/>
  <c r="U138" i="8"/>
  <c r="U137" i="8"/>
  <c r="U136" i="8"/>
  <c r="U135" i="8"/>
  <c r="U134" i="8"/>
  <c r="U133" i="8"/>
  <c r="U132" i="8"/>
  <c r="U131" i="8"/>
  <c r="U130" i="8"/>
  <c r="U129" i="8"/>
  <c r="U128" i="8"/>
  <c r="U117" i="8"/>
  <c r="U110" i="8"/>
  <c r="U112" i="8"/>
  <c r="U107" i="8"/>
  <c r="U127" i="8"/>
  <c r="U96" i="8"/>
  <c r="U91" i="8"/>
  <c r="U89" i="8"/>
  <c r="U88" i="8"/>
  <c r="U86" i="8"/>
  <c r="U126" i="8"/>
  <c r="U125" i="8"/>
  <c r="U124" i="8"/>
  <c r="U123" i="8"/>
  <c r="U122" i="8"/>
  <c r="U121" i="8"/>
  <c r="U119" i="8"/>
  <c r="U115" i="8"/>
  <c r="U114" i="8"/>
  <c r="U113" i="8"/>
  <c r="U111" i="8"/>
  <c r="U109" i="8"/>
  <c r="U108" i="8"/>
  <c r="U106" i="8"/>
  <c r="U104" i="8"/>
  <c r="U103" i="8"/>
  <c r="U102" i="8"/>
  <c r="U101" i="8"/>
  <c r="U100" i="8"/>
  <c r="U99" i="8"/>
  <c r="U98" i="8"/>
  <c r="U97" i="8"/>
  <c r="U95" i="8"/>
  <c r="U94" i="8"/>
  <c r="U93" i="8"/>
  <c r="U92" i="8"/>
  <c r="U90" i="8"/>
  <c r="U85" i="8"/>
  <c r="U84" i="8"/>
  <c r="U82" i="8"/>
  <c r="U81" i="8"/>
  <c r="U79" i="8"/>
  <c r="U78" i="8"/>
  <c r="U76" i="8"/>
  <c r="U75" i="8"/>
  <c r="U74" i="8"/>
  <c r="U73" i="8"/>
  <c r="U72" i="8"/>
  <c r="U71" i="8"/>
  <c r="U70" i="8"/>
  <c r="U69" i="8"/>
  <c r="U68" i="8"/>
  <c r="U67" i="8"/>
  <c r="U66" i="8"/>
  <c r="U65" i="8"/>
  <c r="U64" i="8"/>
  <c r="U63" i="8"/>
  <c r="U62" i="8"/>
  <c r="U51" i="8"/>
  <c r="U44" i="8"/>
  <c r="U41" i="8"/>
  <c r="U40" i="8"/>
  <c r="U61" i="8"/>
  <c r="U60" i="8"/>
  <c r="U59" i="8"/>
  <c r="U58" i="8"/>
  <c r="U57" i="8"/>
  <c r="U56" i="8"/>
  <c r="U55" i="8"/>
  <c r="U54" i="8"/>
  <c r="U53" i="8"/>
  <c r="U52" i="8"/>
  <c r="U48" i="8"/>
  <c r="U47" i="8"/>
  <c r="U46" i="8"/>
  <c r="U45" i="8"/>
  <c r="U43" i="8"/>
  <c r="U42" i="8"/>
  <c r="U39" i="8"/>
  <c r="U38" i="8"/>
  <c r="U37" i="8"/>
  <c r="U264" i="8"/>
  <c r="U263" i="8"/>
  <c r="U261" i="8"/>
  <c r="U259" i="8"/>
  <c r="U258" i="8"/>
  <c r="U257" i="8"/>
  <c r="U256" i="8"/>
  <c r="U255" i="8"/>
  <c r="U254" i="8"/>
  <c r="U253" i="8"/>
  <c r="U252" i="8"/>
  <c r="U251" i="8"/>
  <c r="U250" i="8"/>
  <c r="U249" i="8"/>
  <c r="U248" i="8"/>
  <c r="U246" i="8"/>
  <c r="U245" i="8"/>
  <c r="U243" i="8"/>
  <c r="U242" i="8"/>
  <c r="U240" i="8"/>
  <c r="U239" i="8"/>
  <c r="U238" i="8"/>
  <c r="U237" i="8"/>
  <c r="U236" i="8"/>
  <c r="U235" i="8"/>
  <c r="U234" i="8"/>
  <c r="U233" i="8"/>
  <c r="U229" i="8"/>
  <c r="U227" i="8"/>
  <c r="U226" i="8"/>
  <c r="U232" i="8"/>
  <c r="U231" i="8"/>
  <c r="U230" i="8"/>
  <c r="U228" i="8"/>
  <c r="U225" i="8"/>
  <c r="U224" i="8"/>
  <c r="U35" i="8"/>
  <c r="U34" i="8" s="1"/>
  <c r="U20" i="8"/>
  <c r="U19" i="8"/>
  <c r="U16" i="8"/>
  <c r="U15" i="8"/>
  <c r="U14" i="8"/>
  <c r="U12" i="8"/>
  <c r="U11" i="8"/>
  <c r="U10" i="8"/>
  <c r="U8" i="8"/>
  <c r="U4" i="8"/>
  <c r="S735" i="8" l="1"/>
  <c r="S1263" i="8"/>
  <c r="O735" i="8"/>
  <c r="O1263" i="8"/>
  <c r="S1361" i="8" l="1"/>
  <c r="Q1361" i="8"/>
  <c r="P1361" i="8"/>
  <c r="T1359" i="1"/>
  <c r="S1359" i="1"/>
  <c r="Q1359" i="1"/>
  <c r="P1359" i="1"/>
  <c r="Q1360" i="8" l="1"/>
  <c r="Q1359" i="8"/>
  <c r="Q1358" i="8"/>
  <c r="Q1357" i="8"/>
  <c r="Q1356" i="8"/>
  <c r="Q1355" i="8"/>
  <c r="Q1354" i="8"/>
  <c r="Q1352" i="8"/>
  <c r="Q1351" i="8"/>
  <c r="Q1350" i="8"/>
  <c r="Q1349" i="8"/>
  <c r="Q1348" i="8"/>
  <c r="Q1347" i="8"/>
  <c r="Q1346" i="8"/>
  <c r="Q1345" i="8"/>
  <c r="Q1344" i="8"/>
  <c r="Q1343" i="8"/>
  <c r="Q1334" i="8"/>
  <c r="Q1332" i="8"/>
  <c r="Q1331" i="8"/>
  <c r="Q1330" i="8"/>
  <c r="Q1329" i="8"/>
  <c r="Q1326" i="8"/>
  <c r="Q1324" i="8"/>
  <c r="Q1320" i="8"/>
  <c r="Q1341" i="8"/>
  <c r="Q1340" i="8"/>
  <c r="Q1339" i="8"/>
  <c r="Q1338" i="8"/>
  <c r="Q1318" i="8"/>
  <c r="Q1317" i="8"/>
  <c r="Q1316" i="8"/>
  <c r="Q1315" i="8"/>
  <c r="Q1314" i="8"/>
  <c r="Q1313" i="8"/>
  <c r="Q1312" i="8"/>
  <c r="Q1311" i="8"/>
  <c r="Q1309" i="8"/>
  <c r="Q1308" i="8"/>
  <c r="Q1307" i="8"/>
  <c r="Q1306" i="8"/>
  <c r="Q1304" i="8"/>
  <c r="Q1303" i="8"/>
  <c r="Q1302" i="8"/>
  <c r="Q1300" i="8"/>
  <c r="Q1298" i="8"/>
  <c r="Q1297" i="8"/>
  <c r="Q1296" i="8"/>
  <c r="Q1294" i="8"/>
  <c r="Q1293" i="8"/>
  <c r="Q1292" i="8"/>
  <c r="Q1290" i="8"/>
  <c r="Q1289" i="8"/>
  <c r="Q1288" i="8"/>
  <c r="Q1287" i="8"/>
  <c r="Q1286" i="8"/>
  <c r="Q1284" i="8"/>
  <c r="Q1283" i="8"/>
  <c r="Q1282" i="8"/>
  <c r="Q1281" i="8"/>
  <c r="Q1280" i="8"/>
  <c r="Q1279" i="8"/>
  <c r="Q1278" i="8"/>
  <c r="Q1277" i="8"/>
  <c r="Q1276" i="8"/>
  <c r="Q1275" i="8"/>
  <c r="Q1262" i="8"/>
  <c r="Q1260" i="8"/>
  <c r="Q1259" i="8"/>
  <c r="Q1258" i="8"/>
  <c r="Q1257" i="8"/>
  <c r="Q1256" i="8"/>
  <c r="Q1255" i="8"/>
  <c r="Q1254" i="8"/>
  <c r="Q1253" i="8"/>
  <c r="Q1252" i="8"/>
  <c r="Q1251" i="8"/>
  <c r="Q1250" i="8"/>
  <c r="Q1249" i="8"/>
  <c r="Q1248" i="8"/>
  <c r="Q1247" i="8"/>
  <c r="Q1245" i="8"/>
  <c r="Q1244" i="8"/>
  <c r="Q1243" i="8"/>
  <c r="Q1242" i="8"/>
  <c r="Q1241" i="8"/>
  <c r="Q1240" i="8"/>
  <c r="Q1239" i="8"/>
  <c r="Q1238" i="8"/>
  <c r="Q1237" i="8"/>
  <c r="Q1236" i="8"/>
  <c r="Q1235" i="8"/>
  <c r="Q1234" i="8"/>
  <c r="Q1232" i="8"/>
  <c r="Q1231" i="8"/>
  <c r="Q1230" i="8"/>
  <c r="Q1229" i="8"/>
  <c r="Q1228" i="8"/>
  <c r="Q1227" i="8"/>
  <c r="Q1226" i="8"/>
  <c r="Q1225" i="8"/>
  <c r="Q1224" i="8"/>
  <c r="Q1223" i="8"/>
  <c r="Q1222" i="8"/>
  <c r="Q1221" i="8"/>
  <c r="Q1219" i="8"/>
  <c r="Q1218" i="8"/>
  <c r="Q1217" i="8"/>
  <c r="Q1216" i="8"/>
  <c r="Q1215" i="8"/>
  <c r="Q1214" i="8"/>
  <c r="Q1213" i="8"/>
  <c r="Q1212" i="8"/>
  <c r="Q1211" i="8"/>
  <c r="Q1210" i="8"/>
  <c r="Q1209" i="8"/>
  <c r="Q1207" i="8"/>
  <c r="Q1206" i="8"/>
  <c r="Q1204" i="8"/>
  <c r="Q1203" i="8"/>
  <c r="Q1201" i="8"/>
  <c r="Q1200" i="8"/>
  <c r="Q1199" i="8"/>
  <c r="Q1198" i="8"/>
  <c r="Q1197" i="8"/>
  <c r="Q1196" i="8"/>
  <c r="Q1195" i="8"/>
  <c r="Q1194" i="8"/>
  <c r="Q1193" i="8"/>
  <c r="Q1192" i="8"/>
  <c r="Q1191" i="8"/>
  <c r="Q1190" i="8"/>
  <c r="Q1189" i="8"/>
  <c r="Q1188" i="8"/>
  <c r="Q1187" i="8"/>
  <c r="Q1186" i="8"/>
  <c r="Q1185" i="8"/>
  <c r="Q1183" i="8"/>
  <c r="Q1163" i="8"/>
  <c r="Q1178" i="8"/>
  <c r="Q1177" i="8"/>
  <c r="Q1176" i="8"/>
  <c r="Q1175" i="8"/>
  <c r="Q1173" i="8"/>
  <c r="Q1172" i="8"/>
  <c r="Q1171" i="8"/>
  <c r="Q1170" i="8"/>
  <c r="Q1168" i="8"/>
  <c r="Q1167" i="8"/>
  <c r="Q1166" i="8"/>
  <c r="Q1165" i="8"/>
  <c r="Q1164" i="8"/>
  <c r="Q1161" i="8"/>
  <c r="Q1160" i="8"/>
  <c r="Q1159" i="8"/>
  <c r="Q1158" i="8"/>
  <c r="Q1157" i="8"/>
  <c r="Q1156" i="8"/>
  <c r="Q1155" i="8"/>
  <c r="Q1154" i="8"/>
  <c r="Q1153" i="8"/>
  <c r="Q1151" i="8"/>
  <c r="Q1150" i="8"/>
  <c r="Q1149" i="8"/>
  <c r="Q1148" i="8"/>
  <c r="Q1147" i="8"/>
  <c r="Q1146" i="8"/>
  <c r="Q1144" i="8"/>
  <c r="Q1143" i="8"/>
  <c r="Q1142" i="8"/>
  <c r="Q1141" i="8"/>
  <c r="Q1140" i="8"/>
  <c r="Q1138" i="8"/>
  <c r="Q1136" i="8"/>
  <c r="Q1135" i="8"/>
  <c r="Q1134" i="8"/>
  <c r="Q1133" i="8"/>
  <c r="Q1132" i="8"/>
  <c r="Q1130" i="8"/>
  <c r="Q1129" i="8"/>
  <c r="Q1128" i="8"/>
  <c r="Q1126" i="8"/>
  <c r="Q1125" i="8"/>
  <c r="Q1124" i="8"/>
  <c r="Q1123" i="8"/>
  <c r="Q1122" i="8"/>
  <c r="Q1121" i="8"/>
  <c r="Q1120" i="8"/>
  <c r="Q1119" i="8"/>
  <c r="Q1118" i="8"/>
  <c r="Q1117" i="8"/>
  <c r="Q1116" i="8"/>
  <c r="Q1114" i="8"/>
  <c r="Q1113" i="8"/>
  <c r="Q1111" i="8"/>
  <c r="Q1110" i="8"/>
  <c r="Q1109" i="8"/>
  <c r="Q1108" i="8"/>
  <c r="Q1107" i="8"/>
  <c r="Q1106" i="8"/>
  <c r="Q1105" i="8"/>
  <c r="Q1104" i="8"/>
  <c r="Q1103" i="8"/>
  <c r="Q1102" i="8"/>
  <c r="Q1101" i="8"/>
  <c r="Q1100" i="8"/>
  <c r="Q1099" i="8"/>
  <c r="Q1097" i="8"/>
  <c r="Q1096" i="8"/>
  <c r="Q1095" i="8"/>
  <c r="Q1093" i="8"/>
  <c r="Q1091" i="8"/>
  <c r="Q1090" i="8"/>
  <c r="Q1088" i="8"/>
  <c r="Q1087" i="8"/>
  <c r="Q1086" i="8"/>
  <c r="Q1085" i="8"/>
  <c r="Q1084" i="8"/>
  <c r="Q1081" i="8"/>
  <c r="Q1079" i="8"/>
  <c r="Q1077" i="8"/>
  <c r="Q1076" i="8"/>
  <c r="Q1073" i="8"/>
  <c r="Q1071" i="8"/>
  <c r="Q1070" i="8"/>
  <c r="Q1069" i="8"/>
  <c r="Q1068" i="8"/>
  <c r="Q1067" i="8"/>
  <c r="Q1066" i="8"/>
  <c r="Q1056" i="8"/>
  <c r="Q1055" i="8"/>
  <c r="Q1053" i="8"/>
  <c r="Q1051" i="8"/>
  <c r="Q1050" i="8"/>
  <c r="Q1049" i="8"/>
  <c r="Q1048" i="8"/>
  <c r="Q1047" i="8"/>
  <c r="Q1046" i="8"/>
  <c r="Q1045" i="8"/>
  <c r="Q1044" i="8"/>
  <c r="Q1042" i="8"/>
  <c r="Q1041" i="8"/>
  <c r="Q1040" i="8"/>
  <c r="Q1039" i="8"/>
  <c r="Q1038" i="8"/>
  <c r="Q1037" i="8"/>
  <c r="Q1036" i="8"/>
  <c r="Q1034" i="8"/>
  <c r="Q1033" i="8"/>
  <c r="Q1032" i="8"/>
  <c r="Q1031" i="8"/>
  <c r="Q1030" i="8"/>
  <c r="Q1028" i="8"/>
  <c r="Q1027" i="8"/>
  <c r="Q1026" i="8"/>
  <c r="Q1025" i="8"/>
  <c r="Q1024" i="8"/>
  <c r="Q1023" i="8"/>
  <c r="Q1022" i="8"/>
  <c r="Q1021" i="8"/>
  <c r="Q1020" i="8"/>
  <c r="Q1018" i="8"/>
  <c r="Q1017" i="8"/>
  <c r="Q1016" i="8"/>
  <c r="Q1015" i="8"/>
  <c r="Q1008" i="8"/>
  <c r="Q1007" i="8"/>
  <c r="Q1006" i="8"/>
  <c r="Q1005" i="8"/>
  <c r="Q1004" i="8"/>
  <c r="Q1002" i="8"/>
  <c r="Q1001" i="8"/>
  <c r="Q1000" i="8"/>
  <c r="Q999" i="8"/>
  <c r="Q998" i="8"/>
  <c r="Q996" i="8"/>
  <c r="Q995" i="8"/>
  <c r="Q993" i="8"/>
  <c r="Q992" i="8"/>
  <c r="Q990" i="8"/>
  <c r="Q989" i="8"/>
  <c r="Q988" i="8"/>
  <c r="Q987" i="8"/>
  <c r="Q986" i="8"/>
  <c r="Q985" i="8"/>
  <c r="Q984" i="8"/>
  <c r="Q983" i="8"/>
  <c r="Q982" i="8"/>
  <c r="Q981" i="8"/>
  <c r="Q980" i="8"/>
  <c r="Q979" i="8"/>
  <c r="Q978" i="8"/>
  <c r="Q977" i="8"/>
  <c r="Q976" i="8"/>
  <c r="Q975" i="8"/>
  <c r="Q973" i="8"/>
  <c r="Q972" i="8"/>
  <c r="Q971" i="8"/>
  <c r="Q970" i="8"/>
  <c r="Q968" i="8"/>
  <c r="Q967" i="8"/>
  <c r="Q966" i="8"/>
  <c r="Q965" i="8"/>
  <c r="Q964" i="8"/>
  <c r="Q963" i="8"/>
  <c r="Q962" i="8"/>
  <c r="Q961" i="8"/>
  <c r="Q960" i="8"/>
  <c r="Q958" i="8"/>
  <c r="Q957" i="8"/>
  <c r="Q956" i="8"/>
  <c r="Q955" i="8"/>
  <c r="Q954" i="8"/>
  <c r="Q953" i="8"/>
  <c r="Q952" i="8"/>
  <c r="Q951" i="8"/>
  <c r="Q950" i="8"/>
  <c r="Q949" i="8"/>
  <c r="Q948" i="8"/>
  <c r="Q947" i="8"/>
  <c r="Q946" i="8"/>
  <c r="Q944" i="8"/>
  <c r="Q943" i="8"/>
  <c r="Q942" i="8"/>
  <c r="Q941" i="8"/>
  <c r="Q940" i="8"/>
  <c r="Q939" i="8"/>
  <c r="Q937" i="8"/>
  <c r="Q936" i="8"/>
  <c r="Q935" i="8"/>
  <c r="Q934" i="8"/>
  <c r="Q932" i="8"/>
  <c r="Q931" i="8"/>
  <c r="Q930" i="8"/>
  <c r="Q928" i="8"/>
  <c r="Q927" i="8"/>
  <c r="Q926" i="8"/>
  <c r="Q923" i="8"/>
  <c r="Q922" i="8"/>
  <c r="Q921" i="8"/>
  <c r="Q920" i="8"/>
  <c r="Q919" i="8"/>
  <c r="Q918" i="8"/>
  <c r="Q916" i="8"/>
  <c r="Q915" i="8"/>
  <c r="Q914" i="8"/>
  <c r="Q912" i="8"/>
  <c r="Q911" i="8"/>
  <c r="Q909" i="8"/>
  <c r="Q908" i="8"/>
  <c r="Q907" i="8"/>
  <c r="Q906" i="8"/>
  <c r="Q905" i="8"/>
  <c r="Q904" i="8"/>
  <c r="Q903" i="8"/>
  <c r="Q902" i="8"/>
  <c r="Q900" i="8"/>
  <c r="Q899" i="8"/>
  <c r="Q898" i="8"/>
  <c r="Q897" i="8"/>
  <c r="Q896" i="8"/>
  <c r="Q894" i="8"/>
  <c r="Q893" i="8"/>
  <c r="Q892" i="8"/>
  <c r="Q891" i="8"/>
  <c r="Q890" i="8"/>
  <c r="Q888" i="8"/>
  <c r="Q887" i="8"/>
  <c r="Q886" i="8"/>
  <c r="Q885" i="8"/>
  <c r="Q884" i="8"/>
  <c r="Q883" i="8"/>
  <c r="Q881" i="8"/>
  <c r="Q880" i="8"/>
  <c r="Q879" i="8"/>
  <c r="Q878" i="8"/>
  <c r="Q877" i="8"/>
  <c r="Q876" i="8"/>
  <c r="Q875" i="8"/>
  <c r="Q874" i="8"/>
  <c r="Q873" i="8"/>
  <c r="Q872" i="8"/>
  <c r="Q871" i="8"/>
  <c r="Q870" i="8"/>
  <c r="Q869" i="8"/>
  <c r="Q868" i="8"/>
  <c r="Q867" i="8"/>
  <c r="Q866" i="8"/>
  <c r="Q865" i="8"/>
  <c r="Q864" i="8"/>
  <c r="Q863" i="8"/>
  <c r="Q862" i="8"/>
  <c r="Q860" i="8"/>
  <c r="Q859" i="8"/>
  <c r="Q857" i="8"/>
  <c r="Q856" i="8"/>
  <c r="Q855" i="8"/>
  <c r="Q854" i="8"/>
  <c r="Q853" i="8"/>
  <c r="Q852" i="8"/>
  <c r="Q851" i="8"/>
  <c r="Q850" i="8"/>
  <c r="Q841" i="8"/>
  <c r="Q840" i="8"/>
  <c r="Q839" i="8"/>
  <c r="Q838" i="8"/>
  <c r="Q837" i="8"/>
  <c r="Q836" i="8"/>
  <c r="Q834" i="8"/>
  <c r="Q833" i="8"/>
  <c r="Q832" i="8"/>
  <c r="Q831" i="8"/>
  <c r="Q829" i="8"/>
  <c r="Q828" i="8"/>
  <c r="Q827" i="8"/>
  <c r="Q826" i="8"/>
  <c r="Q825" i="8"/>
  <c r="Q821" i="8"/>
  <c r="Q820" i="8"/>
  <c r="Q819" i="8"/>
  <c r="Q801" i="8"/>
  <c r="Q800" i="8"/>
  <c r="Q799" i="8"/>
  <c r="Q798" i="8"/>
  <c r="Q797" i="8"/>
  <c r="Q795" i="8"/>
  <c r="Q794" i="8"/>
  <c r="Q793" i="8"/>
  <c r="Q792" i="8"/>
  <c r="Q786" i="8"/>
  <c r="Q785" i="8"/>
  <c r="Q784" i="8"/>
  <c r="Q783" i="8"/>
  <c r="Q782" i="8"/>
  <c r="Q780" i="8"/>
  <c r="Q779" i="8"/>
  <c r="Q778" i="8"/>
  <c r="Q777" i="8"/>
  <c r="Q775" i="8"/>
  <c r="Q774" i="8"/>
  <c r="Q773" i="8"/>
  <c r="Q772" i="8"/>
  <c r="Q771" i="8"/>
  <c r="Q770" i="8"/>
  <c r="Q769" i="8"/>
  <c r="Q768" i="8"/>
  <c r="Q767" i="8"/>
  <c r="Q766" i="8"/>
  <c r="Q764" i="8"/>
  <c r="Q763" i="8"/>
  <c r="Q762" i="8"/>
  <c r="Q761" i="8"/>
  <c r="Q760" i="8"/>
  <c r="Q758" i="8"/>
  <c r="Q757" i="8"/>
  <c r="Q756" i="8"/>
  <c r="Q755" i="8"/>
  <c r="Q754" i="8"/>
  <c r="Q752" i="8"/>
  <c r="Q751" i="8"/>
  <c r="Q750" i="8"/>
  <c r="Q749" i="8"/>
  <c r="Q748" i="8"/>
  <c r="Q747" i="8"/>
  <c r="Q745" i="8"/>
  <c r="Q744" i="8"/>
  <c r="Q743" i="8"/>
  <c r="Q742" i="8"/>
  <c r="Q741" i="8"/>
  <c r="Q734" i="8"/>
  <c r="Q733" i="8"/>
  <c r="Q732" i="8"/>
  <c r="Q730" i="8"/>
  <c r="Q729" i="8"/>
  <c r="Q728" i="8"/>
  <c r="Q727" i="8"/>
  <c r="Q726" i="8"/>
  <c r="Q725" i="8"/>
  <c r="Q724" i="8"/>
  <c r="Q722" i="8"/>
  <c r="Q721" i="8"/>
  <c r="Q719" i="8"/>
  <c r="Q718" i="8"/>
  <c r="Q717" i="8"/>
  <c r="Q716" i="8"/>
  <c r="Q715" i="8"/>
  <c r="Q714" i="8"/>
  <c r="Q712" i="8"/>
  <c r="Q710" i="8"/>
  <c r="Q708" i="8"/>
  <c r="Q706" i="8"/>
  <c r="Q704" i="8"/>
  <c r="Q703" i="8"/>
  <c r="Q702" i="8"/>
  <c r="Q701" i="8"/>
  <c r="Q699" i="8"/>
  <c r="Q709" i="8"/>
  <c r="Q707" i="8"/>
  <c r="Q705" i="8"/>
  <c r="Q698" i="8"/>
  <c r="Q696" i="8"/>
  <c r="Q695" i="8"/>
  <c r="Q694" i="8"/>
  <c r="Q693" i="8"/>
  <c r="Q692" i="8"/>
  <c r="Q691" i="8"/>
  <c r="Q690" i="8"/>
  <c r="Q689" i="8"/>
  <c r="Q688" i="8"/>
  <c r="Q687" i="8"/>
  <c r="Q685" i="8"/>
  <c r="Q684" i="8"/>
  <c r="Q683" i="8"/>
  <c r="Q682" i="8"/>
  <c r="Q681" i="8"/>
  <c r="Q677" i="8"/>
  <c r="Q676" i="8"/>
  <c r="Q675" i="8"/>
  <c r="Q661" i="8"/>
  <c r="Q660" i="8"/>
  <c r="Q659" i="8"/>
  <c r="Q658" i="8"/>
  <c r="Q657" i="8"/>
  <c r="Q656" i="8"/>
  <c r="Q655" i="8"/>
  <c r="Q654" i="8"/>
  <c r="Q653" i="8"/>
  <c r="Q652" i="8"/>
  <c r="Q651" i="8"/>
  <c r="Q650" i="8"/>
  <c r="Q648" i="8"/>
  <c r="Q647" i="8"/>
  <c r="Q646" i="8"/>
  <c r="Q645" i="8"/>
  <c r="Q644" i="8"/>
  <c r="Q642" i="8"/>
  <c r="Q641" i="8"/>
  <c r="Q640" i="8"/>
  <c r="Q639" i="8"/>
  <c r="Q638" i="8"/>
  <c r="Q636" i="8"/>
  <c r="Q635" i="8"/>
  <c r="Q634" i="8"/>
  <c r="Q633" i="8"/>
  <c r="Q631" i="8"/>
  <c r="Q630" i="8"/>
  <c r="Q629" i="8"/>
  <c r="Q628" i="8"/>
  <c r="Q626" i="8"/>
  <c r="Q625" i="8"/>
  <c r="Q624" i="8"/>
  <c r="Q623" i="8"/>
  <c r="Q622" i="8"/>
  <c r="Q621" i="8"/>
  <c r="Q620" i="8"/>
  <c r="Q619" i="8"/>
  <c r="Q618" i="8"/>
  <c r="Q617" i="8"/>
  <c r="Q616" i="8"/>
  <c r="Q615" i="8"/>
  <c r="Q614" i="8"/>
  <c r="Q613" i="8"/>
  <c r="Q612" i="8"/>
  <c r="Q611" i="8"/>
  <c r="Q610" i="8"/>
  <c r="Q609" i="8"/>
  <c r="Q608" i="8"/>
  <c r="Q607" i="8"/>
  <c r="Q605" i="8"/>
  <c r="Q604" i="8"/>
  <c r="Q603" i="8"/>
  <c r="Q602" i="8"/>
  <c r="Q601" i="8"/>
  <c r="Q600" i="8"/>
  <c r="Q599" i="8"/>
  <c r="Q597" i="8"/>
  <c r="Q596" i="8"/>
  <c r="Q594" i="8"/>
  <c r="Q593" i="8"/>
  <c r="Q591" i="8"/>
  <c r="Q590" i="8"/>
  <c r="Q589" i="8"/>
  <c r="Q588" i="8"/>
  <c r="Q587" i="8"/>
  <c r="Q586" i="8"/>
  <c r="Q585" i="8"/>
  <c r="Q584" i="8"/>
  <c r="Q583" i="8"/>
  <c r="Q582" i="8"/>
  <c r="Q580" i="8"/>
  <c r="Q579" i="8"/>
  <c r="Q578" i="8"/>
  <c r="Q577" i="8"/>
  <c r="Q576" i="8"/>
  <c r="Q575" i="8"/>
  <c r="Q574" i="8"/>
  <c r="Q573" i="8"/>
  <c r="Q572" i="8"/>
  <c r="Q571" i="8"/>
  <c r="Q570" i="8"/>
  <c r="Q568" i="8"/>
  <c r="Q567" i="8"/>
  <c r="Q566" i="8"/>
  <c r="Q564" i="8"/>
  <c r="Q563" i="8"/>
  <c r="Q562" i="8"/>
  <c r="Q537" i="8"/>
  <c r="Q536" i="8"/>
  <c r="Q535" i="8"/>
  <c r="Q534" i="8"/>
  <c r="Q533" i="8"/>
  <c r="Q532" i="8"/>
  <c r="Q531" i="8"/>
  <c r="Q530" i="8"/>
  <c r="Q529" i="8"/>
  <c r="Q528" i="8"/>
  <c r="Q527" i="8"/>
  <c r="Q526" i="8"/>
  <c r="Q524" i="8"/>
  <c r="Q523" i="8"/>
  <c r="Q521" i="8"/>
  <c r="Q520" i="8"/>
  <c r="Q519" i="8"/>
  <c r="Q518" i="8"/>
  <c r="Q517" i="8"/>
  <c r="Q515" i="8"/>
  <c r="Q514" i="8"/>
  <c r="Q513" i="8"/>
  <c r="Q512" i="8"/>
  <c r="Q511" i="8"/>
  <c r="Q509" i="8"/>
  <c r="Q508" i="8"/>
  <c r="Q507" i="8"/>
  <c r="Q506" i="8"/>
  <c r="Q505" i="8"/>
  <c r="Q504" i="8"/>
  <c r="Q503" i="8"/>
  <c r="Q502" i="8"/>
  <c r="Q501" i="8"/>
  <c r="Q500" i="8"/>
  <c r="Q499" i="8"/>
  <c r="Q498" i="8"/>
  <c r="Q516" i="8"/>
  <c r="Q497" i="8"/>
  <c r="Q510" i="8"/>
  <c r="Q496" i="8"/>
  <c r="Q495" i="8"/>
  <c r="Q494" i="8"/>
  <c r="Q493" i="8"/>
  <c r="Q492" i="8"/>
  <c r="Q491" i="8"/>
  <c r="Q490" i="8"/>
  <c r="Q480" i="8"/>
  <c r="Q478" i="8"/>
  <c r="Q475" i="8"/>
  <c r="Q470" i="8"/>
  <c r="Q459" i="8"/>
  <c r="Q456" i="8"/>
  <c r="Q454" i="8"/>
  <c r="Q489" i="8"/>
  <c r="Q488" i="8"/>
  <c r="Q487" i="8"/>
  <c r="Q486" i="8"/>
  <c r="Q485" i="8"/>
  <c r="Q484" i="8"/>
  <c r="Q483" i="8"/>
  <c r="Q482" i="8"/>
  <c r="Q481" i="8"/>
  <c r="Q479" i="8"/>
  <c r="Q477" i="8"/>
  <c r="Q476" i="8"/>
  <c r="Q474" i="8"/>
  <c r="Q473" i="8"/>
  <c r="Q472" i="8"/>
  <c r="Q471" i="8"/>
  <c r="Q469" i="8"/>
  <c r="Q467" i="8"/>
  <c r="Q466" i="8"/>
  <c r="Q465" i="8"/>
  <c r="Q464" i="8"/>
  <c r="Q463" i="8"/>
  <c r="Q462" i="8"/>
  <c r="Q461" i="8"/>
  <c r="Q460" i="8"/>
  <c r="Q458" i="8"/>
  <c r="Q457" i="8"/>
  <c r="Q455" i="8"/>
  <c r="Q453" i="8"/>
  <c r="Q452" i="8"/>
  <c r="Q450" i="8"/>
  <c r="Q449" i="8"/>
  <c r="Q448" i="8"/>
  <c r="Q447" i="8"/>
  <c r="Q446" i="8"/>
  <c r="Q445" i="8"/>
  <c r="Q444" i="8"/>
  <c r="Q442" i="8"/>
  <c r="Q441" i="8"/>
  <c r="Q440" i="8"/>
  <c r="Q438" i="8"/>
  <c r="Q437" i="8"/>
  <c r="Q436" i="8"/>
  <c r="Q435" i="8"/>
  <c r="Q433" i="8"/>
  <c r="Q432" i="8"/>
  <c r="Q431" i="8"/>
  <c r="Q430" i="8"/>
  <c r="Q405" i="8"/>
  <c r="Q404" i="8"/>
  <c r="Q402" i="8"/>
  <c r="Q401" i="8"/>
  <c r="Q400" i="8"/>
  <c r="Q399" i="8"/>
  <c r="Q397" i="8"/>
  <c r="Q396" i="8"/>
  <c r="Q395" i="8"/>
  <c r="Q394" i="8"/>
  <c r="Q393" i="8"/>
  <c r="Q392" i="8"/>
  <c r="Q391" i="8"/>
  <c r="Q390" i="8"/>
  <c r="Q389" i="8"/>
  <c r="Q398" i="8"/>
  <c r="Q388" i="8"/>
  <c r="Q387" i="8"/>
  <c r="Q386" i="8"/>
  <c r="Q385" i="8"/>
  <c r="Q384" i="8"/>
  <c r="Q382" i="8"/>
  <c r="Q381" i="8"/>
  <c r="Q377" i="8"/>
  <c r="Q379" i="8"/>
  <c r="Q378" i="8"/>
  <c r="Q376" i="8"/>
  <c r="Q374" i="8"/>
  <c r="Q373" i="8"/>
  <c r="Q372" i="8"/>
  <c r="Q370" i="8"/>
  <c r="Q369" i="8"/>
  <c r="Q367" i="8"/>
  <c r="Q366" i="8"/>
  <c r="Q364" i="8"/>
  <c r="Q363" i="8"/>
  <c r="Q362" i="8"/>
  <c r="Q361" i="8"/>
  <c r="Q359" i="8"/>
  <c r="Q358" i="8"/>
  <c r="Q357" i="8"/>
  <c r="Q356" i="8"/>
  <c r="Q354" i="8"/>
  <c r="Q353" i="8"/>
  <c r="Q352" i="8"/>
  <c r="Q351" i="8"/>
  <c r="Q350" i="8"/>
  <c r="Q349" i="8"/>
  <c r="Q348" i="8"/>
  <c r="Q347" i="8"/>
  <c r="Q346" i="8"/>
  <c r="Q343" i="8"/>
  <c r="Q360" i="8"/>
  <c r="Q342" i="8"/>
  <c r="Q355" i="8"/>
  <c r="Q341" i="8"/>
  <c r="Q339" i="8"/>
  <c r="Q338" i="8"/>
  <c r="Q329" i="8"/>
  <c r="Q309" i="8"/>
  <c r="Q306" i="8"/>
  <c r="Q337" i="8"/>
  <c r="Q336" i="8"/>
  <c r="Q335" i="8"/>
  <c r="Q333" i="8"/>
  <c r="Q332" i="8"/>
  <c r="Q331" i="8"/>
  <c r="Q330" i="8"/>
  <c r="Q328" i="8"/>
  <c r="Q327" i="8"/>
  <c r="Q326" i="8"/>
  <c r="Q325" i="8"/>
  <c r="Q324" i="8"/>
  <c r="Q323" i="8"/>
  <c r="Q322" i="8"/>
  <c r="Q321" i="8"/>
  <c r="Q320" i="8"/>
  <c r="Q319" i="8"/>
  <c r="Q318" i="8"/>
  <c r="Q315" i="8"/>
  <c r="Q314" i="8"/>
  <c r="Q313" i="8"/>
  <c r="Q311" i="8"/>
  <c r="Q310" i="8"/>
  <c r="Q308" i="8"/>
  <c r="Q307" i="8"/>
  <c r="Q305" i="8"/>
  <c r="Q303" i="8"/>
  <c r="Q300" i="8"/>
  <c r="Q299" i="8"/>
  <c r="Q298" i="8"/>
  <c r="Q296" i="8"/>
  <c r="Q295" i="8"/>
  <c r="Q294" i="8"/>
  <c r="Q292" i="8"/>
  <c r="Q302" i="8"/>
  <c r="Q291" i="8"/>
  <c r="Q297" i="8"/>
  <c r="Q290" i="8"/>
  <c r="Q289" i="8"/>
  <c r="Q286" i="8"/>
  <c r="Q280" i="8"/>
  <c r="Q277" i="8"/>
  <c r="Q288" i="8"/>
  <c r="Q287" i="8"/>
  <c r="Q285" i="8"/>
  <c r="Q284" i="8"/>
  <c r="Q283" i="8"/>
  <c r="Q282" i="8"/>
  <c r="Q281" i="8"/>
  <c r="Q279" i="8"/>
  <c r="Q276" i="8"/>
  <c r="Q274" i="8"/>
  <c r="Q272" i="8"/>
  <c r="Q271" i="8"/>
  <c r="Q269" i="8"/>
  <c r="Q268" i="8"/>
  <c r="Q267" i="8"/>
  <c r="Q266" i="8"/>
  <c r="Q222" i="8"/>
  <c r="Q221" i="8"/>
  <c r="Q220" i="8"/>
  <c r="Q219" i="8"/>
  <c r="Q218" i="8"/>
  <c r="Q217" i="8"/>
  <c r="Q216" i="8"/>
  <c r="Q182" i="8"/>
  <c r="Q181" i="8"/>
  <c r="Q179" i="8"/>
  <c r="Q214" i="8"/>
  <c r="Q213" i="8"/>
  <c r="Q212" i="8"/>
  <c r="Q210" i="8"/>
  <c r="Q208" i="8"/>
  <c r="Q207" i="8"/>
  <c r="Q206" i="8"/>
  <c r="Q205" i="8"/>
  <c r="Q204" i="8"/>
  <c r="Q203" i="8"/>
  <c r="Q201" i="8"/>
  <c r="Q200" i="8"/>
  <c r="Q199" i="8"/>
  <c r="Q198" i="8"/>
  <c r="Q197" i="8"/>
  <c r="Q195" i="8"/>
  <c r="Q194" i="8"/>
  <c r="Q193" i="8"/>
  <c r="Q187" i="8"/>
  <c r="Q185" i="8"/>
  <c r="Q192" i="8"/>
  <c r="Q191" i="8"/>
  <c r="Q190" i="8"/>
  <c r="Q189" i="8"/>
  <c r="Q188" i="8"/>
  <c r="Q186" i="8"/>
  <c r="Q184" i="8"/>
  <c r="Q177" i="8"/>
  <c r="Q176" i="8"/>
  <c r="Q173" i="8"/>
  <c r="Q172" i="8"/>
  <c r="Q171" i="8"/>
  <c r="Q170" i="8"/>
  <c r="Q169" i="8"/>
  <c r="Q168" i="8"/>
  <c r="Q166" i="8"/>
  <c r="Q165" i="8"/>
  <c r="Q164" i="8"/>
  <c r="Q163" i="8"/>
  <c r="Q162" i="8"/>
  <c r="Q161" i="8"/>
  <c r="Q160" i="8"/>
  <c r="Q159" i="8"/>
  <c r="Q157" i="8"/>
  <c r="Q156" i="8"/>
  <c r="Q155" i="8"/>
  <c r="Q154" i="8"/>
  <c r="Q152" i="8"/>
  <c r="Q151" i="8"/>
  <c r="Q150" i="8"/>
  <c r="Q149" i="8"/>
  <c r="Q148" i="8"/>
  <c r="Q147" i="8"/>
  <c r="Q144" i="8"/>
  <c r="Q143" i="8"/>
  <c r="Q142" i="8"/>
  <c r="Q167" i="8"/>
  <c r="Q141" i="8"/>
  <c r="Q158" i="8"/>
  <c r="Q140" i="8"/>
  <c r="Q139" i="8"/>
  <c r="Q138" i="8"/>
  <c r="Q137" i="8"/>
  <c r="Q136" i="8"/>
  <c r="Q135" i="8"/>
  <c r="Q134" i="8"/>
  <c r="Q133" i="8"/>
  <c r="Q132" i="8"/>
  <c r="Q131" i="8"/>
  <c r="Q130" i="8"/>
  <c r="Q129" i="8"/>
  <c r="Q128" i="8"/>
  <c r="Q117" i="8"/>
  <c r="Q110" i="8"/>
  <c r="Q112" i="8"/>
  <c r="Q107" i="8"/>
  <c r="Q127" i="8"/>
  <c r="Q96" i="8"/>
  <c r="Q91" i="8"/>
  <c r="Q89" i="8"/>
  <c r="Q88" i="8"/>
  <c r="Q86" i="8"/>
  <c r="Q126" i="8"/>
  <c r="Q125" i="8"/>
  <c r="Q124" i="8"/>
  <c r="Q123" i="8"/>
  <c r="Q122" i="8"/>
  <c r="Q121" i="8"/>
  <c r="Q119" i="8"/>
  <c r="Q115" i="8"/>
  <c r="Q114" i="8"/>
  <c r="Q113" i="8"/>
  <c r="Q111" i="8"/>
  <c r="Q109" i="8"/>
  <c r="Q108" i="8"/>
  <c r="Q106" i="8"/>
  <c r="Q104" i="8"/>
  <c r="Q103" i="8"/>
  <c r="Q102" i="8"/>
  <c r="Q101" i="8"/>
  <c r="Q100" i="8"/>
  <c r="Q99" i="8"/>
  <c r="Q98" i="8"/>
  <c r="Q97" i="8"/>
  <c r="Q95" i="8"/>
  <c r="Q94" i="8"/>
  <c r="Q93" i="8"/>
  <c r="Q92" i="8"/>
  <c r="Q90" i="8"/>
  <c r="Q85" i="8"/>
  <c r="Q84" i="8"/>
  <c r="Q82" i="8"/>
  <c r="Q81" i="8"/>
  <c r="Q79" i="8"/>
  <c r="Q78" i="8"/>
  <c r="Q76" i="8"/>
  <c r="Q75" i="8"/>
  <c r="Q74" i="8"/>
  <c r="Q73" i="8"/>
  <c r="Q72" i="8"/>
  <c r="Q71" i="8"/>
  <c r="Q70" i="8"/>
  <c r="Q69" i="8"/>
  <c r="Q68" i="8"/>
  <c r="Q67" i="8"/>
  <c r="Q66" i="8"/>
  <c r="Q65" i="8"/>
  <c r="Q64" i="8"/>
  <c r="Q63" i="8"/>
  <c r="Q62" i="8"/>
  <c r="Q51" i="8"/>
  <c r="Q44" i="8"/>
  <c r="Q41" i="8"/>
  <c r="Q40" i="8"/>
  <c r="Q61" i="8"/>
  <c r="Q60" i="8"/>
  <c r="Q59" i="8"/>
  <c r="Q58" i="8"/>
  <c r="Q57" i="8"/>
  <c r="Q56" i="8"/>
  <c r="Q55" i="8"/>
  <c r="Q54" i="8"/>
  <c r="Q53" i="8"/>
  <c r="Q52" i="8"/>
  <c r="Q48" i="8"/>
  <c r="Q47" i="8"/>
  <c r="Q46" i="8"/>
  <c r="Q45" i="8"/>
  <c r="Q43" i="8"/>
  <c r="Q42" i="8"/>
  <c r="Q39" i="8"/>
  <c r="Q38" i="8"/>
  <c r="Q37" i="8"/>
  <c r="Q264" i="8"/>
  <c r="Q263" i="8"/>
  <c r="Q261" i="8"/>
  <c r="Q259" i="8"/>
  <c r="Q258" i="8"/>
  <c r="Q257" i="8"/>
  <c r="Q256" i="8"/>
  <c r="Q255" i="8"/>
  <c r="Q254" i="8"/>
  <c r="Q253" i="8"/>
  <c r="Q252" i="8"/>
  <c r="Q251" i="8"/>
  <c r="Q250" i="8"/>
  <c r="Q249" i="8"/>
  <c r="Q248" i="8"/>
  <c r="Q246" i="8"/>
  <c r="Q245" i="8"/>
  <c r="Q243" i="8"/>
  <c r="Q242" i="8"/>
  <c r="Q240" i="8"/>
  <c r="Q239" i="8"/>
  <c r="Q238" i="8"/>
  <c r="Q237" i="8"/>
  <c r="Q236" i="8"/>
  <c r="Q235" i="8"/>
  <c r="Q234" i="8"/>
  <c r="Q233" i="8"/>
  <c r="Q229" i="8"/>
  <c r="Q227" i="8"/>
  <c r="Q226" i="8"/>
  <c r="Q232" i="8"/>
  <c r="Q231" i="8"/>
  <c r="Q230" i="8"/>
  <c r="Q228" i="8"/>
  <c r="Q225" i="8"/>
  <c r="Q224" i="8"/>
  <c r="Q35" i="8"/>
  <c r="Q20" i="8"/>
  <c r="Q19" i="8"/>
  <c r="Q16" i="8"/>
  <c r="Q15" i="8"/>
  <c r="Q14" i="8"/>
  <c r="Q12" i="8"/>
  <c r="Q11" i="8"/>
  <c r="Q10" i="8"/>
  <c r="Q8" i="8"/>
  <c r="Q4" i="8"/>
  <c r="P4" i="8"/>
  <c r="R4" i="8" s="1"/>
  <c r="P900" i="8"/>
  <c r="R900" i="8" s="1"/>
  <c r="P899" i="8"/>
  <c r="R899" i="8" s="1"/>
  <c r="P898" i="8"/>
  <c r="R898" i="8" s="1"/>
  <c r="P897" i="8"/>
  <c r="R897" i="8" s="1"/>
  <c r="P896" i="8"/>
  <c r="R896" i="8" s="1"/>
  <c r="P894" i="8"/>
  <c r="R894" i="8" s="1"/>
  <c r="P893" i="8"/>
  <c r="R893" i="8" s="1"/>
  <c r="P892" i="8"/>
  <c r="R892" i="8" s="1"/>
  <c r="P891" i="8"/>
  <c r="R891" i="8" s="1"/>
  <c r="P890" i="8"/>
  <c r="R890" i="8" s="1"/>
  <c r="P888" i="8"/>
  <c r="R888" i="8" s="1"/>
  <c r="P887" i="8"/>
  <c r="R887" i="8" s="1"/>
  <c r="P886" i="8"/>
  <c r="R886" i="8" s="1"/>
  <c r="P885" i="8"/>
  <c r="R885" i="8" s="1"/>
  <c r="P884" i="8"/>
  <c r="R884" i="8" s="1"/>
  <c r="P883" i="8"/>
  <c r="R883" i="8" s="1"/>
  <c r="P881" i="8"/>
  <c r="R881" i="8" s="1"/>
  <c r="P880" i="8"/>
  <c r="R880" i="8" s="1"/>
  <c r="P879" i="8"/>
  <c r="R879" i="8" s="1"/>
  <c r="P878" i="8"/>
  <c r="R878" i="8" s="1"/>
  <c r="P877" i="8"/>
  <c r="R877" i="8" s="1"/>
  <c r="P876" i="8"/>
  <c r="R876" i="8" s="1"/>
  <c r="P875" i="8"/>
  <c r="R875" i="8" s="1"/>
  <c r="P874" i="8"/>
  <c r="R874" i="8" s="1"/>
  <c r="P873" i="8"/>
  <c r="R873" i="8" s="1"/>
  <c r="P872" i="8"/>
  <c r="R872" i="8" s="1"/>
  <c r="P871" i="8"/>
  <c r="R871" i="8" s="1"/>
  <c r="P870" i="8"/>
  <c r="R870" i="8" s="1"/>
  <c r="P869" i="8"/>
  <c r="R869" i="8" s="1"/>
  <c r="P868" i="8"/>
  <c r="R868" i="8" s="1"/>
  <c r="P867" i="8"/>
  <c r="R867" i="8" s="1"/>
  <c r="P866" i="8"/>
  <c r="R866" i="8" s="1"/>
  <c r="P865" i="8"/>
  <c r="R865" i="8" s="1"/>
  <c r="P864" i="8"/>
  <c r="R864" i="8" s="1"/>
  <c r="P863" i="8"/>
  <c r="R863" i="8" s="1"/>
  <c r="P862" i="8"/>
  <c r="R862" i="8" s="1"/>
  <c r="P860" i="8"/>
  <c r="R860" i="8" s="1"/>
  <c r="P859" i="8"/>
  <c r="R859" i="8" s="1"/>
  <c r="P857" i="8"/>
  <c r="R857" i="8" s="1"/>
  <c r="P856" i="8"/>
  <c r="R856" i="8" s="1"/>
  <c r="P855" i="8"/>
  <c r="R855" i="8" s="1"/>
  <c r="P854" i="8"/>
  <c r="R854" i="8" s="1"/>
  <c r="P853" i="8"/>
  <c r="R853" i="8" s="1"/>
  <c r="P852" i="8"/>
  <c r="R852" i="8" s="1"/>
  <c r="P851" i="8"/>
  <c r="R851" i="8" s="1"/>
  <c r="P850" i="8"/>
  <c r="R850" i="8" s="1"/>
  <c r="P841" i="8"/>
  <c r="R841" i="8" s="1"/>
  <c r="P840" i="8"/>
  <c r="R840" i="8" s="1"/>
  <c r="P839" i="8"/>
  <c r="R839" i="8" s="1"/>
  <c r="P838" i="8"/>
  <c r="R838" i="8" s="1"/>
  <c r="P837" i="8"/>
  <c r="R837" i="8" s="1"/>
  <c r="P836" i="8"/>
  <c r="R836" i="8" s="1"/>
  <c r="P834" i="8"/>
  <c r="R834" i="8" s="1"/>
  <c r="P833" i="8"/>
  <c r="R833" i="8" s="1"/>
  <c r="P832" i="8"/>
  <c r="R832" i="8" s="1"/>
  <c r="P831" i="8"/>
  <c r="R831" i="8" s="1"/>
  <c r="P829" i="8"/>
  <c r="R829" i="8" s="1"/>
  <c r="P828" i="8"/>
  <c r="R828" i="8" s="1"/>
  <c r="P827" i="8"/>
  <c r="R827" i="8" s="1"/>
  <c r="P826" i="8"/>
  <c r="R826" i="8" s="1"/>
  <c r="P825" i="8"/>
  <c r="R825" i="8" s="1"/>
  <c r="P821" i="8"/>
  <c r="R821" i="8" s="1"/>
  <c r="P820" i="8"/>
  <c r="R820" i="8" s="1"/>
  <c r="P819" i="8"/>
  <c r="R819" i="8" s="1"/>
  <c r="P801" i="8"/>
  <c r="R801" i="8" s="1"/>
  <c r="P800" i="8"/>
  <c r="R800" i="8" s="1"/>
  <c r="P799" i="8"/>
  <c r="R799" i="8" s="1"/>
  <c r="P798" i="8"/>
  <c r="R798" i="8" s="1"/>
  <c r="P797" i="8"/>
  <c r="R797" i="8" s="1"/>
  <c r="P795" i="8"/>
  <c r="R795" i="8" s="1"/>
  <c r="P794" i="8"/>
  <c r="R794" i="8" s="1"/>
  <c r="P793" i="8"/>
  <c r="R793" i="8" s="1"/>
  <c r="P792" i="8"/>
  <c r="R792" i="8" s="1"/>
  <c r="P786" i="8"/>
  <c r="R786" i="8" s="1"/>
  <c r="P785" i="8"/>
  <c r="R785" i="8" s="1"/>
  <c r="P784" i="8"/>
  <c r="R784" i="8" s="1"/>
  <c r="P783" i="8"/>
  <c r="R783" i="8" s="1"/>
  <c r="P782" i="8"/>
  <c r="R782" i="8" s="1"/>
  <c r="P780" i="8"/>
  <c r="R780" i="8" s="1"/>
  <c r="P779" i="8"/>
  <c r="R779" i="8" s="1"/>
  <c r="P778" i="8"/>
  <c r="R778" i="8" s="1"/>
  <c r="P777" i="8"/>
  <c r="R777" i="8" s="1"/>
  <c r="P775" i="8"/>
  <c r="R775" i="8" s="1"/>
  <c r="P774" i="8"/>
  <c r="R774" i="8" s="1"/>
  <c r="P773" i="8"/>
  <c r="R773" i="8" s="1"/>
  <c r="P772" i="8"/>
  <c r="R772" i="8" s="1"/>
  <c r="P771" i="8"/>
  <c r="R771" i="8" s="1"/>
  <c r="P770" i="8"/>
  <c r="R770" i="8" s="1"/>
  <c r="P769" i="8"/>
  <c r="R769" i="8" s="1"/>
  <c r="P768" i="8"/>
  <c r="R768" i="8" s="1"/>
  <c r="P767" i="8"/>
  <c r="R767" i="8" s="1"/>
  <c r="P766" i="8"/>
  <c r="R766" i="8" s="1"/>
  <c r="P764" i="8"/>
  <c r="R764" i="8" s="1"/>
  <c r="P763" i="8"/>
  <c r="R763" i="8" s="1"/>
  <c r="P762" i="8"/>
  <c r="R762" i="8" s="1"/>
  <c r="P761" i="8"/>
  <c r="R761" i="8" s="1"/>
  <c r="P760" i="8"/>
  <c r="R760" i="8" s="1"/>
  <c r="P758" i="8"/>
  <c r="R758" i="8" s="1"/>
  <c r="P757" i="8"/>
  <c r="R757" i="8" s="1"/>
  <c r="P756" i="8"/>
  <c r="R756" i="8" s="1"/>
  <c r="P755" i="8"/>
  <c r="R755" i="8" s="1"/>
  <c r="P754" i="8"/>
  <c r="R754" i="8" s="1"/>
  <c r="P752" i="8"/>
  <c r="R752" i="8" s="1"/>
  <c r="P751" i="8"/>
  <c r="R751" i="8" s="1"/>
  <c r="P750" i="8"/>
  <c r="R750" i="8" s="1"/>
  <c r="P749" i="8"/>
  <c r="R749" i="8" s="1"/>
  <c r="P748" i="8"/>
  <c r="R748" i="8" s="1"/>
  <c r="P747" i="8"/>
  <c r="R747" i="8" s="1"/>
  <c r="P745" i="8"/>
  <c r="R745" i="8" s="1"/>
  <c r="P744" i="8"/>
  <c r="R744" i="8" s="1"/>
  <c r="P743" i="8"/>
  <c r="R743" i="8" s="1"/>
  <c r="P742" i="8"/>
  <c r="R742" i="8" s="1"/>
  <c r="P741" i="8"/>
  <c r="R741" i="8" s="1"/>
  <c r="P734" i="8"/>
  <c r="R734" i="8" s="1"/>
  <c r="P733" i="8"/>
  <c r="R733" i="8" s="1"/>
  <c r="P732" i="8"/>
  <c r="R732" i="8" s="1"/>
  <c r="P730" i="8"/>
  <c r="R730" i="8" s="1"/>
  <c r="P729" i="8"/>
  <c r="R729" i="8" s="1"/>
  <c r="P728" i="8"/>
  <c r="R728" i="8" s="1"/>
  <c r="P727" i="8"/>
  <c r="R727" i="8" s="1"/>
  <c r="P726" i="8"/>
  <c r="R726" i="8" s="1"/>
  <c r="P725" i="8"/>
  <c r="R725" i="8" s="1"/>
  <c r="P724" i="8"/>
  <c r="R724" i="8" s="1"/>
  <c r="P722" i="8"/>
  <c r="R722" i="8" s="1"/>
  <c r="P721" i="8"/>
  <c r="R721" i="8" s="1"/>
  <c r="P719" i="8"/>
  <c r="R719" i="8" s="1"/>
  <c r="P718" i="8"/>
  <c r="R718" i="8" s="1"/>
  <c r="P717" i="8"/>
  <c r="R717" i="8" s="1"/>
  <c r="P716" i="8"/>
  <c r="R716" i="8" s="1"/>
  <c r="P715" i="8"/>
  <c r="R715" i="8" s="1"/>
  <c r="P714" i="8"/>
  <c r="R714" i="8" s="1"/>
  <c r="P712" i="8"/>
  <c r="R712" i="8" s="1"/>
  <c r="P710" i="8"/>
  <c r="R710" i="8" s="1"/>
  <c r="P708" i="8"/>
  <c r="R708" i="8" s="1"/>
  <c r="P706" i="8"/>
  <c r="R706" i="8" s="1"/>
  <c r="P704" i="8"/>
  <c r="R704" i="8" s="1"/>
  <c r="P703" i="8"/>
  <c r="R703" i="8" s="1"/>
  <c r="P702" i="8"/>
  <c r="R702" i="8" s="1"/>
  <c r="P701" i="8"/>
  <c r="R701" i="8" s="1"/>
  <c r="P699" i="8"/>
  <c r="R699" i="8" s="1"/>
  <c r="P709" i="8"/>
  <c r="R709" i="8" s="1"/>
  <c r="P707" i="8"/>
  <c r="R707" i="8" s="1"/>
  <c r="P705" i="8"/>
  <c r="R705" i="8" s="1"/>
  <c r="P698" i="8"/>
  <c r="R698" i="8" s="1"/>
  <c r="P696" i="8"/>
  <c r="R696" i="8" s="1"/>
  <c r="P695" i="8"/>
  <c r="R695" i="8" s="1"/>
  <c r="P694" i="8"/>
  <c r="R694" i="8" s="1"/>
  <c r="P693" i="8"/>
  <c r="R693" i="8" s="1"/>
  <c r="P692" i="8"/>
  <c r="R692" i="8" s="1"/>
  <c r="P691" i="8"/>
  <c r="R691" i="8" s="1"/>
  <c r="P690" i="8"/>
  <c r="R690" i="8" s="1"/>
  <c r="P689" i="8"/>
  <c r="R689" i="8" s="1"/>
  <c r="P688" i="8"/>
  <c r="R688" i="8" s="1"/>
  <c r="P687" i="8"/>
  <c r="R687" i="8" s="1"/>
  <c r="P685" i="8"/>
  <c r="R685" i="8" s="1"/>
  <c r="P684" i="8"/>
  <c r="R684" i="8" s="1"/>
  <c r="P683" i="8"/>
  <c r="R683" i="8" s="1"/>
  <c r="P682" i="8"/>
  <c r="R682" i="8" s="1"/>
  <c r="P681" i="8"/>
  <c r="R681" i="8" s="1"/>
  <c r="P677" i="8"/>
  <c r="R677" i="8" s="1"/>
  <c r="P676" i="8"/>
  <c r="R676" i="8" s="1"/>
  <c r="P675" i="8"/>
  <c r="R675" i="8" s="1"/>
  <c r="P661" i="8"/>
  <c r="R661" i="8" s="1"/>
  <c r="P660" i="8"/>
  <c r="R660" i="8" s="1"/>
  <c r="P659" i="8"/>
  <c r="R659" i="8" s="1"/>
  <c r="P658" i="8"/>
  <c r="R658" i="8" s="1"/>
  <c r="P657" i="8"/>
  <c r="R657" i="8" s="1"/>
  <c r="P656" i="8"/>
  <c r="R656" i="8" s="1"/>
  <c r="P655" i="8"/>
  <c r="R655" i="8" s="1"/>
  <c r="P654" i="8"/>
  <c r="R654" i="8" s="1"/>
  <c r="P653" i="8"/>
  <c r="R653" i="8" s="1"/>
  <c r="P652" i="8"/>
  <c r="R652" i="8" s="1"/>
  <c r="P651" i="8"/>
  <c r="R651" i="8" s="1"/>
  <c r="P650" i="8"/>
  <c r="R650" i="8" s="1"/>
  <c r="P648" i="8"/>
  <c r="R648" i="8" s="1"/>
  <c r="P647" i="8"/>
  <c r="R647" i="8" s="1"/>
  <c r="P646" i="8"/>
  <c r="R646" i="8" s="1"/>
  <c r="P645" i="8"/>
  <c r="R645" i="8" s="1"/>
  <c r="P644" i="8"/>
  <c r="R644" i="8" s="1"/>
  <c r="P642" i="8"/>
  <c r="R642" i="8" s="1"/>
  <c r="P641" i="8"/>
  <c r="R641" i="8" s="1"/>
  <c r="P640" i="8"/>
  <c r="R640" i="8" s="1"/>
  <c r="P639" i="8"/>
  <c r="R639" i="8" s="1"/>
  <c r="P638" i="8"/>
  <c r="R638" i="8" s="1"/>
  <c r="P636" i="8"/>
  <c r="R636" i="8" s="1"/>
  <c r="P635" i="8"/>
  <c r="R635" i="8" s="1"/>
  <c r="P634" i="8"/>
  <c r="R634" i="8" s="1"/>
  <c r="P633" i="8"/>
  <c r="R633" i="8" s="1"/>
  <c r="P631" i="8"/>
  <c r="R631" i="8" s="1"/>
  <c r="P630" i="8"/>
  <c r="R630" i="8" s="1"/>
  <c r="P629" i="8"/>
  <c r="R629" i="8" s="1"/>
  <c r="P628" i="8"/>
  <c r="R628" i="8" s="1"/>
  <c r="P626" i="8"/>
  <c r="R626" i="8" s="1"/>
  <c r="P625" i="8"/>
  <c r="R625" i="8" s="1"/>
  <c r="P624" i="8"/>
  <c r="R624" i="8" s="1"/>
  <c r="P623" i="8"/>
  <c r="R623" i="8" s="1"/>
  <c r="P622" i="8"/>
  <c r="R622" i="8" s="1"/>
  <c r="P621" i="8"/>
  <c r="R621" i="8" s="1"/>
  <c r="P620" i="8"/>
  <c r="R620" i="8" s="1"/>
  <c r="P619" i="8"/>
  <c r="R619" i="8" s="1"/>
  <c r="P618" i="8"/>
  <c r="R618" i="8" s="1"/>
  <c r="P617" i="8"/>
  <c r="R617" i="8" s="1"/>
  <c r="P616" i="8"/>
  <c r="R616" i="8" s="1"/>
  <c r="P615" i="8"/>
  <c r="R615" i="8" s="1"/>
  <c r="P614" i="8"/>
  <c r="R614" i="8" s="1"/>
  <c r="P613" i="8"/>
  <c r="R613" i="8" s="1"/>
  <c r="P612" i="8"/>
  <c r="R612" i="8" s="1"/>
  <c r="P611" i="8"/>
  <c r="R611" i="8" s="1"/>
  <c r="P610" i="8"/>
  <c r="R610" i="8" s="1"/>
  <c r="P609" i="8"/>
  <c r="R609" i="8" s="1"/>
  <c r="P608" i="8"/>
  <c r="R608" i="8" s="1"/>
  <c r="P607" i="8"/>
  <c r="R607" i="8" s="1"/>
  <c r="P605" i="8"/>
  <c r="R605" i="8" s="1"/>
  <c r="P604" i="8"/>
  <c r="R604" i="8" s="1"/>
  <c r="P603" i="8"/>
  <c r="R603" i="8" s="1"/>
  <c r="P602" i="8"/>
  <c r="R602" i="8" s="1"/>
  <c r="P601" i="8"/>
  <c r="R601" i="8" s="1"/>
  <c r="P600" i="8"/>
  <c r="R600" i="8" s="1"/>
  <c r="P599" i="8"/>
  <c r="R599" i="8" s="1"/>
  <c r="P597" i="8"/>
  <c r="R597" i="8" s="1"/>
  <c r="P596" i="8"/>
  <c r="R596" i="8" s="1"/>
  <c r="P594" i="8"/>
  <c r="R594" i="8" s="1"/>
  <c r="P593" i="8"/>
  <c r="R593" i="8" s="1"/>
  <c r="P591" i="8"/>
  <c r="R591" i="8" s="1"/>
  <c r="P590" i="8"/>
  <c r="R590" i="8" s="1"/>
  <c r="P589" i="8"/>
  <c r="R589" i="8" s="1"/>
  <c r="P588" i="8"/>
  <c r="R588" i="8" s="1"/>
  <c r="P587" i="8"/>
  <c r="R587" i="8" s="1"/>
  <c r="P586" i="8"/>
  <c r="R586" i="8" s="1"/>
  <c r="P585" i="8"/>
  <c r="R585" i="8" s="1"/>
  <c r="P584" i="8"/>
  <c r="R584" i="8" s="1"/>
  <c r="P583" i="8"/>
  <c r="R583" i="8" s="1"/>
  <c r="P582" i="8"/>
  <c r="R582" i="8" s="1"/>
  <c r="P580" i="8"/>
  <c r="R580" i="8" s="1"/>
  <c r="P579" i="8"/>
  <c r="R579" i="8" s="1"/>
  <c r="P578" i="8"/>
  <c r="R578" i="8" s="1"/>
  <c r="P577" i="8"/>
  <c r="R577" i="8" s="1"/>
  <c r="P576" i="8"/>
  <c r="R576" i="8" s="1"/>
  <c r="P575" i="8"/>
  <c r="R575" i="8" s="1"/>
  <c r="P574" i="8"/>
  <c r="R574" i="8" s="1"/>
  <c r="P573" i="8"/>
  <c r="R573" i="8" s="1"/>
  <c r="P572" i="8"/>
  <c r="R572" i="8" s="1"/>
  <c r="P571" i="8"/>
  <c r="R571" i="8" s="1"/>
  <c r="P570" i="8"/>
  <c r="R570" i="8" s="1"/>
  <c r="P568" i="8"/>
  <c r="R568" i="8" s="1"/>
  <c r="P567" i="8"/>
  <c r="R567" i="8" s="1"/>
  <c r="P566" i="8"/>
  <c r="R566" i="8" s="1"/>
  <c r="P564" i="8"/>
  <c r="R564" i="8" s="1"/>
  <c r="P563" i="8"/>
  <c r="R563" i="8" s="1"/>
  <c r="P562" i="8"/>
  <c r="R562" i="8" s="1"/>
  <c r="P537" i="8"/>
  <c r="R537" i="8" s="1"/>
  <c r="P536" i="8"/>
  <c r="R536" i="8" s="1"/>
  <c r="P535" i="8"/>
  <c r="R535" i="8" s="1"/>
  <c r="P534" i="8"/>
  <c r="R534" i="8" s="1"/>
  <c r="P533" i="8"/>
  <c r="R533" i="8" s="1"/>
  <c r="P532" i="8"/>
  <c r="R532" i="8" s="1"/>
  <c r="P531" i="8"/>
  <c r="R531" i="8" s="1"/>
  <c r="P530" i="8"/>
  <c r="R530" i="8" s="1"/>
  <c r="P529" i="8"/>
  <c r="R529" i="8" s="1"/>
  <c r="P528" i="8"/>
  <c r="R528" i="8" s="1"/>
  <c r="P527" i="8"/>
  <c r="R527" i="8" s="1"/>
  <c r="P526" i="8"/>
  <c r="R526" i="8" s="1"/>
  <c r="P524" i="8"/>
  <c r="R524" i="8" s="1"/>
  <c r="P523" i="8"/>
  <c r="R523" i="8" s="1"/>
  <c r="P521" i="8"/>
  <c r="R521" i="8" s="1"/>
  <c r="P520" i="8"/>
  <c r="R520" i="8" s="1"/>
  <c r="P519" i="8"/>
  <c r="R519" i="8" s="1"/>
  <c r="P518" i="8"/>
  <c r="R518" i="8" s="1"/>
  <c r="P517" i="8"/>
  <c r="R517" i="8" s="1"/>
  <c r="P515" i="8"/>
  <c r="R515" i="8" s="1"/>
  <c r="P514" i="8"/>
  <c r="R514" i="8" s="1"/>
  <c r="P513" i="8"/>
  <c r="R513" i="8" s="1"/>
  <c r="P512" i="8"/>
  <c r="R512" i="8" s="1"/>
  <c r="P511" i="8"/>
  <c r="R511" i="8" s="1"/>
  <c r="P509" i="8"/>
  <c r="R509" i="8" s="1"/>
  <c r="P508" i="8"/>
  <c r="R508" i="8" s="1"/>
  <c r="P507" i="8"/>
  <c r="R507" i="8" s="1"/>
  <c r="P506" i="8"/>
  <c r="R506" i="8" s="1"/>
  <c r="P505" i="8"/>
  <c r="R505" i="8" s="1"/>
  <c r="P504" i="8"/>
  <c r="R504" i="8" s="1"/>
  <c r="P503" i="8"/>
  <c r="R503" i="8" s="1"/>
  <c r="P502" i="8"/>
  <c r="R502" i="8" s="1"/>
  <c r="P501" i="8"/>
  <c r="R501" i="8" s="1"/>
  <c r="P500" i="8"/>
  <c r="R500" i="8" s="1"/>
  <c r="P499" i="8"/>
  <c r="R499" i="8" s="1"/>
  <c r="P498" i="8"/>
  <c r="R498" i="8" s="1"/>
  <c r="P516" i="8"/>
  <c r="R516" i="8" s="1"/>
  <c r="P497" i="8"/>
  <c r="R497" i="8" s="1"/>
  <c r="P510" i="8"/>
  <c r="R510" i="8" s="1"/>
  <c r="P496" i="8"/>
  <c r="R496" i="8" s="1"/>
  <c r="P495" i="8"/>
  <c r="R495" i="8" s="1"/>
  <c r="P494" i="8"/>
  <c r="R494" i="8" s="1"/>
  <c r="P493" i="8"/>
  <c r="R493" i="8" s="1"/>
  <c r="P492" i="8"/>
  <c r="R492" i="8" s="1"/>
  <c r="P491" i="8"/>
  <c r="R491" i="8" s="1"/>
  <c r="P490" i="8"/>
  <c r="R490" i="8" s="1"/>
  <c r="P480" i="8"/>
  <c r="R480" i="8" s="1"/>
  <c r="P478" i="8"/>
  <c r="R478" i="8" s="1"/>
  <c r="P475" i="8"/>
  <c r="R475" i="8" s="1"/>
  <c r="P470" i="8"/>
  <c r="R470" i="8" s="1"/>
  <c r="P459" i="8"/>
  <c r="R459" i="8" s="1"/>
  <c r="P456" i="8"/>
  <c r="R456" i="8" s="1"/>
  <c r="P454" i="8"/>
  <c r="R454" i="8" s="1"/>
  <c r="P489" i="8"/>
  <c r="R489" i="8" s="1"/>
  <c r="P488" i="8"/>
  <c r="R488" i="8" s="1"/>
  <c r="P487" i="8"/>
  <c r="R487" i="8" s="1"/>
  <c r="P486" i="8"/>
  <c r="R486" i="8" s="1"/>
  <c r="P485" i="8"/>
  <c r="R485" i="8" s="1"/>
  <c r="P484" i="8"/>
  <c r="R484" i="8" s="1"/>
  <c r="P483" i="8"/>
  <c r="R483" i="8" s="1"/>
  <c r="P482" i="8"/>
  <c r="R482" i="8" s="1"/>
  <c r="P481" i="8"/>
  <c r="R481" i="8" s="1"/>
  <c r="P479" i="8"/>
  <c r="R479" i="8" s="1"/>
  <c r="P477" i="8"/>
  <c r="R477" i="8" s="1"/>
  <c r="P476" i="8"/>
  <c r="R476" i="8" s="1"/>
  <c r="P474" i="8"/>
  <c r="R474" i="8" s="1"/>
  <c r="P473" i="8"/>
  <c r="R473" i="8" s="1"/>
  <c r="P472" i="8"/>
  <c r="R472" i="8" s="1"/>
  <c r="P471" i="8"/>
  <c r="R471" i="8" s="1"/>
  <c r="P469" i="8"/>
  <c r="R469" i="8" s="1"/>
  <c r="P467" i="8"/>
  <c r="R467" i="8" s="1"/>
  <c r="P466" i="8"/>
  <c r="R466" i="8" s="1"/>
  <c r="P465" i="8"/>
  <c r="R465" i="8" s="1"/>
  <c r="P464" i="8"/>
  <c r="R464" i="8" s="1"/>
  <c r="P463" i="8"/>
  <c r="R463" i="8" s="1"/>
  <c r="P462" i="8"/>
  <c r="R462" i="8" s="1"/>
  <c r="P461" i="8"/>
  <c r="R461" i="8" s="1"/>
  <c r="P460" i="8"/>
  <c r="R460" i="8" s="1"/>
  <c r="P458" i="8"/>
  <c r="R458" i="8" s="1"/>
  <c r="P457" i="8"/>
  <c r="R457" i="8" s="1"/>
  <c r="P455" i="8"/>
  <c r="R455" i="8" s="1"/>
  <c r="P453" i="8"/>
  <c r="R453" i="8" s="1"/>
  <c r="P452" i="8"/>
  <c r="R452" i="8" s="1"/>
  <c r="P450" i="8"/>
  <c r="R450" i="8" s="1"/>
  <c r="P449" i="8"/>
  <c r="R449" i="8" s="1"/>
  <c r="P448" i="8"/>
  <c r="R448" i="8" s="1"/>
  <c r="P447" i="8"/>
  <c r="R447" i="8" s="1"/>
  <c r="P446" i="8"/>
  <c r="R446" i="8" s="1"/>
  <c r="P445" i="8"/>
  <c r="R445" i="8" s="1"/>
  <c r="P444" i="8"/>
  <c r="R444" i="8" s="1"/>
  <c r="P442" i="8"/>
  <c r="R442" i="8" s="1"/>
  <c r="P441" i="8"/>
  <c r="R441" i="8" s="1"/>
  <c r="P440" i="8"/>
  <c r="R440" i="8" s="1"/>
  <c r="P438" i="8"/>
  <c r="R438" i="8" s="1"/>
  <c r="P437" i="8"/>
  <c r="R437" i="8" s="1"/>
  <c r="P436" i="8"/>
  <c r="R436" i="8" s="1"/>
  <c r="P435" i="8"/>
  <c r="R435" i="8" s="1"/>
  <c r="P433" i="8"/>
  <c r="R433" i="8" s="1"/>
  <c r="P432" i="8"/>
  <c r="R432" i="8" s="1"/>
  <c r="P431" i="8"/>
  <c r="R431" i="8" s="1"/>
  <c r="P430" i="8"/>
  <c r="R430" i="8" s="1"/>
  <c r="P405" i="8"/>
  <c r="R405" i="8" s="1"/>
  <c r="P404" i="8"/>
  <c r="R404" i="8" s="1"/>
  <c r="P402" i="8"/>
  <c r="R402" i="8" s="1"/>
  <c r="P401" i="8"/>
  <c r="R401" i="8" s="1"/>
  <c r="P400" i="8"/>
  <c r="R400" i="8" s="1"/>
  <c r="P399" i="8"/>
  <c r="R399" i="8" s="1"/>
  <c r="P397" i="8"/>
  <c r="R397" i="8" s="1"/>
  <c r="P396" i="8"/>
  <c r="R396" i="8" s="1"/>
  <c r="P395" i="8"/>
  <c r="R395" i="8" s="1"/>
  <c r="P394" i="8"/>
  <c r="R394" i="8" s="1"/>
  <c r="P393" i="8"/>
  <c r="R393" i="8" s="1"/>
  <c r="P392" i="8"/>
  <c r="R392" i="8" s="1"/>
  <c r="P391" i="8"/>
  <c r="R391" i="8" s="1"/>
  <c r="P390" i="8"/>
  <c r="R390" i="8" s="1"/>
  <c r="P389" i="8"/>
  <c r="R389" i="8" s="1"/>
  <c r="P398" i="8"/>
  <c r="R398" i="8" s="1"/>
  <c r="P388" i="8"/>
  <c r="R388" i="8" s="1"/>
  <c r="P387" i="8"/>
  <c r="R387" i="8" s="1"/>
  <c r="P386" i="8"/>
  <c r="R386" i="8" s="1"/>
  <c r="P385" i="8"/>
  <c r="R385" i="8" s="1"/>
  <c r="P384" i="8"/>
  <c r="R384" i="8" s="1"/>
  <c r="P382" i="8"/>
  <c r="R382" i="8" s="1"/>
  <c r="P381" i="8"/>
  <c r="R381" i="8" s="1"/>
  <c r="P377" i="8"/>
  <c r="R377" i="8" s="1"/>
  <c r="P379" i="8"/>
  <c r="R379" i="8" s="1"/>
  <c r="P378" i="8"/>
  <c r="R378" i="8" s="1"/>
  <c r="P376" i="8"/>
  <c r="R376" i="8" s="1"/>
  <c r="P374" i="8"/>
  <c r="R374" i="8" s="1"/>
  <c r="P373" i="8"/>
  <c r="R373" i="8" s="1"/>
  <c r="P372" i="8"/>
  <c r="R372" i="8" s="1"/>
  <c r="P370" i="8"/>
  <c r="R370" i="8" s="1"/>
  <c r="P369" i="8"/>
  <c r="R369" i="8" s="1"/>
  <c r="P367" i="8"/>
  <c r="R367" i="8" s="1"/>
  <c r="P366" i="8"/>
  <c r="R366" i="8" s="1"/>
  <c r="P364" i="8"/>
  <c r="R364" i="8" s="1"/>
  <c r="P363" i="8"/>
  <c r="R363" i="8" s="1"/>
  <c r="P362" i="8"/>
  <c r="R362" i="8" s="1"/>
  <c r="P361" i="8"/>
  <c r="R361" i="8" s="1"/>
  <c r="P359" i="8"/>
  <c r="R359" i="8" s="1"/>
  <c r="P358" i="8"/>
  <c r="R358" i="8" s="1"/>
  <c r="P357" i="8"/>
  <c r="R357" i="8" s="1"/>
  <c r="P356" i="8"/>
  <c r="R356" i="8" s="1"/>
  <c r="P354" i="8"/>
  <c r="R354" i="8" s="1"/>
  <c r="P353" i="8"/>
  <c r="R353" i="8" s="1"/>
  <c r="P352" i="8"/>
  <c r="R352" i="8" s="1"/>
  <c r="P351" i="8"/>
  <c r="R351" i="8" s="1"/>
  <c r="P350" i="8"/>
  <c r="R350" i="8" s="1"/>
  <c r="P349" i="8"/>
  <c r="R349" i="8" s="1"/>
  <c r="P348" i="8"/>
  <c r="R348" i="8" s="1"/>
  <c r="P347" i="8"/>
  <c r="R347" i="8" s="1"/>
  <c r="P346" i="8"/>
  <c r="R346" i="8" s="1"/>
  <c r="P343" i="8"/>
  <c r="R343" i="8" s="1"/>
  <c r="P360" i="8"/>
  <c r="R360" i="8" s="1"/>
  <c r="P342" i="8"/>
  <c r="R342" i="8" s="1"/>
  <c r="P355" i="8"/>
  <c r="R355" i="8" s="1"/>
  <c r="P341" i="8"/>
  <c r="R341" i="8" s="1"/>
  <c r="P339" i="8"/>
  <c r="R339" i="8" s="1"/>
  <c r="P338" i="8"/>
  <c r="R338" i="8" s="1"/>
  <c r="P329" i="8"/>
  <c r="R329" i="8" s="1"/>
  <c r="P309" i="8"/>
  <c r="R309" i="8" s="1"/>
  <c r="P306" i="8"/>
  <c r="R306" i="8" s="1"/>
  <c r="P337" i="8"/>
  <c r="R337" i="8" s="1"/>
  <c r="P336" i="8"/>
  <c r="R336" i="8" s="1"/>
  <c r="P335" i="8"/>
  <c r="R335" i="8" s="1"/>
  <c r="P333" i="8"/>
  <c r="R333" i="8" s="1"/>
  <c r="P332" i="8"/>
  <c r="R332" i="8" s="1"/>
  <c r="P331" i="8"/>
  <c r="R331" i="8" s="1"/>
  <c r="P330" i="8"/>
  <c r="R330" i="8" s="1"/>
  <c r="P328" i="8"/>
  <c r="R328" i="8" s="1"/>
  <c r="P327" i="8"/>
  <c r="R327" i="8" s="1"/>
  <c r="P326" i="8"/>
  <c r="R326" i="8" s="1"/>
  <c r="P325" i="8"/>
  <c r="R325" i="8" s="1"/>
  <c r="P324" i="8"/>
  <c r="R324" i="8" s="1"/>
  <c r="P323" i="8"/>
  <c r="R323" i="8" s="1"/>
  <c r="P322" i="8"/>
  <c r="R322" i="8" s="1"/>
  <c r="P321" i="8"/>
  <c r="R321" i="8" s="1"/>
  <c r="P320" i="8"/>
  <c r="R320" i="8" s="1"/>
  <c r="P319" i="8"/>
  <c r="R319" i="8" s="1"/>
  <c r="P318" i="8"/>
  <c r="R318" i="8" s="1"/>
  <c r="P315" i="8"/>
  <c r="R315" i="8" s="1"/>
  <c r="P314" i="8"/>
  <c r="R314" i="8" s="1"/>
  <c r="P313" i="8"/>
  <c r="R313" i="8" s="1"/>
  <c r="P311" i="8"/>
  <c r="R311" i="8" s="1"/>
  <c r="P310" i="8"/>
  <c r="R310" i="8" s="1"/>
  <c r="P308" i="8"/>
  <c r="R308" i="8" s="1"/>
  <c r="P307" i="8"/>
  <c r="R307" i="8" s="1"/>
  <c r="P305" i="8"/>
  <c r="R305" i="8" s="1"/>
  <c r="P303" i="8"/>
  <c r="R303" i="8" s="1"/>
  <c r="P300" i="8"/>
  <c r="R300" i="8" s="1"/>
  <c r="P299" i="8"/>
  <c r="R299" i="8" s="1"/>
  <c r="P298" i="8"/>
  <c r="R298" i="8" s="1"/>
  <c r="P296" i="8"/>
  <c r="R296" i="8" s="1"/>
  <c r="P295" i="8"/>
  <c r="R295" i="8" s="1"/>
  <c r="P294" i="8"/>
  <c r="R294" i="8" s="1"/>
  <c r="P292" i="8"/>
  <c r="R292" i="8" s="1"/>
  <c r="P302" i="8"/>
  <c r="R302" i="8" s="1"/>
  <c r="P291" i="8"/>
  <c r="R291" i="8" s="1"/>
  <c r="P297" i="8"/>
  <c r="R297" i="8" s="1"/>
  <c r="P290" i="8"/>
  <c r="R290" i="8" s="1"/>
  <c r="P289" i="8"/>
  <c r="R289" i="8" s="1"/>
  <c r="P286" i="8"/>
  <c r="R286" i="8" s="1"/>
  <c r="P280" i="8"/>
  <c r="R280" i="8" s="1"/>
  <c r="P277" i="8"/>
  <c r="R277" i="8" s="1"/>
  <c r="P288" i="8"/>
  <c r="R288" i="8" s="1"/>
  <c r="P287" i="8"/>
  <c r="R287" i="8" s="1"/>
  <c r="P285" i="8"/>
  <c r="R285" i="8" s="1"/>
  <c r="P284" i="8"/>
  <c r="R284" i="8" s="1"/>
  <c r="P283" i="8"/>
  <c r="R283" i="8" s="1"/>
  <c r="P282" i="8"/>
  <c r="R282" i="8" s="1"/>
  <c r="P281" i="8"/>
  <c r="R281" i="8" s="1"/>
  <c r="P279" i="8"/>
  <c r="R279" i="8" s="1"/>
  <c r="P276" i="8"/>
  <c r="R276" i="8" s="1"/>
  <c r="P274" i="8"/>
  <c r="R274" i="8" s="1"/>
  <c r="P272" i="8"/>
  <c r="R272" i="8" s="1"/>
  <c r="P271" i="8"/>
  <c r="R271" i="8" s="1"/>
  <c r="P269" i="8"/>
  <c r="R269" i="8" s="1"/>
  <c r="P268" i="8"/>
  <c r="R268" i="8" s="1"/>
  <c r="P267" i="8"/>
  <c r="R267" i="8" s="1"/>
  <c r="P266" i="8"/>
  <c r="R266" i="8" s="1"/>
  <c r="P222" i="8"/>
  <c r="R222" i="8" s="1"/>
  <c r="P221" i="8"/>
  <c r="R221" i="8" s="1"/>
  <c r="P220" i="8"/>
  <c r="R220" i="8" s="1"/>
  <c r="P219" i="8"/>
  <c r="R219" i="8" s="1"/>
  <c r="P218" i="8"/>
  <c r="R218" i="8" s="1"/>
  <c r="P217" i="8"/>
  <c r="R217" i="8" s="1"/>
  <c r="P216" i="8"/>
  <c r="R216" i="8" s="1"/>
  <c r="P182" i="8"/>
  <c r="R182" i="8" s="1"/>
  <c r="P181" i="8"/>
  <c r="R181" i="8" s="1"/>
  <c r="P179" i="8"/>
  <c r="R179" i="8" s="1"/>
  <c r="P214" i="8"/>
  <c r="R214" i="8" s="1"/>
  <c r="P213" i="8"/>
  <c r="R213" i="8" s="1"/>
  <c r="P212" i="8"/>
  <c r="R212" i="8" s="1"/>
  <c r="P210" i="8"/>
  <c r="R210" i="8" s="1"/>
  <c r="P208" i="8"/>
  <c r="R208" i="8" s="1"/>
  <c r="P207" i="8"/>
  <c r="R207" i="8" s="1"/>
  <c r="P206" i="8"/>
  <c r="R206" i="8" s="1"/>
  <c r="P205" i="8"/>
  <c r="R205" i="8" s="1"/>
  <c r="P204" i="8"/>
  <c r="R204" i="8" s="1"/>
  <c r="P203" i="8"/>
  <c r="R203" i="8" s="1"/>
  <c r="P201" i="8"/>
  <c r="R201" i="8" s="1"/>
  <c r="P200" i="8"/>
  <c r="R200" i="8" s="1"/>
  <c r="P199" i="8"/>
  <c r="R199" i="8" s="1"/>
  <c r="P198" i="8"/>
  <c r="R198" i="8" s="1"/>
  <c r="P197" i="8"/>
  <c r="R197" i="8" s="1"/>
  <c r="P195" i="8"/>
  <c r="R195" i="8" s="1"/>
  <c r="P194" i="8"/>
  <c r="R194" i="8" s="1"/>
  <c r="P193" i="8"/>
  <c r="R193" i="8" s="1"/>
  <c r="P187" i="8"/>
  <c r="R187" i="8" s="1"/>
  <c r="P185" i="8"/>
  <c r="R185" i="8" s="1"/>
  <c r="P192" i="8"/>
  <c r="R192" i="8" s="1"/>
  <c r="P191" i="8"/>
  <c r="R191" i="8" s="1"/>
  <c r="P190" i="8"/>
  <c r="R190" i="8" s="1"/>
  <c r="P189" i="8"/>
  <c r="R189" i="8" s="1"/>
  <c r="P188" i="8"/>
  <c r="R188" i="8" s="1"/>
  <c r="P186" i="8"/>
  <c r="R186" i="8" s="1"/>
  <c r="P184" i="8"/>
  <c r="R184" i="8" s="1"/>
  <c r="P177" i="8"/>
  <c r="R177" i="8" s="1"/>
  <c r="P176" i="8"/>
  <c r="R176" i="8" s="1"/>
  <c r="P173" i="8"/>
  <c r="R173" i="8" s="1"/>
  <c r="P172" i="8"/>
  <c r="R172" i="8" s="1"/>
  <c r="P171" i="8"/>
  <c r="R171" i="8" s="1"/>
  <c r="P170" i="8"/>
  <c r="R170" i="8" s="1"/>
  <c r="P169" i="8"/>
  <c r="R169" i="8" s="1"/>
  <c r="P168" i="8"/>
  <c r="R168" i="8" s="1"/>
  <c r="P166" i="8"/>
  <c r="R166" i="8" s="1"/>
  <c r="P165" i="8"/>
  <c r="R165" i="8" s="1"/>
  <c r="P164" i="8"/>
  <c r="R164" i="8" s="1"/>
  <c r="P163" i="8"/>
  <c r="R163" i="8" s="1"/>
  <c r="P162" i="8"/>
  <c r="R162" i="8" s="1"/>
  <c r="P161" i="8"/>
  <c r="R161" i="8" s="1"/>
  <c r="P160" i="8"/>
  <c r="R160" i="8" s="1"/>
  <c r="P159" i="8"/>
  <c r="R159" i="8" s="1"/>
  <c r="P157" i="8"/>
  <c r="R157" i="8" s="1"/>
  <c r="P156" i="8"/>
  <c r="R156" i="8" s="1"/>
  <c r="P155" i="8"/>
  <c r="R155" i="8" s="1"/>
  <c r="P154" i="8"/>
  <c r="R154" i="8" s="1"/>
  <c r="P152" i="8"/>
  <c r="R152" i="8" s="1"/>
  <c r="P151" i="8"/>
  <c r="R151" i="8" s="1"/>
  <c r="P150" i="8"/>
  <c r="R150" i="8" s="1"/>
  <c r="P149" i="8"/>
  <c r="R149" i="8" s="1"/>
  <c r="P148" i="8"/>
  <c r="R148" i="8" s="1"/>
  <c r="P147" i="8"/>
  <c r="R147" i="8" s="1"/>
  <c r="P144" i="8"/>
  <c r="R144" i="8" s="1"/>
  <c r="P143" i="8"/>
  <c r="R143" i="8" s="1"/>
  <c r="P142" i="8"/>
  <c r="R142" i="8" s="1"/>
  <c r="P167" i="8"/>
  <c r="R167" i="8" s="1"/>
  <c r="P141" i="8"/>
  <c r="R141" i="8" s="1"/>
  <c r="P158" i="8"/>
  <c r="R158" i="8" s="1"/>
  <c r="P140" i="8"/>
  <c r="R140" i="8" s="1"/>
  <c r="P139" i="8"/>
  <c r="R139" i="8" s="1"/>
  <c r="P138" i="8"/>
  <c r="R138" i="8" s="1"/>
  <c r="P137" i="8"/>
  <c r="R137" i="8" s="1"/>
  <c r="P136" i="8"/>
  <c r="R136" i="8" s="1"/>
  <c r="P135" i="8"/>
  <c r="R135" i="8" s="1"/>
  <c r="P134" i="8"/>
  <c r="R134" i="8" s="1"/>
  <c r="P133" i="8"/>
  <c r="R133" i="8" s="1"/>
  <c r="P132" i="8"/>
  <c r="R132" i="8" s="1"/>
  <c r="P131" i="8"/>
  <c r="R131" i="8" s="1"/>
  <c r="P130" i="8"/>
  <c r="R130" i="8" s="1"/>
  <c r="P129" i="8"/>
  <c r="R129" i="8" s="1"/>
  <c r="P128" i="8"/>
  <c r="R128" i="8" s="1"/>
  <c r="P117" i="8"/>
  <c r="R117" i="8" s="1"/>
  <c r="P110" i="8"/>
  <c r="R110" i="8" s="1"/>
  <c r="P112" i="8"/>
  <c r="R112" i="8" s="1"/>
  <c r="P107" i="8"/>
  <c r="R107" i="8" s="1"/>
  <c r="P127" i="8"/>
  <c r="R127" i="8" s="1"/>
  <c r="P96" i="8"/>
  <c r="R96" i="8" s="1"/>
  <c r="P91" i="8"/>
  <c r="R91" i="8" s="1"/>
  <c r="P89" i="8"/>
  <c r="R89" i="8" s="1"/>
  <c r="P88" i="8"/>
  <c r="R88" i="8" s="1"/>
  <c r="P86" i="8"/>
  <c r="R86" i="8" s="1"/>
  <c r="P126" i="8"/>
  <c r="R126" i="8" s="1"/>
  <c r="P125" i="8"/>
  <c r="R125" i="8" s="1"/>
  <c r="P124" i="8"/>
  <c r="R124" i="8" s="1"/>
  <c r="P123" i="8"/>
  <c r="R123" i="8" s="1"/>
  <c r="P122" i="8"/>
  <c r="R122" i="8" s="1"/>
  <c r="P121" i="8"/>
  <c r="R121" i="8" s="1"/>
  <c r="P119" i="8"/>
  <c r="R119" i="8" s="1"/>
  <c r="P115" i="8"/>
  <c r="R115" i="8" s="1"/>
  <c r="P114" i="8"/>
  <c r="R114" i="8" s="1"/>
  <c r="P113" i="8"/>
  <c r="R113" i="8" s="1"/>
  <c r="P111" i="8"/>
  <c r="R111" i="8" s="1"/>
  <c r="P109" i="8"/>
  <c r="R109" i="8" s="1"/>
  <c r="P108" i="8"/>
  <c r="R108" i="8" s="1"/>
  <c r="P106" i="8"/>
  <c r="R106" i="8" s="1"/>
  <c r="P104" i="8"/>
  <c r="R104" i="8" s="1"/>
  <c r="P103" i="8"/>
  <c r="R103" i="8" s="1"/>
  <c r="P102" i="8"/>
  <c r="R102" i="8" s="1"/>
  <c r="P101" i="8"/>
  <c r="R101" i="8" s="1"/>
  <c r="P100" i="8"/>
  <c r="R100" i="8" s="1"/>
  <c r="P99" i="8"/>
  <c r="R99" i="8" s="1"/>
  <c r="P98" i="8"/>
  <c r="R98" i="8" s="1"/>
  <c r="P97" i="8"/>
  <c r="R97" i="8" s="1"/>
  <c r="P95" i="8"/>
  <c r="R95" i="8" s="1"/>
  <c r="P94" i="8"/>
  <c r="R94" i="8" s="1"/>
  <c r="P93" i="8"/>
  <c r="R93" i="8" s="1"/>
  <c r="P92" i="8"/>
  <c r="R92" i="8" s="1"/>
  <c r="P90" i="8"/>
  <c r="R90" i="8" s="1"/>
  <c r="P85" i="8"/>
  <c r="R85" i="8" s="1"/>
  <c r="P84" i="8"/>
  <c r="R84" i="8" s="1"/>
  <c r="P82" i="8"/>
  <c r="R82" i="8" s="1"/>
  <c r="P81" i="8"/>
  <c r="R81" i="8" s="1"/>
  <c r="P79" i="8"/>
  <c r="R79" i="8" s="1"/>
  <c r="P78" i="8"/>
  <c r="R78" i="8" s="1"/>
  <c r="P76" i="8"/>
  <c r="R76" i="8" s="1"/>
  <c r="P75" i="8"/>
  <c r="R75" i="8" s="1"/>
  <c r="P74" i="8"/>
  <c r="R74" i="8" s="1"/>
  <c r="P73" i="8"/>
  <c r="R73" i="8" s="1"/>
  <c r="P72" i="8"/>
  <c r="R72" i="8" s="1"/>
  <c r="P71" i="8"/>
  <c r="R71" i="8" s="1"/>
  <c r="P70" i="8"/>
  <c r="R70" i="8" s="1"/>
  <c r="P69" i="8"/>
  <c r="R69" i="8" s="1"/>
  <c r="P68" i="8"/>
  <c r="R68" i="8" s="1"/>
  <c r="P67" i="8"/>
  <c r="R67" i="8" s="1"/>
  <c r="P66" i="8"/>
  <c r="R66" i="8" s="1"/>
  <c r="P65" i="8"/>
  <c r="R65" i="8" s="1"/>
  <c r="P64" i="8"/>
  <c r="R64" i="8" s="1"/>
  <c r="P63" i="8"/>
  <c r="R63" i="8" s="1"/>
  <c r="P62" i="8"/>
  <c r="R62" i="8" s="1"/>
  <c r="P51" i="8"/>
  <c r="R51" i="8" s="1"/>
  <c r="P44" i="8"/>
  <c r="R44" i="8" s="1"/>
  <c r="P41" i="8"/>
  <c r="R41" i="8" s="1"/>
  <c r="P40" i="8"/>
  <c r="R40" i="8" s="1"/>
  <c r="P61" i="8"/>
  <c r="R61" i="8" s="1"/>
  <c r="P60" i="8"/>
  <c r="R60" i="8" s="1"/>
  <c r="P59" i="8"/>
  <c r="R59" i="8" s="1"/>
  <c r="P58" i="8"/>
  <c r="R58" i="8" s="1"/>
  <c r="P57" i="8"/>
  <c r="R57" i="8" s="1"/>
  <c r="P56" i="8"/>
  <c r="R56" i="8" s="1"/>
  <c r="P55" i="8"/>
  <c r="R55" i="8" s="1"/>
  <c r="P54" i="8"/>
  <c r="R54" i="8" s="1"/>
  <c r="P53" i="8"/>
  <c r="R53" i="8" s="1"/>
  <c r="P52" i="8"/>
  <c r="R52" i="8" s="1"/>
  <c r="P48" i="8"/>
  <c r="R48" i="8" s="1"/>
  <c r="P47" i="8"/>
  <c r="R47" i="8" s="1"/>
  <c r="P46" i="8"/>
  <c r="R46" i="8" s="1"/>
  <c r="P45" i="8"/>
  <c r="R45" i="8" s="1"/>
  <c r="P43" i="8"/>
  <c r="R43" i="8" s="1"/>
  <c r="P42" i="8"/>
  <c r="R42" i="8" s="1"/>
  <c r="P39" i="8"/>
  <c r="R39" i="8" s="1"/>
  <c r="P38" i="8"/>
  <c r="R38" i="8" s="1"/>
  <c r="P37" i="8"/>
  <c r="R37" i="8" s="1"/>
  <c r="P264" i="8"/>
  <c r="R264" i="8" s="1"/>
  <c r="P263" i="8"/>
  <c r="R263" i="8" s="1"/>
  <c r="P261" i="8"/>
  <c r="R261" i="8" s="1"/>
  <c r="P259" i="8"/>
  <c r="R259" i="8" s="1"/>
  <c r="P258" i="8"/>
  <c r="R258" i="8" s="1"/>
  <c r="P257" i="8"/>
  <c r="R257" i="8" s="1"/>
  <c r="P256" i="8"/>
  <c r="R256" i="8" s="1"/>
  <c r="P255" i="8"/>
  <c r="R255" i="8" s="1"/>
  <c r="P254" i="8"/>
  <c r="R254" i="8" s="1"/>
  <c r="P253" i="8"/>
  <c r="R253" i="8" s="1"/>
  <c r="P252" i="8"/>
  <c r="R252" i="8" s="1"/>
  <c r="P251" i="8"/>
  <c r="R251" i="8" s="1"/>
  <c r="P250" i="8"/>
  <c r="R250" i="8" s="1"/>
  <c r="P249" i="8"/>
  <c r="R249" i="8" s="1"/>
  <c r="P248" i="8"/>
  <c r="R248" i="8" s="1"/>
  <c r="P246" i="8"/>
  <c r="R246" i="8" s="1"/>
  <c r="P245" i="8"/>
  <c r="R245" i="8" s="1"/>
  <c r="P243" i="8"/>
  <c r="R243" i="8" s="1"/>
  <c r="P242" i="8"/>
  <c r="R242" i="8" s="1"/>
  <c r="P240" i="8"/>
  <c r="R240" i="8" s="1"/>
  <c r="P239" i="8"/>
  <c r="R239" i="8" s="1"/>
  <c r="P238" i="8"/>
  <c r="R238" i="8" s="1"/>
  <c r="P237" i="8"/>
  <c r="R237" i="8" s="1"/>
  <c r="P236" i="8"/>
  <c r="R236" i="8" s="1"/>
  <c r="P235" i="8"/>
  <c r="R235" i="8" s="1"/>
  <c r="P234" i="8"/>
  <c r="R234" i="8" s="1"/>
  <c r="P233" i="8"/>
  <c r="R233" i="8" s="1"/>
  <c r="P229" i="8"/>
  <c r="R229" i="8" s="1"/>
  <c r="P227" i="8"/>
  <c r="R227" i="8" s="1"/>
  <c r="P226" i="8"/>
  <c r="R226" i="8" s="1"/>
  <c r="P232" i="8"/>
  <c r="R232" i="8" s="1"/>
  <c r="P231" i="8"/>
  <c r="R231" i="8" s="1"/>
  <c r="P230" i="8"/>
  <c r="R230" i="8" s="1"/>
  <c r="P228" i="8"/>
  <c r="R228" i="8" s="1"/>
  <c r="P225" i="8"/>
  <c r="R225" i="8" s="1"/>
  <c r="P224" i="8"/>
  <c r="R224" i="8" s="1"/>
  <c r="P35" i="8"/>
  <c r="R35" i="8" s="1"/>
  <c r="R34" i="8" s="1"/>
  <c r="P20" i="8"/>
  <c r="R20" i="8" s="1"/>
  <c r="P19" i="8"/>
  <c r="R19" i="8" s="1"/>
  <c r="P16" i="8"/>
  <c r="R16" i="8" s="1"/>
  <c r="P15" i="8"/>
  <c r="R15" i="8" s="1"/>
  <c r="P14" i="8"/>
  <c r="R14" i="8" s="1"/>
  <c r="P12" i="8"/>
  <c r="R12" i="8" s="1"/>
  <c r="P11" i="8"/>
  <c r="R11" i="8" s="1"/>
  <c r="P10" i="8"/>
  <c r="R10" i="8" s="1"/>
  <c r="P8" i="8"/>
  <c r="R8" i="8" s="1"/>
  <c r="R720" i="8" l="1"/>
  <c r="R223" i="8"/>
  <c r="R244" i="8"/>
  <c r="R183" i="8"/>
  <c r="R304" i="8"/>
  <c r="R368" i="8"/>
  <c r="R429" i="8"/>
  <c r="R443" i="8"/>
  <c r="R525" i="8"/>
  <c r="R561" i="8"/>
  <c r="R674" i="8"/>
  <c r="R686" i="8"/>
  <c r="R740" i="8"/>
  <c r="R753" i="8"/>
  <c r="R781" i="8"/>
  <c r="R796" i="8"/>
  <c r="R849" i="8"/>
  <c r="R858" i="8"/>
  <c r="R889" i="8"/>
  <c r="R36" i="8"/>
  <c r="R265" i="8"/>
  <c r="R275" i="8"/>
  <c r="R581" i="8"/>
  <c r="R595" i="8"/>
  <c r="R632" i="8"/>
  <c r="R759" i="8"/>
  <c r="R791" i="8"/>
  <c r="R895" i="8"/>
  <c r="R247" i="8"/>
  <c r="R260" i="8"/>
  <c r="R80" i="8"/>
  <c r="R202" i="8"/>
  <c r="R178" i="8"/>
  <c r="R569" i="8"/>
  <c r="R697" i="8"/>
  <c r="R731" i="8"/>
  <c r="R746" i="8"/>
  <c r="R765" i="8"/>
  <c r="R818" i="8"/>
  <c r="R835" i="8"/>
  <c r="R861" i="8"/>
  <c r="R882" i="8"/>
  <c r="R3" i="8"/>
  <c r="R215" i="8"/>
  <c r="R451" i="8"/>
  <c r="R592" i="8"/>
  <c r="R643" i="8"/>
  <c r="R713" i="8"/>
  <c r="R723" i="8"/>
  <c r="R776" i="8"/>
  <c r="Q1325" i="8"/>
  <c r="S696" i="8"/>
  <c r="Q80" i="8"/>
  <c r="P183" i="8"/>
  <c r="P80" i="8"/>
  <c r="Q183" i="8"/>
  <c r="O206" i="2" l="1"/>
  <c r="N205" i="2" l="1"/>
  <c r="S1360" i="8"/>
  <c r="K1360" i="8"/>
  <c r="I1360" i="8"/>
  <c r="O1360" i="8" s="1"/>
  <c r="G1360" i="8"/>
  <c r="K1359" i="8"/>
  <c r="I1359" i="8"/>
  <c r="O1359" i="8" s="1"/>
  <c r="G1359" i="8"/>
  <c r="K1358" i="8"/>
  <c r="I1358" i="8"/>
  <c r="O1358" i="8" s="1"/>
  <c r="G1358" i="8"/>
  <c r="K1005" i="8"/>
  <c r="I1005" i="8"/>
  <c r="O1005" i="8" s="1"/>
  <c r="G1005" i="8"/>
  <c r="K1004" i="8"/>
  <c r="I1004" i="8"/>
  <c r="O1004" i="8" s="1"/>
  <c r="G1004" i="8"/>
  <c r="K1006" i="8"/>
  <c r="I1006" i="8"/>
  <c r="O1006" i="8" s="1"/>
  <c r="G1006" i="8"/>
  <c r="K862" i="8"/>
  <c r="I862" i="8"/>
  <c r="O862" i="8" s="1"/>
  <c r="G862" i="8"/>
  <c r="K863" i="8"/>
  <c r="I863" i="8"/>
  <c r="O863" i="8" s="1"/>
  <c r="G863" i="8"/>
  <c r="K819" i="8"/>
  <c r="I819" i="8"/>
  <c r="O819" i="8" s="1"/>
  <c r="G819" i="8"/>
  <c r="K820" i="8"/>
  <c r="I820" i="8"/>
  <c r="O820" i="8" s="1"/>
  <c r="G820" i="8"/>
  <c r="O1362" i="8"/>
  <c r="K900" i="8"/>
  <c r="I900" i="8"/>
  <c r="O900" i="8" s="1"/>
  <c r="G900" i="8"/>
  <c r="K899" i="8"/>
  <c r="I899" i="8"/>
  <c r="O899" i="8" s="1"/>
  <c r="G899" i="8"/>
  <c r="K898" i="8"/>
  <c r="I898" i="8"/>
  <c r="J898" i="8" s="1"/>
  <c r="G898" i="8"/>
  <c r="K897" i="8"/>
  <c r="I897" i="8"/>
  <c r="J897" i="8" s="1"/>
  <c r="G897" i="8"/>
  <c r="K896" i="8"/>
  <c r="I896" i="8"/>
  <c r="O896" i="8" s="1"/>
  <c r="G896" i="8"/>
  <c r="K894" i="8"/>
  <c r="I894" i="8"/>
  <c r="O894" i="8" s="1"/>
  <c r="G894" i="8"/>
  <c r="K893" i="8"/>
  <c r="I893" i="8"/>
  <c r="O893" i="8" s="1"/>
  <c r="G893" i="8"/>
  <c r="K892" i="8"/>
  <c r="I892" i="8"/>
  <c r="J892" i="8" s="1"/>
  <c r="G892" i="8"/>
  <c r="K891" i="8"/>
  <c r="I891" i="8"/>
  <c r="J891" i="8" s="1"/>
  <c r="G891" i="8"/>
  <c r="K890" i="8"/>
  <c r="I890" i="8"/>
  <c r="O890" i="8" s="1"/>
  <c r="G890" i="8"/>
  <c r="P1261" i="8"/>
  <c r="K1262" i="8"/>
  <c r="I1262" i="8"/>
  <c r="O1262" i="8" s="1"/>
  <c r="O1261" i="8" s="1"/>
  <c r="G1262" i="8"/>
  <c r="K860" i="8"/>
  <c r="I860" i="8"/>
  <c r="J860" i="8" s="1"/>
  <c r="G860" i="8"/>
  <c r="K859" i="8"/>
  <c r="I859" i="8"/>
  <c r="J859" i="8" s="1"/>
  <c r="G859" i="8"/>
  <c r="K1051" i="8"/>
  <c r="I1051" i="8"/>
  <c r="J1051" i="8" s="1"/>
  <c r="G1051" i="8"/>
  <c r="K1050" i="8"/>
  <c r="I1050" i="8"/>
  <c r="O1050" i="8" s="1"/>
  <c r="G1050" i="8"/>
  <c r="K1049" i="8"/>
  <c r="I1049" i="8"/>
  <c r="O1049" i="8" s="1"/>
  <c r="G1049" i="8"/>
  <c r="K1048" i="8"/>
  <c r="I1048" i="8"/>
  <c r="G1048" i="8"/>
  <c r="K1047" i="8"/>
  <c r="I1047" i="8"/>
  <c r="J1047" i="8" s="1"/>
  <c r="G1047" i="8"/>
  <c r="K1046" i="8"/>
  <c r="I1046" i="8"/>
  <c r="O1046" i="8" s="1"/>
  <c r="G1046" i="8"/>
  <c r="K1045" i="8"/>
  <c r="I1045" i="8"/>
  <c r="O1045" i="8" s="1"/>
  <c r="G1045" i="8"/>
  <c r="K1044" i="8"/>
  <c r="I1044" i="8"/>
  <c r="J1044" i="8" s="1"/>
  <c r="G1044" i="8"/>
  <c r="K881" i="8"/>
  <c r="I881" i="8"/>
  <c r="J881" i="8" s="1"/>
  <c r="G881" i="8"/>
  <c r="K880" i="8"/>
  <c r="I880" i="8"/>
  <c r="O880" i="8" s="1"/>
  <c r="G880" i="8"/>
  <c r="K879" i="8"/>
  <c r="I879" i="8"/>
  <c r="O879" i="8" s="1"/>
  <c r="G879" i="8"/>
  <c r="K878" i="8"/>
  <c r="I878" i="8"/>
  <c r="J878" i="8" s="1"/>
  <c r="G878" i="8"/>
  <c r="K877" i="8"/>
  <c r="I877" i="8"/>
  <c r="O877" i="8" s="1"/>
  <c r="G877" i="8"/>
  <c r="K876" i="8"/>
  <c r="I876" i="8"/>
  <c r="O876" i="8" s="1"/>
  <c r="G876" i="8"/>
  <c r="K872" i="8"/>
  <c r="I872" i="8"/>
  <c r="J872" i="8" s="1"/>
  <c r="G872" i="8"/>
  <c r="K873" i="8"/>
  <c r="I873" i="8"/>
  <c r="J873" i="8" s="1"/>
  <c r="G873" i="8"/>
  <c r="K874" i="8"/>
  <c r="I874" i="8"/>
  <c r="O874" i="8" s="1"/>
  <c r="G874" i="8"/>
  <c r="K871" i="8"/>
  <c r="I871" i="8"/>
  <c r="O871" i="8" s="1"/>
  <c r="G871" i="8"/>
  <c r="K875" i="8"/>
  <c r="I875" i="8"/>
  <c r="G875" i="8"/>
  <c r="K870" i="8"/>
  <c r="I870" i="8"/>
  <c r="J870" i="8" s="1"/>
  <c r="G870" i="8"/>
  <c r="K868" i="8"/>
  <c r="I868" i="8"/>
  <c r="O868" i="8" s="1"/>
  <c r="G868" i="8"/>
  <c r="K866" i="8"/>
  <c r="I866" i="8"/>
  <c r="O866" i="8" s="1"/>
  <c r="G866" i="8"/>
  <c r="K867" i="8"/>
  <c r="I867" i="8"/>
  <c r="J867" i="8" s="1"/>
  <c r="G867" i="8"/>
  <c r="K869" i="8"/>
  <c r="I869" i="8"/>
  <c r="J869" i="8" s="1"/>
  <c r="G869" i="8"/>
  <c r="K865" i="8"/>
  <c r="I865" i="8"/>
  <c r="O865" i="8" s="1"/>
  <c r="G865" i="8"/>
  <c r="K864" i="8"/>
  <c r="I864" i="8"/>
  <c r="O864" i="8" s="1"/>
  <c r="G864" i="8"/>
  <c r="K841" i="8"/>
  <c r="I841" i="8"/>
  <c r="O841" i="8" s="1"/>
  <c r="G841" i="8"/>
  <c r="K840" i="8"/>
  <c r="I840" i="8"/>
  <c r="J840" i="8" s="1"/>
  <c r="G840" i="8"/>
  <c r="K839" i="8"/>
  <c r="I839" i="8"/>
  <c r="O839" i="8" s="1"/>
  <c r="G839" i="8"/>
  <c r="K838" i="8"/>
  <c r="I838" i="8"/>
  <c r="O838" i="8" s="1"/>
  <c r="G838" i="8"/>
  <c r="K837" i="8"/>
  <c r="I837" i="8"/>
  <c r="O837" i="8" s="1"/>
  <c r="G837" i="8"/>
  <c r="K836" i="8"/>
  <c r="I836" i="8"/>
  <c r="J836" i="8" s="1"/>
  <c r="G836" i="8"/>
  <c r="K722" i="8"/>
  <c r="I722" i="8"/>
  <c r="O722" i="8" s="1"/>
  <c r="G722" i="8"/>
  <c r="K721" i="8"/>
  <c r="I721" i="8"/>
  <c r="O721" i="8" s="1"/>
  <c r="G721" i="8"/>
  <c r="K1041" i="8"/>
  <c r="I1041" i="8"/>
  <c r="O1041" i="8" s="1"/>
  <c r="G1041" i="8"/>
  <c r="K1040" i="8"/>
  <c r="I1040" i="8"/>
  <c r="O1040" i="8" s="1"/>
  <c r="G1040" i="8"/>
  <c r="K1042" i="8"/>
  <c r="I1042" i="8"/>
  <c r="J1042" i="8" s="1"/>
  <c r="G1042" i="8"/>
  <c r="K1039" i="8"/>
  <c r="I1039" i="8"/>
  <c r="J1039" i="8" s="1"/>
  <c r="G1039" i="8"/>
  <c r="K1037" i="8"/>
  <c r="I1037" i="8"/>
  <c r="O1037" i="8" s="1"/>
  <c r="G1037" i="8"/>
  <c r="K1036" i="8"/>
  <c r="I1036" i="8"/>
  <c r="J1036" i="8" s="1"/>
  <c r="G1036" i="8"/>
  <c r="K1038" i="8"/>
  <c r="I1038" i="8"/>
  <c r="O1038" i="8" s="1"/>
  <c r="G1038" i="8"/>
  <c r="K1034" i="8"/>
  <c r="I1034" i="8"/>
  <c r="O1034" i="8" s="1"/>
  <c r="G1034" i="8"/>
  <c r="K1031" i="8"/>
  <c r="I1031" i="8"/>
  <c r="J1031" i="8" s="1"/>
  <c r="G1031" i="8"/>
  <c r="K1033" i="8"/>
  <c r="I1033" i="8"/>
  <c r="O1033" i="8" s="1"/>
  <c r="G1033" i="8"/>
  <c r="K1032" i="8"/>
  <c r="I1032" i="8"/>
  <c r="J1032" i="8" s="1"/>
  <c r="G1032" i="8"/>
  <c r="K1030" i="8"/>
  <c r="I1030" i="8"/>
  <c r="O1030" i="8" s="1"/>
  <c r="G1030" i="8"/>
  <c r="K1024" i="8"/>
  <c r="I1024" i="8"/>
  <c r="O1024" i="8" s="1"/>
  <c r="G1024" i="8"/>
  <c r="K1023" i="8"/>
  <c r="I1023" i="8"/>
  <c r="J1023" i="8" s="1"/>
  <c r="G1023" i="8"/>
  <c r="K1027" i="8"/>
  <c r="I1027" i="8"/>
  <c r="O1027" i="8" s="1"/>
  <c r="G1027" i="8"/>
  <c r="K1026" i="8"/>
  <c r="I1026" i="8"/>
  <c r="J1026" i="8" s="1"/>
  <c r="G1026" i="8"/>
  <c r="K1028" i="8"/>
  <c r="I1028" i="8"/>
  <c r="O1028" i="8" s="1"/>
  <c r="G1028" i="8"/>
  <c r="K1021" i="8"/>
  <c r="I1021" i="8"/>
  <c r="J1021" i="8" s="1"/>
  <c r="G1021" i="8"/>
  <c r="K1025" i="8"/>
  <c r="I1025" i="8"/>
  <c r="O1025" i="8" s="1"/>
  <c r="G1025" i="8"/>
  <c r="K1022" i="8"/>
  <c r="I1022" i="8"/>
  <c r="J1022" i="8" s="1"/>
  <c r="G1022" i="8"/>
  <c r="K1020" i="8"/>
  <c r="I1020" i="8"/>
  <c r="O1020" i="8" s="1"/>
  <c r="G1020" i="8"/>
  <c r="K1340" i="8"/>
  <c r="I1340" i="8"/>
  <c r="O1340" i="8" s="1"/>
  <c r="G1340" i="8"/>
  <c r="K1341" i="8"/>
  <c r="I1341" i="8"/>
  <c r="J1341" i="8" s="1"/>
  <c r="G1341" i="8"/>
  <c r="K1339" i="8"/>
  <c r="I1339" i="8"/>
  <c r="O1339" i="8" s="1"/>
  <c r="G1339" i="8"/>
  <c r="K1338" i="8"/>
  <c r="I1338" i="8"/>
  <c r="J1338" i="8" s="1"/>
  <c r="G1338" i="8"/>
  <c r="K1324" i="8"/>
  <c r="I1324" i="8"/>
  <c r="O1324" i="8" s="1"/>
  <c r="G1324" i="8"/>
  <c r="K1320" i="8"/>
  <c r="I1320" i="8"/>
  <c r="J1320" i="8" s="1"/>
  <c r="G1320" i="8"/>
  <c r="K1326" i="8"/>
  <c r="I1326" i="8"/>
  <c r="G1326" i="8"/>
  <c r="K1331" i="8"/>
  <c r="I1331" i="8"/>
  <c r="O1331" i="8" s="1"/>
  <c r="G1331" i="8"/>
  <c r="K1332" i="8"/>
  <c r="I1332" i="8"/>
  <c r="O1332" i="8" s="1"/>
  <c r="G1332" i="8"/>
  <c r="K1329" i="8"/>
  <c r="I1329" i="8"/>
  <c r="J1329" i="8" s="1"/>
  <c r="G1329" i="8"/>
  <c r="K1330" i="8"/>
  <c r="I1330" i="8"/>
  <c r="O1330" i="8" s="1"/>
  <c r="G1330" i="8"/>
  <c r="K1334" i="8"/>
  <c r="I1334" i="8"/>
  <c r="O1334" i="8" s="1"/>
  <c r="G1334" i="8"/>
  <c r="K1073" i="8"/>
  <c r="I1073" i="8"/>
  <c r="J1073" i="8" s="1"/>
  <c r="G1073" i="8"/>
  <c r="K1077" i="8"/>
  <c r="I1077" i="8"/>
  <c r="O1077" i="8" s="1"/>
  <c r="G1077" i="8"/>
  <c r="K1076" i="8"/>
  <c r="I1076" i="8"/>
  <c r="J1076" i="8" s="1"/>
  <c r="G1076" i="8"/>
  <c r="K1070" i="8"/>
  <c r="I1070" i="8"/>
  <c r="O1070" i="8" s="1"/>
  <c r="G1070" i="8"/>
  <c r="K1071" i="8"/>
  <c r="I1071" i="8"/>
  <c r="O1071" i="8" s="1"/>
  <c r="G1071" i="8"/>
  <c r="K1069" i="8"/>
  <c r="I1069" i="8"/>
  <c r="J1069" i="8" s="1"/>
  <c r="G1069" i="8"/>
  <c r="K1068" i="8"/>
  <c r="I1068" i="8"/>
  <c r="J1068" i="8" s="1"/>
  <c r="G1068" i="8"/>
  <c r="K1066" i="8"/>
  <c r="I1066" i="8"/>
  <c r="O1066" i="8" s="1"/>
  <c r="G1066" i="8"/>
  <c r="K1067" i="8"/>
  <c r="I1067" i="8"/>
  <c r="O1067" i="8" s="1"/>
  <c r="G1067" i="8"/>
  <c r="K942" i="8"/>
  <c r="I942" i="8"/>
  <c r="O942" i="8" s="1"/>
  <c r="G942" i="8"/>
  <c r="K943" i="8"/>
  <c r="I943" i="8"/>
  <c r="J943" i="8" s="1"/>
  <c r="G943" i="8"/>
  <c r="K944" i="8"/>
  <c r="I944" i="8"/>
  <c r="J944" i="8" s="1"/>
  <c r="G944" i="8"/>
  <c r="K941" i="8"/>
  <c r="I941" i="8"/>
  <c r="O941" i="8" s="1"/>
  <c r="G941" i="8"/>
  <c r="K939" i="8"/>
  <c r="I939" i="8"/>
  <c r="O939" i="8" s="1"/>
  <c r="G939" i="8"/>
  <c r="K940" i="8"/>
  <c r="I940" i="8"/>
  <c r="J940" i="8" s="1"/>
  <c r="G940" i="8"/>
  <c r="J1352" i="8"/>
  <c r="J1348" i="8"/>
  <c r="O1351" i="8"/>
  <c r="O1350" i="8"/>
  <c r="J1347" i="8"/>
  <c r="J1345" i="8"/>
  <c r="O1343" i="8"/>
  <c r="O1346" i="8"/>
  <c r="J1349" i="8"/>
  <c r="J1344" i="8"/>
  <c r="K1313" i="8"/>
  <c r="I1313" i="8"/>
  <c r="J1313" i="8" s="1"/>
  <c r="G1313" i="8"/>
  <c r="K1317" i="8"/>
  <c r="I1317" i="8"/>
  <c r="O1317" i="8" s="1"/>
  <c r="G1317" i="8"/>
  <c r="K1318" i="8"/>
  <c r="I1318" i="8"/>
  <c r="O1318" i="8" s="1"/>
  <c r="G1318" i="8"/>
  <c r="K1316" i="8"/>
  <c r="I1316" i="8"/>
  <c r="O1316" i="8" s="1"/>
  <c r="G1316" i="8"/>
  <c r="K1311" i="8"/>
  <c r="I1311" i="8"/>
  <c r="J1311" i="8" s="1"/>
  <c r="G1311" i="8"/>
  <c r="K1314" i="8"/>
  <c r="I1314" i="8"/>
  <c r="O1314" i="8" s="1"/>
  <c r="G1314" i="8"/>
  <c r="K1315" i="8"/>
  <c r="I1315" i="8"/>
  <c r="O1315" i="8" s="1"/>
  <c r="G1315" i="8"/>
  <c r="K1312" i="8"/>
  <c r="I1312" i="8"/>
  <c r="G1312" i="8"/>
  <c r="K916" i="8"/>
  <c r="I916" i="8"/>
  <c r="O916" i="8" s="1"/>
  <c r="G916" i="8"/>
  <c r="K914" i="8"/>
  <c r="I914" i="8"/>
  <c r="O914" i="8" s="1"/>
  <c r="G914" i="8"/>
  <c r="K915" i="8"/>
  <c r="I915" i="8"/>
  <c r="J915" i="8" s="1"/>
  <c r="G915" i="8"/>
  <c r="K903" i="8"/>
  <c r="I903" i="8"/>
  <c r="J903" i="8" s="1"/>
  <c r="G903" i="8"/>
  <c r="K907" i="8"/>
  <c r="I907" i="8"/>
  <c r="O907" i="8" s="1"/>
  <c r="G907" i="8"/>
  <c r="K905" i="8"/>
  <c r="I905" i="8"/>
  <c r="O905" i="8" s="1"/>
  <c r="G905" i="8"/>
  <c r="K902" i="8"/>
  <c r="I902" i="8"/>
  <c r="O902" i="8" s="1"/>
  <c r="G902" i="8"/>
  <c r="K904" i="8"/>
  <c r="I904" i="8"/>
  <c r="J904" i="8" s="1"/>
  <c r="G904" i="8"/>
  <c r="K909" i="8"/>
  <c r="I909" i="8"/>
  <c r="O909" i="8" s="1"/>
  <c r="G909" i="8"/>
  <c r="K908" i="8"/>
  <c r="I908" i="8"/>
  <c r="G908" i="8"/>
  <c r="K906" i="8"/>
  <c r="I906" i="8"/>
  <c r="O906" i="8" s="1"/>
  <c r="G906" i="8"/>
  <c r="K912" i="8"/>
  <c r="I912" i="8"/>
  <c r="J912" i="8" s="1"/>
  <c r="G912" i="8"/>
  <c r="K911" i="8"/>
  <c r="I911" i="8"/>
  <c r="O911" i="8" s="1"/>
  <c r="G911" i="8"/>
  <c r="K931" i="8"/>
  <c r="I931" i="8"/>
  <c r="O931" i="8" s="1"/>
  <c r="G931" i="8"/>
  <c r="K932" i="8"/>
  <c r="I932" i="8"/>
  <c r="O932" i="8" s="1"/>
  <c r="G932" i="8"/>
  <c r="K930" i="8"/>
  <c r="I930" i="8"/>
  <c r="O930" i="8" s="1"/>
  <c r="G930" i="8"/>
  <c r="K934" i="8"/>
  <c r="I934" i="8"/>
  <c r="O934" i="8" s="1"/>
  <c r="G934" i="8"/>
  <c r="K935" i="8"/>
  <c r="I935" i="8"/>
  <c r="J935" i="8" s="1"/>
  <c r="G935" i="8"/>
  <c r="K937" i="8"/>
  <c r="I937" i="8"/>
  <c r="O937" i="8" s="1"/>
  <c r="G937" i="8"/>
  <c r="K936" i="8"/>
  <c r="I936" i="8"/>
  <c r="O936" i="8" s="1"/>
  <c r="G936" i="8"/>
  <c r="K926" i="8"/>
  <c r="I926" i="8"/>
  <c r="J926" i="8" s="1"/>
  <c r="G926" i="8"/>
  <c r="K928" i="8"/>
  <c r="I928" i="8"/>
  <c r="O928" i="8" s="1"/>
  <c r="G928" i="8"/>
  <c r="K927" i="8"/>
  <c r="I927" i="8"/>
  <c r="J927" i="8" s="1"/>
  <c r="G927" i="8"/>
  <c r="K918" i="8"/>
  <c r="I918" i="8"/>
  <c r="G918" i="8"/>
  <c r="K923" i="8"/>
  <c r="I923" i="8"/>
  <c r="O923" i="8" s="1"/>
  <c r="G923" i="8"/>
  <c r="K919" i="8"/>
  <c r="I919" i="8"/>
  <c r="G919" i="8"/>
  <c r="K920" i="8"/>
  <c r="I920" i="8"/>
  <c r="O920" i="8" s="1"/>
  <c r="G920" i="8"/>
  <c r="K922" i="8"/>
  <c r="I922" i="8"/>
  <c r="J922" i="8" s="1"/>
  <c r="G922" i="8"/>
  <c r="K921" i="8"/>
  <c r="I921" i="8"/>
  <c r="J921" i="8" s="1"/>
  <c r="G921" i="8"/>
  <c r="K1017" i="8"/>
  <c r="I1017" i="8"/>
  <c r="O1017" i="8" s="1"/>
  <c r="G1017" i="8"/>
  <c r="K1016" i="8"/>
  <c r="I1016" i="8"/>
  <c r="O1016" i="8" s="1"/>
  <c r="G1016" i="8"/>
  <c r="K1018" i="8"/>
  <c r="I1018" i="8"/>
  <c r="G1018" i="8"/>
  <c r="K1015" i="8"/>
  <c r="I1015" i="8"/>
  <c r="O1015" i="8" s="1"/>
  <c r="G1015" i="8"/>
  <c r="K999" i="8"/>
  <c r="I999" i="8"/>
  <c r="O999" i="8" s="1"/>
  <c r="G999" i="8"/>
  <c r="K998" i="8"/>
  <c r="I998" i="8"/>
  <c r="J998" i="8" s="1"/>
  <c r="G998" i="8"/>
  <c r="K1002" i="8"/>
  <c r="I1002" i="8"/>
  <c r="G1002" i="8"/>
  <c r="K995" i="8"/>
  <c r="I995" i="8"/>
  <c r="O995" i="8" s="1"/>
  <c r="G995" i="8"/>
  <c r="K996" i="8"/>
  <c r="I996" i="8"/>
  <c r="O996" i="8" s="1"/>
  <c r="G996" i="8"/>
  <c r="K1000" i="8"/>
  <c r="I1000" i="8"/>
  <c r="O1000" i="8" s="1"/>
  <c r="G1000" i="8"/>
  <c r="K1001" i="8"/>
  <c r="I1001" i="8"/>
  <c r="J1001" i="8" s="1"/>
  <c r="G1001" i="8"/>
  <c r="K1357" i="8"/>
  <c r="I1357" i="8"/>
  <c r="O1357" i="8" s="1"/>
  <c r="G1357" i="8"/>
  <c r="K1356" i="8"/>
  <c r="I1356" i="8"/>
  <c r="O1356" i="8" s="1"/>
  <c r="G1356" i="8"/>
  <c r="K1355" i="8"/>
  <c r="I1355" i="8"/>
  <c r="O1355" i="8" s="1"/>
  <c r="G1355" i="8"/>
  <c r="K1354" i="8"/>
  <c r="I1354" i="8"/>
  <c r="J1354" i="8" s="1"/>
  <c r="G1354" i="8"/>
  <c r="K832" i="8"/>
  <c r="I832" i="8"/>
  <c r="O832" i="8" s="1"/>
  <c r="G832" i="8"/>
  <c r="K834" i="8"/>
  <c r="I834" i="8"/>
  <c r="J834" i="8" s="1"/>
  <c r="G834" i="8"/>
  <c r="K833" i="8"/>
  <c r="I833" i="8"/>
  <c r="O833" i="8" s="1"/>
  <c r="G833" i="8"/>
  <c r="K831" i="8"/>
  <c r="I831" i="8"/>
  <c r="O831" i="8" s="1"/>
  <c r="G831" i="8"/>
  <c r="K829" i="8"/>
  <c r="I829" i="8"/>
  <c r="G829" i="8"/>
  <c r="K828" i="8"/>
  <c r="I828" i="8"/>
  <c r="J828" i="8" s="1"/>
  <c r="G828" i="8"/>
  <c r="K827" i="8"/>
  <c r="I827" i="8"/>
  <c r="O827" i="8" s="1"/>
  <c r="G827" i="8"/>
  <c r="K826" i="8"/>
  <c r="I826" i="8"/>
  <c r="O826" i="8" s="1"/>
  <c r="G826" i="8"/>
  <c r="K825" i="8"/>
  <c r="I825" i="8"/>
  <c r="O825" i="8" s="1"/>
  <c r="G825" i="8"/>
  <c r="K821" i="8"/>
  <c r="I821" i="8"/>
  <c r="J821" i="8" s="1"/>
  <c r="G821" i="8"/>
  <c r="K1008" i="8"/>
  <c r="I1008" i="8"/>
  <c r="O1008" i="8" s="1"/>
  <c r="G1008" i="8"/>
  <c r="K1007" i="8"/>
  <c r="I1007" i="8"/>
  <c r="J1007" i="8" s="1"/>
  <c r="G1007" i="8"/>
  <c r="K683" i="8"/>
  <c r="I683" i="8"/>
  <c r="O683" i="8" s="1"/>
  <c r="G683" i="8"/>
  <c r="K684" i="8"/>
  <c r="I684" i="8"/>
  <c r="O684" i="8" s="1"/>
  <c r="G684" i="8"/>
  <c r="K682" i="8"/>
  <c r="I682" i="8"/>
  <c r="O682" i="8" s="1"/>
  <c r="G682" i="8"/>
  <c r="K685" i="8"/>
  <c r="I685" i="8"/>
  <c r="J685" i="8" s="1"/>
  <c r="G685" i="8"/>
  <c r="K681" i="8"/>
  <c r="I681" i="8"/>
  <c r="O681" i="8" s="1"/>
  <c r="G681" i="8"/>
  <c r="K676" i="8"/>
  <c r="I676" i="8"/>
  <c r="O676" i="8" s="1"/>
  <c r="G676" i="8"/>
  <c r="K677" i="8"/>
  <c r="I677" i="8"/>
  <c r="O677" i="8" s="1"/>
  <c r="G677" i="8"/>
  <c r="K675" i="8"/>
  <c r="I675" i="8"/>
  <c r="J675" i="8" s="1"/>
  <c r="G675" i="8"/>
  <c r="K1302" i="8"/>
  <c r="I1302" i="8"/>
  <c r="J1302" i="8" s="1"/>
  <c r="G1302" i="8"/>
  <c r="K1303" i="8"/>
  <c r="I1303" i="8"/>
  <c r="O1303" i="8" s="1"/>
  <c r="G1303" i="8"/>
  <c r="K1300" i="8"/>
  <c r="I1300" i="8"/>
  <c r="O1300" i="8" s="1"/>
  <c r="G1300" i="8"/>
  <c r="K1309" i="8"/>
  <c r="I1309" i="8"/>
  <c r="O1309" i="8" s="1"/>
  <c r="G1309" i="8"/>
  <c r="K1304" i="8"/>
  <c r="I1304" i="8"/>
  <c r="J1304" i="8" s="1"/>
  <c r="G1304" i="8"/>
  <c r="K1306" i="8"/>
  <c r="I1306" i="8"/>
  <c r="O1306" i="8" s="1"/>
  <c r="G1306" i="8"/>
  <c r="K1307" i="8"/>
  <c r="I1307" i="8"/>
  <c r="O1307" i="8" s="1"/>
  <c r="G1307" i="8"/>
  <c r="K1308" i="8"/>
  <c r="I1308" i="8"/>
  <c r="O1308" i="8" s="1"/>
  <c r="G1308" i="8"/>
  <c r="K850" i="8"/>
  <c r="I850" i="8"/>
  <c r="O850" i="8" s="1"/>
  <c r="G850" i="8"/>
  <c r="K851" i="8"/>
  <c r="I851" i="8"/>
  <c r="J851" i="8" s="1"/>
  <c r="G851" i="8"/>
  <c r="K853" i="8"/>
  <c r="I853" i="8"/>
  <c r="O853" i="8" s="1"/>
  <c r="G853" i="8"/>
  <c r="K854" i="8"/>
  <c r="I854" i="8"/>
  <c r="O854" i="8" s="1"/>
  <c r="G854" i="8"/>
  <c r="K857" i="8"/>
  <c r="I857" i="8"/>
  <c r="O857" i="8" s="1"/>
  <c r="G857" i="8"/>
  <c r="K855" i="8"/>
  <c r="I855" i="8"/>
  <c r="J855" i="8" s="1"/>
  <c r="G855" i="8"/>
  <c r="K852" i="8"/>
  <c r="I852" i="8"/>
  <c r="O852" i="8" s="1"/>
  <c r="G852" i="8"/>
  <c r="K856" i="8"/>
  <c r="I856" i="8"/>
  <c r="O856" i="8" s="1"/>
  <c r="G856" i="8"/>
  <c r="K733" i="8"/>
  <c r="I733" i="8"/>
  <c r="O733" i="8" s="1"/>
  <c r="G733" i="8"/>
  <c r="K734" i="8"/>
  <c r="I734" i="8"/>
  <c r="G734" i="8"/>
  <c r="K732" i="8"/>
  <c r="I732" i="8"/>
  <c r="J732" i="8" s="1"/>
  <c r="G732" i="8"/>
  <c r="K730" i="8"/>
  <c r="I730" i="8"/>
  <c r="J730" i="8" s="1"/>
  <c r="G730" i="8"/>
  <c r="K728" i="8"/>
  <c r="I728" i="8"/>
  <c r="O728" i="8" s="1"/>
  <c r="G728" i="8"/>
  <c r="K729" i="8"/>
  <c r="I729" i="8"/>
  <c r="O729" i="8" s="1"/>
  <c r="G729" i="8"/>
  <c r="K724" i="8"/>
  <c r="I724" i="8"/>
  <c r="O724" i="8" s="1"/>
  <c r="G724" i="8"/>
  <c r="K726" i="8"/>
  <c r="I726" i="8"/>
  <c r="J726" i="8" s="1"/>
  <c r="G726" i="8"/>
  <c r="K727" i="8"/>
  <c r="I727" i="8"/>
  <c r="O727" i="8" s="1"/>
  <c r="G727" i="8"/>
  <c r="K725" i="8"/>
  <c r="I725" i="8"/>
  <c r="O725" i="8" s="1"/>
  <c r="G725" i="8"/>
  <c r="K718" i="8"/>
  <c r="I718" i="8"/>
  <c r="O718" i="8" s="1"/>
  <c r="G718" i="8"/>
  <c r="K719" i="8"/>
  <c r="I719" i="8"/>
  <c r="O719" i="8" s="1"/>
  <c r="G719" i="8"/>
  <c r="K715" i="8"/>
  <c r="I715" i="8"/>
  <c r="J715" i="8" s="1"/>
  <c r="G715" i="8"/>
  <c r="K716" i="8"/>
  <c r="I716" i="8"/>
  <c r="O716" i="8" s="1"/>
  <c r="G716" i="8"/>
  <c r="K714" i="8"/>
  <c r="I714" i="8"/>
  <c r="O714" i="8" s="1"/>
  <c r="G714" i="8"/>
  <c r="K717" i="8"/>
  <c r="I717" i="8"/>
  <c r="O717" i="8" s="1"/>
  <c r="G717" i="8"/>
  <c r="K704" i="8"/>
  <c r="I704" i="8"/>
  <c r="O704" i="8" s="1"/>
  <c r="G704" i="8"/>
  <c r="K712" i="8"/>
  <c r="I712" i="8"/>
  <c r="J712" i="8" s="1"/>
  <c r="G712" i="8"/>
  <c r="K708" i="8"/>
  <c r="I708" i="8"/>
  <c r="O708" i="8" s="1"/>
  <c r="G708" i="8"/>
  <c r="K706" i="8"/>
  <c r="I706" i="8"/>
  <c r="O706" i="8" s="1"/>
  <c r="G706" i="8"/>
  <c r="K710" i="8"/>
  <c r="I710" i="8"/>
  <c r="O710" i="8" s="1"/>
  <c r="G710" i="8"/>
  <c r="K701" i="8"/>
  <c r="I701" i="8"/>
  <c r="J701" i="8" s="1"/>
  <c r="G701" i="8"/>
  <c r="K702" i="8"/>
  <c r="I702" i="8"/>
  <c r="O702" i="8" s="1"/>
  <c r="G702" i="8"/>
  <c r="K703" i="8"/>
  <c r="I703" i="8"/>
  <c r="O703" i="8" s="1"/>
  <c r="G703" i="8"/>
  <c r="K699" i="8"/>
  <c r="I699" i="8"/>
  <c r="O699" i="8" s="1"/>
  <c r="G699" i="8"/>
  <c r="K698" i="8"/>
  <c r="I698" i="8"/>
  <c r="J698" i="8" s="1"/>
  <c r="G698" i="8"/>
  <c r="K705" i="8"/>
  <c r="I705" i="8"/>
  <c r="O705" i="8" s="1"/>
  <c r="G705" i="8"/>
  <c r="K709" i="8"/>
  <c r="I709" i="8"/>
  <c r="J709" i="8" s="1"/>
  <c r="G709" i="8"/>
  <c r="K707" i="8"/>
  <c r="I707" i="8"/>
  <c r="O707" i="8" s="1"/>
  <c r="G707" i="8"/>
  <c r="K992" i="8"/>
  <c r="I992" i="8"/>
  <c r="J992" i="8" s="1"/>
  <c r="G992" i="8"/>
  <c r="K993" i="8"/>
  <c r="I993" i="8"/>
  <c r="O993" i="8" s="1"/>
  <c r="G993" i="8"/>
  <c r="K976" i="8"/>
  <c r="I976" i="8"/>
  <c r="G976" i="8"/>
  <c r="K990" i="8"/>
  <c r="I990" i="8"/>
  <c r="J990" i="8" s="1"/>
  <c r="G990" i="8"/>
  <c r="K983" i="8"/>
  <c r="I983" i="8"/>
  <c r="O983" i="8" s="1"/>
  <c r="G983" i="8"/>
  <c r="K988" i="8"/>
  <c r="I988" i="8"/>
  <c r="J988" i="8" s="1"/>
  <c r="G988" i="8"/>
  <c r="K978" i="8"/>
  <c r="I978" i="8"/>
  <c r="J978" i="8" s="1"/>
  <c r="G978" i="8"/>
  <c r="K980" i="8"/>
  <c r="I980" i="8"/>
  <c r="O980" i="8" s="1"/>
  <c r="G980" i="8"/>
  <c r="K977" i="8"/>
  <c r="I977" i="8"/>
  <c r="O977" i="8" s="1"/>
  <c r="G977" i="8"/>
  <c r="K981" i="8"/>
  <c r="I981" i="8"/>
  <c r="J981" i="8" s="1"/>
  <c r="G981" i="8"/>
  <c r="K984" i="8"/>
  <c r="I984" i="8"/>
  <c r="J984" i="8" s="1"/>
  <c r="G984" i="8"/>
  <c r="K989" i="8"/>
  <c r="I989" i="8"/>
  <c r="O989" i="8" s="1"/>
  <c r="G989" i="8"/>
  <c r="K982" i="8"/>
  <c r="I982" i="8"/>
  <c r="O982" i="8" s="1"/>
  <c r="G982" i="8"/>
  <c r="K987" i="8"/>
  <c r="I987" i="8"/>
  <c r="J987" i="8" s="1"/>
  <c r="G987" i="8"/>
  <c r="K975" i="8"/>
  <c r="I975" i="8"/>
  <c r="J975" i="8" s="1"/>
  <c r="G975" i="8"/>
  <c r="K985" i="8"/>
  <c r="I985" i="8"/>
  <c r="O985" i="8" s="1"/>
  <c r="G985" i="8"/>
  <c r="K979" i="8"/>
  <c r="I979" i="8"/>
  <c r="O979" i="8" s="1"/>
  <c r="G979" i="8"/>
  <c r="K986" i="8"/>
  <c r="I986" i="8"/>
  <c r="J986" i="8" s="1"/>
  <c r="G986" i="8"/>
  <c r="K973" i="8"/>
  <c r="I973" i="8"/>
  <c r="J973" i="8" s="1"/>
  <c r="G973" i="8"/>
  <c r="K972" i="8"/>
  <c r="I972" i="8"/>
  <c r="J972" i="8" s="1"/>
  <c r="G972" i="8"/>
  <c r="K970" i="8"/>
  <c r="I970" i="8"/>
  <c r="O970" i="8" s="1"/>
  <c r="G970" i="8"/>
  <c r="K971" i="8"/>
  <c r="I971" i="8"/>
  <c r="O971" i="8" s="1"/>
  <c r="G971" i="8"/>
  <c r="K963" i="8"/>
  <c r="I963" i="8"/>
  <c r="O963" i="8" s="1"/>
  <c r="G963" i="8"/>
  <c r="K968" i="8"/>
  <c r="I968" i="8"/>
  <c r="J968" i="8" s="1"/>
  <c r="G968" i="8"/>
  <c r="K964" i="8"/>
  <c r="I964" i="8"/>
  <c r="J964" i="8" s="1"/>
  <c r="G964" i="8"/>
  <c r="K965" i="8"/>
  <c r="I965" i="8"/>
  <c r="O965" i="8" s="1"/>
  <c r="G965" i="8"/>
  <c r="K967" i="8"/>
  <c r="I967" i="8"/>
  <c r="O967" i="8" s="1"/>
  <c r="G967" i="8"/>
  <c r="K961" i="8"/>
  <c r="I961" i="8"/>
  <c r="J961" i="8" s="1"/>
  <c r="G961" i="8"/>
  <c r="K962" i="8"/>
  <c r="I962" i="8"/>
  <c r="J962" i="8" s="1"/>
  <c r="G962" i="8"/>
  <c r="K966" i="8"/>
  <c r="I966" i="8"/>
  <c r="O966" i="8" s="1"/>
  <c r="G966" i="8"/>
  <c r="K960" i="8"/>
  <c r="I960" i="8"/>
  <c r="O960" i="8" s="1"/>
  <c r="G960" i="8"/>
  <c r="K958" i="8"/>
  <c r="I958" i="8"/>
  <c r="O958" i="8" s="1"/>
  <c r="G958" i="8"/>
  <c r="K949" i="8"/>
  <c r="I949" i="8"/>
  <c r="J949" i="8" s="1"/>
  <c r="G949" i="8"/>
  <c r="K953" i="8"/>
  <c r="I953" i="8"/>
  <c r="J953" i="8" s="1"/>
  <c r="G953" i="8"/>
  <c r="K947" i="8"/>
  <c r="I947" i="8"/>
  <c r="O947" i="8" s="1"/>
  <c r="G947" i="8"/>
  <c r="K948" i="8"/>
  <c r="I948" i="8"/>
  <c r="O948" i="8" s="1"/>
  <c r="G948" i="8"/>
  <c r="K957" i="8"/>
  <c r="I957" i="8"/>
  <c r="G957" i="8"/>
  <c r="K946" i="8"/>
  <c r="I946" i="8"/>
  <c r="J946" i="8" s="1"/>
  <c r="G946" i="8"/>
  <c r="K952" i="8"/>
  <c r="I952" i="8"/>
  <c r="O952" i="8" s="1"/>
  <c r="G952" i="8"/>
  <c r="K955" i="8"/>
  <c r="I955" i="8"/>
  <c r="O955" i="8" s="1"/>
  <c r="G955" i="8"/>
  <c r="K954" i="8"/>
  <c r="I954" i="8"/>
  <c r="O954" i="8" s="1"/>
  <c r="G954" i="8"/>
  <c r="K956" i="8"/>
  <c r="I956" i="8"/>
  <c r="J956" i="8" s="1"/>
  <c r="G956" i="8"/>
  <c r="K950" i="8"/>
  <c r="I950" i="8"/>
  <c r="O950" i="8" s="1"/>
  <c r="G950" i="8"/>
  <c r="K951" i="8"/>
  <c r="I951" i="8"/>
  <c r="O951" i="8" s="1"/>
  <c r="G951" i="8"/>
  <c r="K696" i="8"/>
  <c r="I696" i="8"/>
  <c r="O696" i="8" s="1"/>
  <c r="G696" i="8"/>
  <c r="K695" i="8"/>
  <c r="I695" i="8"/>
  <c r="J695" i="8" s="1"/>
  <c r="G695" i="8"/>
  <c r="K692" i="8"/>
  <c r="I692" i="8"/>
  <c r="O692" i="8" s="1"/>
  <c r="G692" i="8"/>
  <c r="K691" i="8"/>
  <c r="I691" i="8"/>
  <c r="O691" i="8" s="1"/>
  <c r="G691" i="8"/>
  <c r="K688" i="8"/>
  <c r="I688" i="8"/>
  <c r="O688" i="8" s="1"/>
  <c r="G688" i="8"/>
  <c r="K690" i="8"/>
  <c r="I690" i="8"/>
  <c r="J690" i="8" s="1"/>
  <c r="G690" i="8"/>
  <c r="K694" i="8"/>
  <c r="I694" i="8"/>
  <c r="O694" i="8" s="1"/>
  <c r="G694" i="8"/>
  <c r="K693" i="8"/>
  <c r="I693" i="8"/>
  <c r="G693" i="8"/>
  <c r="K689" i="8"/>
  <c r="I689" i="8"/>
  <c r="J689" i="8" s="1"/>
  <c r="G689" i="8"/>
  <c r="K687" i="8"/>
  <c r="I687" i="8"/>
  <c r="O687" i="8" s="1"/>
  <c r="G687" i="8"/>
  <c r="K1095" i="8"/>
  <c r="I1095" i="8"/>
  <c r="O1095" i="8" s="1"/>
  <c r="G1095" i="8"/>
  <c r="K1096" i="8"/>
  <c r="I1096" i="8"/>
  <c r="O1096" i="8" s="1"/>
  <c r="G1096" i="8"/>
  <c r="K1097" i="8"/>
  <c r="I1097" i="8"/>
  <c r="O1097" i="8" s="1"/>
  <c r="G1097" i="8"/>
  <c r="K1108" i="8"/>
  <c r="I1108" i="8"/>
  <c r="O1108" i="8" s="1"/>
  <c r="G1108" i="8"/>
  <c r="K1106" i="8"/>
  <c r="I1106" i="8"/>
  <c r="J1106" i="8" s="1"/>
  <c r="G1106" i="8"/>
  <c r="K1111" i="8"/>
  <c r="I1111" i="8"/>
  <c r="O1111" i="8" s="1"/>
  <c r="G1111" i="8"/>
  <c r="K1103" i="8"/>
  <c r="I1103" i="8"/>
  <c r="O1103" i="8" s="1"/>
  <c r="G1103" i="8"/>
  <c r="K1110" i="8"/>
  <c r="I1110" i="8"/>
  <c r="G1110" i="8"/>
  <c r="K1105" i="8"/>
  <c r="I1105" i="8"/>
  <c r="J1105" i="8" s="1"/>
  <c r="G1105" i="8"/>
  <c r="K1109" i="8"/>
  <c r="I1109" i="8"/>
  <c r="O1109" i="8" s="1"/>
  <c r="G1109" i="8"/>
  <c r="K1104" i="8"/>
  <c r="I1104" i="8"/>
  <c r="O1104" i="8" s="1"/>
  <c r="G1104" i="8"/>
  <c r="K1107" i="8"/>
  <c r="I1107" i="8"/>
  <c r="O1107" i="8" s="1"/>
  <c r="G1107" i="8"/>
  <c r="K1102" i="8"/>
  <c r="I1102" i="8"/>
  <c r="J1102" i="8" s="1"/>
  <c r="G1102" i="8"/>
  <c r="K1100" i="8"/>
  <c r="I1100" i="8"/>
  <c r="O1100" i="8" s="1"/>
  <c r="G1100" i="8"/>
  <c r="K1101" i="8"/>
  <c r="I1101" i="8"/>
  <c r="O1101" i="8" s="1"/>
  <c r="G1101" i="8"/>
  <c r="K1099" i="8"/>
  <c r="I1099" i="8"/>
  <c r="G1099" i="8"/>
  <c r="K1214" i="8"/>
  <c r="I1214" i="8"/>
  <c r="O1214" i="8" s="1"/>
  <c r="G1214" i="8"/>
  <c r="K1216" i="8"/>
  <c r="I1216" i="8"/>
  <c r="G1216" i="8"/>
  <c r="K1212" i="8"/>
  <c r="I1212" i="8"/>
  <c r="O1212" i="8" s="1"/>
  <c r="G1212" i="8"/>
  <c r="K1219" i="8"/>
  <c r="I1219" i="8"/>
  <c r="J1219" i="8" s="1"/>
  <c r="G1219" i="8"/>
  <c r="K1206" i="8"/>
  <c r="I1206" i="8"/>
  <c r="O1206" i="8" s="1"/>
  <c r="G1206" i="8"/>
  <c r="K1211" i="8"/>
  <c r="I1211" i="8"/>
  <c r="G1211" i="8"/>
  <c r="K1210" i="8"/>
  <c r="I1210" i="8"/>
  <c r="O1210" i="8" s="1"/>
  <c r="G1210" i="8"/>
  <c r="K1218" i="8"/>
  <c r="I1218" i="8"/>
  <c r="J1218" i="8" s="1"/>
  <c r="G1218" i="8"/>
  <c r="K1215" i="8"/>
  <c r="I1215" i="8"/>
  <c r="O1215" i="8" s="1"/>
  <c r="G1215" i="8"/>
  <c r="K1209" i="8"/>
  <c r="I1209" i="8"/>
  <c r="J1209" i="8" s="1"/>
  <c r="G1209" i="8"/>
  <c r="K1217" i="8"/>
  <c r="I1217" i="8"/>
  <c r="O1217" i="8" s="1"/>
  <c r="G1217" i="8"/>
  <c r="K1207" i="8"/>
  <c r="I1207" i="8"/>
  <c r="J1207" i="8" s="1"/>
  <c r="G1207" i="8"/>
  <c r="K1213" i="8"/>
  <c r="I1213" i="8"/>
  <c r="O1213" i="8" s="1"/>
  <c r="G1213" i="8"/>
  <c r="K1183" i="8"/>
  <c r="I1183" i="8"/>
  <c r="O1183" i="8" s="1"/>
  <c r="G1183" i="8"/>
  <c r="K1196" i="8"/>
  <c r="I1196" i="8"/>
  <c r="O1196" i="8" s="1"/>
  <c r="G1196" i="8"/>
  <c r="K1194" i="8"/>
  <c r="I1194" i="8"/>
  <c r="O1194" i="8" s="1"/>
  <c r="G1194" i="8"/>
  <c r="K1201" i="8"/>
  <c r="I1201" i="8"/>
  <c r="J1201" i="8" s="1"/>
  <c r="G1201" i="8"/>
  <c r="K1204" i="8"/>
  <c r="I1204" i="8"/>
  <c r="O1204" i="8" s="1"/>
  <c r="G1204" i="8"/>
  <c r="K1191" i="8"/>
  <c r="I1191" i="8"/>
  <c r="J1191" i="8" s="1"/>
  <c r="G1191" i="8"/>
  <c r="K1199" i="8"/>
  <c r="I1199" i="8"/>
  <c r="O1199" i="8" s="1"/>
  <c r="G1199" i="8"/>
  <c r="K1186" i="8"/>
  <c r="I1186" i="8"/>
  <c r="J1186" i="8" s="1"/>
  <c r="G1186" i="8"/>
  <c r="K1193" i="8"/>
  <c r="I1193" i="8"/>
  <c r="O1193" i="8" s="1"/>
  <c r="G1193" i="8"/>
  <c r="K1203" i="8"/>
  <c r="I1203" i="8"/>
  <c r="J1203" i="8" s="1"/>
  <c r="G1203" i="8"/>
  <c r="K1185" i="8"/>
  <c r="I1185" i="8"/>
  <c r="O1185" i="8" s="1"/>
  <c r="G1185" i="8"/>
  <c r="K1192" i="8"/>
  <c r="I1192" i="8"/>
  <c r="J1192" i="8" s="1"/>
  <c r="G1192" i="8"/>
  <c r="K1190" i="8"/>
  <c r="I1190" i="8"/>
  <c r="O1190" i="8" s="1"/>
  <c r="G1190" i="8"/>
  <c r="K1200" i="8"/>
  <c r="I1200" i="8"/>
  <c r="J1200" i="8" s="1"/>
  <c r="G1200" i="8"/>
  <c r="K1188" i="8"/>
  <c r="I1188" i="8"/>
  <c r="O1188" i="8" s="1"/>
  <c r="G1188" i="8"/>
  <c r="K1197" i="8"/>
  <c r="I1197" i="8"/>
  <c r="J1197" i="8" s="1"/>
  <c r="G1197" i="8"/>
  <c r="K1189" i="8"/>
  <c r="I1189" i="8"/>
  <c r="O1189" i="8" s="1"/>
  <c r="G1189" i="8"/>
  <c r="K1198" i="8"/>
  <c r="I1198" i="8"/>
  <c r="J1198" i="8" s="1"/>
  <c r="G1198" i="8"/>
  <c r="K1187" i="8"/>
  <c r="I1187" i="8"/>
  <c r="O1187" i="8" s="1"/>
  <c r="G1187" i="8"/>
  <c r="K1195" i="8"/>
  <c r="I1195" i="8"/>
  <c r="J1195" i="8" s="1"/>
  <c r="G1195" i="8"/>
  <c r="K1140" i="8"/>
  <c r="I1140" i="8"/>
  <c r="J1140" i="8" s="1"/>
  <c r="G1140" i="8"/>
  <c r="K1146" i="8"/>
  <c r="I1146" i="8"/>
  <c r="O1146" i="8" s="1"/>
  <c r="G1146" i="8"/>
  <c r="K1170" i="8"/>
  <c r="I1170" i="8"/>
  <c r="J1170" i="8" s="1"/>
  <c r="G1170" i="8"/>
  <c r="K1167" i="8"/>
  <c r="I1167" i="8"/>
  <c r="O1167" i="8" s="1"/>
  <c r="G1167" i="8"/>
  <c r="K1138" i="8"/>
  <c r="I1138" i="8"/>
  <c r="J1138" i="8" s="1"/>
  <c r="G1138" i="8"/>
  <c r="K1153" i="8"/>
  <c r="I1153" i="8"/>
  <c r="O1153" i="8" s="1"/>
  <c r="G1153" i="8"/>
  <c r="K1176" i="8"/>
  <c r="I1176" i="8"/>
  <c r="J1176" i="8" s="1"/>
  <c r="G1176" i="8"/>
  <c r="K1151" i="8"/>
  <c r="I1151" i="8"/>
  <c r="O1151" i="8" s="1"/>
  <c r="G1151" i="8"/>
  <c r="K1164" i="8"/>
  <c r="I1164" i="8"/>
  <c r="J1164" i="8" s="1"/>
  <c r="G1164" i="8"/>
  <c r="K1158" i="8"/>
  <c r="I1158" i="8"/>
  <c r="O1158" i="8" s="1"/>
  <c r="G1158" i="8"/>
  <c r="K1157" i="8"/>
  <c r="I1157" i="8"/>
  <c r="J1157" i="8" s="1"/>
  <c r="G1157" i="8"/>
  <c r="K1163" i="8"/>
  <c r="I1163" i="8"/>
  <c r="G1163" i="8"/>
  <c r="K1178" i="8"/>
  <c r="I1178" i="8"/>
  <c r="J1178" i="8" s="1"/>
  <c r="G1178" i="8"/>
  <c r="K1175" i="8"/>
  <c r="I1175" i="8"/>
  <c r="O1175" i="8" s="1"/>
  <c r="G1175" i="8"/>
  <c r="K1161" i="8"/>
  <c r="I1161" i="8"/>
  <c r="J1161" i="8" s="1"/>
  <c r="G1161" i="8"/>
  <c r="K1154" i="8"/>
  <c r="I1154" i="8"/>
  <c r="O1154" i="8" s="1"/>
  <c r="G1154" i="8"/>
  <c r="K1168" i="8"/>
  <c r="I1168" i="8"/>
  <c r="J1168" i="8" s="1"/>
  <c r="G1168" i="8"/>
  <c r="K1150" i="8"/>
  <c r="I1150" i="8"/>
  <c r="O1150" i="8" s="1"/>
  <c r="G1150" i="8"/>
  <c r="K1173" i="8"/>
  <c r="I1173" i="8"/>
  <c r="J1173" i="8" s="1"/>
  <c r="G1173" i="8"/>
  <c r="K1142" i="8"/>
  <c r="I1142" i="8"/>
  <c r="O1142" i="8" s="1"/>
  <c r="G1142" i="8"/>
  <c r="K1156" i="8"/>
  <c r="I1156" i="8"/>
  <c r="J1156" i="8" s="1"/>
  <c r="G1156" i="8"/>
  <c r="K1141" i="8"/>
  <c r="I1141" i="8"/>
  <c r="O1141" i="8" s="1"/>
  <c r="G1141" i="8"/>
  <c r="K1155" i="8"/>
  <c r="I1155" i="8"/>
  <c r="J1155" i="8" s="1"/>
  <c r="G1155" i="8"/>
  <c r="K1149" i="8"/>
  <c r="I1149" i="8"/>
  <c r="O1149" i="8" s="1"/>
  <c r="G1149" i="8"/>
  <c r="K1177" i="8"/>
  <c r="I1177" i="8"/>
  <c r="J1177" i="8" s="1"/>
  <c r="G1177" i="8"/>
  <c r="K1166" i="8"/>
  <c r="I1166" i="8"/>
  <c r="O1166" i="8" s="1"/>
  <c r="G1166" i="8"/>
  <c r="K1165" i="8"/>
  <c r="I1165" i="8"/>
  <c r="J1165" i="8" s="1"/>
  <c r="G1165" i="8"/>
  <c r="K1148" i="8"/>
  <c r="I1148" i="8"/>
  <c r="O1148" i="8" s="1"/>
  <c r="G1148" i="8"/>
  <c r="K1147" i="8"/>
  <c r="I1147" i="8"/>
  <c r="J1147" i="8" s="1"/>
  <c r="G1147" i="8"/>
  <c r="K1172" i="8"/>
  <c r="I1172" i="8"/>
  <c r="O1172" i="8" s="1"/>
  <c r="G1172" i="8"/>
  <c r="K1171" i="8"/>
  <c r="I1171" i="8"/>
  <c r="J1171" i="8" s="1"/>
  <c r="G1171" i="8"/>
  <c r="K1144" i="8"/>
  <c r="I1144" i="8"/>
  <c r="O1144" i="8" s="1"/>
  <c r="G1144" i="8"/>
  <c r="K1143" i="8"/>
  <c r="I1143" i="8"/>
  <c r="O1143" i="8" s="1"/>
  <c r="G1143" i="8"/>
  <c r="K1160" i="8"/>
  <c r="I1160" i="8"/>
  <c r="O1160" i="8" s="1"/>
  <c r="G1160" i="8"/>
  <c r="K1159" i="8"/>
  <c r="I1159" i="8"/>
  <c r="J1159" i="8" s="1"/>
  <c r="G1159" i="8"/>
  <c r="K1118" i="8"/>
  <c r="I1118" i="8"/>
  <c r="O1118" i="8" s="1"/>
  <c r="G1118" i="8"/>
  <c r="K1132" i="8"/>
  <c r="I1132" i="8"/>
  <c r="O1132" i="8" s="1"/>
  <c r="G1132" i="8"/>
  <c r="K1128" i="8"/>
  <c r="I1128" i="8"/>
  <c r="O1128" i="8" s="1"/>
  <c r="G1128" i="8"/>
  <c r="K1121" i="8"/>
  <c r="I1121" i="8"/>
  <c r="J1121" i="8" s="1"/>
  <c r="G1121" i="8"/>
  <c r="K1125" i="8"/>
  <c r="I1125" i="8"/>
  <c r="O1125" i="8" s="1"/>
  <c r="G1125" i="8"/>
  <c r="K1123" i="8"/>
  <c r="I1123" i="8"/>
  <c r="O1123" i="8" s="1"/>
  <c r="G1123" i="8"/>
  <c r="K1134" i="8"/>
  <c r="I1134" i="8"/>
  <c r="O1134" i="8" s="1"/>
  <c r="G1134" i="8"/>
  <c r="K1113" i="8"/>
  <c r="I1113" i="8"/>
  <c r="J1113" i="8" s="1"/>
  <c r="G1113" i="8"/>
  <c r="K1135" i="8"/>
  <c r="I1135" i="8"/>
  <c r="O1135" i="8" s="1"/>
  <c r="G1135" i="8"/>
  <c r="K1136" i="8"/>
  <c r="I1136" i="8"/>
  <c r="O1136" i="8" s="1"/>
  <c r="G1136" i="8"/>
  <c r="K1130" i="8"/>
  <c r="I1130" i="8"/>
  <c r="O1130" i="8" s="1"/>
  <c r="G1130" i="8"/>
  <c r="K1114" i="8"/>
  <c r="I1114" i="8"/>
  <c r="J1114" i="8" s="1"/>
  <c r="G1114" i="8"/>
  <c r="K1122" i="8"/>
  <c r="I1122" i="8"/>
  <c r="O1122" i="8" s="1"/>
  <c r="G1122" i="8"/>
  <c r="K1120" i="8"/>
  <c r="I1120" i="8"/>
  <c r="O1120" i="8" s="1"/>
  <c r="G1120" i="8"/>
  <c r="K1133" i="8"/>
  <c r="I1133" i="8"/>
  <c r="O1133" i="8" s="1"/>
  <c r="G1133" i="8"/>
  <c r="K1117" i="8"/>
  <c r="I1117" i="8"/>
  <c r="J1117" i="8" s="1"/>
  <c r="G1117" i="8"/>
  <c r="K1126" i="8"/>
  <c r="I1126" i="8"/>
  <c r="O1126" i="8" s="1"/>
  <c r="G1126" i="8"/>
  <c r="K1119" i="8"/>
  <c r="I1119" i="8"/>
  <c r="O1119" i="8" s="1"/>
  <c r="G1119" i="8"/>
  <c r="K1129" i="8"/>
  <c r="I1129" i="8"/>
  <c r="O1129" i="8" s="1"/>
  <c r="G1129" i="8"/>
  <c r="K1116" i="8"/>
  <c r="I1116" i="8"/>
  <c r="J1116" i="8" s="1"/>
  <c r="G1116" i="8"/>
  <c r="K1124" i="8"/>
  <c r="I1124" i="8"/>
  <c r="O1124" i="8" s="1"/>
  <c r="G1124" i="8"/>
  <c r="K1225" i="8"/>
  <c r="I1225" i="8"/>
  <c r="O1225" i="8" s="1"/>
  <c r="G1225" i="8"/>
  <c r="K1229" i="8"/>
  <c r="I1229" i="8"/>
  <c r="O1229" i="8" s="1"/>
  <c r="G1229" i="8"/>
  <c r="K1227" i="8"/>
  <c r="I1227" i="8"/>
  <c r="O1227" i="8" s="1"/>
  <c r="G1227" i="8"/>
  <c r="K1232" i="8"/>
  <c r="I1232" i="8"/>
  <c r="J1232" i="8" s="1"/>
  <c r="G1232" i="8"/>
  <c r="K1221" i="8"/>
  <c r="I1221" i="8"/>
  <c r="O1221" i="8" s="1"/>
  <c r="G1221" i="8"/>
  <c r="K1226" i="8"/>
  <c r="I1226" i="8"/>
  <c r="O1226" i="8" s="1"/>
  <c r="G1226" i="8"/>
  <c r="K1224" i="8"/>
  <c r="I1224" i="8"/>
  <c r="O1224" i="8" s="1"/>
  <c r="G1224" i="8"/>
  <c r="K1231" i="8"/>
  <c r="I1231" i="8"/>
  <c r="J1231" i="8" s="1"/>
  <c r="G1231" i="8"/>
  <c r="K1223" i="8"/>
  <c r="I1223" i="8"/>
  <c r="O1223" i="8" s="1"/>
  <c r="G1223" i="8"/>
  <c r="K1230" i="8"/>
  <c r="I1230" i="8"/>
  <c r="O1230" i="8" s="1"/>
  <c r="G1230" i="8"/>
  <c r="K1222" i="8"/>
  <c r="I1222" i="8"/>
  <c r="O1222" i="8" s="1"/>
  <c r="G1222" i="8"/>
  <c r="K1228" i="8"/>
  <c r="I1228" i="8"/>
  <c r="J1228" i="8" s="1"/>
  <c r="G1228" i="8"/>
  <c r="K1237" i="8"/>
  <c r="I1237" i="8"/>
  <c r="J1237" i="8" s="1"/>
  <c r="G1237" i="8"/>
  <c r="K1241" i="8"/>
  <c r="I1241" i="8"/>
  <c r="O1241" i="8" s="1"/>
  <c r="G1241" i="8"/>
  <c r="K1239" i="8"/>
  <c r="I1239" i="8"/>
  <c r="O1239" i="8" s="1"/>
  <c r="G1239" i="8"/>
  <c r="K1245" i="8"/>
  <c r="I1245" i="8"/>
  <c r="O1245" i="8" s="1"/>
  <c r="G1245" i="8"/>
  <c r="K1234" i="8"/>
  <c r="I1234" i="8"/>
  <c r="J1234" i="8" s="1"/>
  <c r="G1234" i="8"/>
  <c r="K1238" i="8"/>
  <c r="I1238" i="8"/>
  <c r="O1238" i="8" s="1"/>
  <c r="G1238" i="8"/>
  <c r="K1244" i="8"/>
  <c r="I1244" i="8"/>
  <c r="O1244" i="8" s="1"/>
  <c r="G1244" i="8"/>
  <c r="K1242" i="8"/>
  <c r="I1242" i="8"/>
  <c r="O1242" i="8" s="1"/>
  <c r="G1242" i="8"/>
  <c r="K1236" i="8"/>
  <c r="I1236" i="8"/>
  <c r="J1236" i="8" s="1"/>
  <c r="G1236" i="8"/>
  <c r="K1243" i="8"/>
  <c r="I1243" i="8"/>
  <c r="G1243" i="8"/>
  <c r="K1235" i="8"/>
  <c r="I1235" i="8"/>
  <c r="O1235" i="8" s="1"/>
  <c r="G1235" i="8"/>
  <c r="K1240" i="8"/>
  <c r="I1240" i="8"/>
  <c r="O1240" i="8" s="1"/>
  <c r="G1240" i="8"/>
  <c r="K1250" i="8"/>
  <c r="I1250" i="8"/>
  <c r="O1250" i="8" s="1"/>
  <c r="G1250" i="8"/>
  <c r="K1254" i="8"/>
  <c r="I1254" i="8"/>
  <c r="J1254" i="8" s="1"/>
  <c r="G1254" i="8"/>
  <c r="K1252" i="8"/>
  <c r="I1252" i="8"/>
  <c r="O1252" i="8" s="1"/>
  <c r="G1252" i="8"/>
  <c r="K1259" i="8"/>
  <c r="I1259" i="8"/>
  <c r="O1259" i="8" s="1"/>
  <c r="G1259" i="8"/>
  <c r="K1256" i="8"/>
  <c r="I1256" i="8"/>
  <c r="O1256" i="8" s="1"/>
  <c r="G1256" i="8"/>
  <c r="K1260" i="8"/>
  <c r="I1260" i="8"/>
  <c r="J1260" i="8" s="1"/>
  <c r="G1260" i="8"/>
  <c r="K1247" i="8"/>
  <c r="I1247" i="8"/>
  <c r="O1247" i="8" s="1"/>
  <c r="G1247" i="8"/>
  <c r="K1251" i="8"/>
  <c r="I1251" i="8"/>
  <c r="O1251" i="8" s="1"/>
  <c r="G1251" i="8"/>
  <c r="K1258" i="8"/>
  <c r="I1258" i="8"/>
  <c r="O1258" i="8" s="1"/>
  <c r="G1258" i="8"/>
  <c r="K1255" i="8"/>
  <c r="I1255" i="8"/>
  <c r="J1255" i="8" s="1"/>
  <c r="G1255" i="8"/>
  <c r="K1249" i="8"/>
  <c r="I1249" i="8"/>
  <c r="O1249" i="8" s="1"/>
  <c r="G1249" i="8"/>
  <c r="K1257" i="8"/>
  <c r="I1257" i="8"/>
  <c r="G1257" i="8"/>
  <c r="K1248" i="8"/>
  <c r="I1248" i="8"/>
  <c r="O1248" i="8" s="1"/>
  <c r="G1248" i="8"/>
  <c r="K1253" i="8"/>
  <c r="I1253" i="8"/>
  <c r="J1253" i="8" s="1"/>
  <c r="G1253" i="8"/>
  <c r="K1296" i="8"/>
  <c r="I1296" i="8"/>
  <c r="J1296" i="8" s="1"/>
  <c r="G1296" i="8"/>
  <c r="K1298" i="8"/>
  <c r="I1298" i="8"/>
  <c r="O1298" i="8" s="1"/>
  <c r="G1298" i="8"/>
  <c r="K1297" i="8"/>
  <c r="I1297" i="8"/>
  <c r="G1297" i="8"/>
  <c r="K1292" i="8"/>
  <c r="I1292" i="8"/>
  <c r="G1292" i="8"/>
  <c r="K1294" i="8"/>
  <c r="I1294" i="8"/>
  <c r="O1294" i="8" s="1"/>
  <c r="G1294" i="8"/>
  <c r="K1293" i="8"/>
  <c r="I1293" i="8"/>
  <c r="G1293" i="8"/>
  <c r="K1287" i="8"/>
  <c r="I1287" i="8"/>
  <c r="G1287" i="8"/>
  <c r="K1286" i="8"/>
  <c r="I1286" i="8"/>
  <c r="G1286" i="8"/>
  <c r="K1288" i="8"/>
  <c r="I1288" i="8"/>
  <c r="O1288" i="8" s="1"/>
  <c r="G1288" i="8"/>
  <c r="K1290" i="8"/>
  <c r="I1290" i="8"/>
  <c r="O1290" i="8" s="1"/>
  <c r="G1290" i="8"/>
  <c r="K1289" i="8"/>
  <c r="I1289" i="8"/>
  <c r="G1289" i="8"/>
  <c r="K593" i="8"/>
  <c r="I593" i="8"/>
  <c r="J593" i="8" s="1"/>
  <c r="G593" i="8"/>
  <c r="K594" i="8"/>
  <c r="I594" i="8"/>
  <c r="O594" i="8" s="1"/>
  <c r="G594" i="8"/>
  <c r="K614" i="8"/>
  <c r="I614" i="8"/>
  <c r="O614" i="8" s="1"/>
  <c r="G614" i="8"/>
  <c r="K615" i="8"/>
  <c r="I615" i="8"/>
  <c r="G615" i="8"/>
  <c r="K613" i="8"/>
  <c r="I613" i="8"/>
  <c r="G613" i="8"/>
  <c r="K622" i="8"/>
  <c r="I622" i="8"/>
  <c r="J622" i="8" s="1"/>
  <c r="G622" i="8"/>
  <c r="K620" i="8"/>
  <c r="I620" i="8"/>
  <c r="O620" i="8" s="1"/>
  <c r="G620" i="8"/>
  <c r="K624" i="8"/>
  <c r="I624" i="8"/>
  <c r="O624" i="8" s="1"/>
  <c r="G624" i="8"/>
  <c r="K623" i="8"/>
  <c r="I623" i="8"/>
  <c r="O623" i="8" s="1"/>
  <c r="G623" i="8"/>
  <c r="K618" i="8"/>
  <c r="I618" i="8"/>
  <c r="J618" i="8" s="1"/>
  <c r="G618" i="8"/>
  <c r="K619" i="8"/>
  <c r="I619" i="8"/>
  <c r="G619" i="8"/>
  <c r="K625" i="8"/>
  <c r="I625" i="8"/>
  <c r="O625" i="8" s="1"/>
  <c r="G625" i="8"/>
  <c r="K621" i="8"/>
  <c r="I621" i="8"/>
  <c r="G621" i="8"/>
  <c r="K597" i="8"/>
  <c r="I597" i="8"/>
  <c r="J597" i="8" s="1"/>
  <c r="G597" i="8"/>
  <c r="K616" i="8"/>
  <c r="I616" i="8"/>
  <c r="G616" i="8"/>
  <c r="K604" i="8"/>
  <c r="I604" i="8"/>
  <c r="O604" i="8" s="1"/>
  <c r="G604" i="8"/>
  <c r="K605" i="8"/>
  <c r="I605" i="8"/>
  <c r="O605" i="8" s="1"/>
  <c r="G605" i="8"/>
  <c r="K599" i="8"/>
  <c r="I599" i="8"/>
  <c r="J599" i="8" s="1"/>
  <c r="G599" i="8"/>
  <c r="K611" i="8"/>
  <c r="I611" i="8"/>
  <c r="O611" i="8" s="1"/>
  <c r="G611" i="8"/>
  <c r="K610" i="8"/>
  <c r="I610" i="8"/>
  <c r="O610" i="8" s="1"/>
  <c r="G610" i="8"/>
  <c r="K609" i="8"/>
  <c r="I609" i="8"/>
  <c r="G609" i="8"/>
  <c r="K608" i="8"/>
  <c r="I608" i="8"/>
  <c r="J608" i="8" s="1"/>
  <c r="G608" i="8"/>
  <c r="K617" i="8"/>
  <c r="I617" i="8"/>
  <c r="O617" i="8" s="1"/>
  <c r="G617" i="8"/>
  <c r="K601" i="8"/>
  <c r="I601" i="8"/>
  <c r="O601" i="8" s="1"/>
  <c r="G601" i="8"/>
  <c r="K600" i="8"/>
  <c r="I600" i="8"/>
  <c r="G600" i="8"/>
  <c r="K628" i="8"/>
  <c r="I628" i="8"/>
  <c r="J628" i="8" s="1"/>
  <c r="G628" i="8"/>
  <c r="K629" i="8"/>
  <c r="I629" i="8"/>
  <c r="G629" i="8"/>
  <c r="K631" i="8"/>
  <c r="I631" i="8"/>
  <c r="J631" i="8" s="1"/>
  <c r="G631" i="8"/>
  <c r="K630" i="8"/>
  <c r="I630" i="8"/>
  <c r="G630" i="8"/>
  <c r="K626" i="8"/>
  <c r="I626" i="8"/>
  <c r="J626" i="8" s="1"/>
  <c r="G626" i="8"/>
  <c r="K612" i="8"/>
  <c r="I612" i="8"/>
  <c r="O612" i="8" s="1"/>
  <c r="G612" i="8"/>
  <c r="K602" i="8"/>
  <c r="I602" i="8"/>
  <c r="J602" i="8" s="1"/>
  <c r="G602" i="8"/>
  <c r="K596" i="8"/>
  <c r="I596" i="8"/>
  <c r="J596" i="8" s="1"/>
  <c r="G596" i="8"/>
  <c r="K603" i="8"/>
  <c r="I603" i="8"/>
  <c r="O603" i="8" s="1"/>
  <c r="G603" i="8"/>
  <c r="K607" i="8"/>
  <c r="I607" i="8"/>
  <c r="J607" i="8" s="1"/>
  <c r="G607" i="8"/>
  <c r="K636" i="8"/>
  <c r="I636" i="8"/>
  <c r="J636" i="8" s="1"/>
  <c r="G636" i="8"/>
  <c r="K633" i="8"/>
  <c r="I633" i="8"/>
  <c r="O633" i="8" s="1"/>
  <c r="G633" i="8"/>
  <c r="K641" i="8"/>
  <c r="I641" i="8"/>
  <c r="O641" i="8" s="1"/>
  <c r="G641" i="8"/>
  <c r="K642" i="8"/>
  <c r="I642" i="8"/>
  <c r="O642" i="8" s="1"/>
  <c r="G642" i="8"/>
  <c r="K634" i="8"/>
  <c r="I634" i="8"/>
  <c r="J634" i="8" s="1"/>
  <c r="G634" i="8"/>
  <c r="K635" i="8"/>
  <c r="I635" i="8"/>
  <c r="O635" i="8" s="1"/>
  <c r="G635" i="8"/>
  <c r="K640" i="8"/>
  <c r="I640" i="8"/>
  <c r="O640" i="8" s="1"/>
  <c r="G640" i="8"/>
  <c r="K638" i="8"/>
  <c r="I638" i="8"/>
  <c r="O638" i="8" s="1"/>
  <c r="G638" i="8"/>
  <c r="K639" i="8"/>
  <c r="I639" i="8"/>
  <c r="J639" i="8" s="1"/>
  <c r="G639" i="8"/>
  <c r="K655" i="8"/>
  <c r="I655" i="8"/>
  <c r="J655" i="8" s="1"/>
  <c r="G655" i="8"/>
  <c r="K654" i="8"/>
  <c r="I654" i="8"/>
  <c r="O654" i="8" s="1"/>
  <c r="G654" i="8"/>
  <c r="K659" i="8"/>
  <c r="I659" i="8"/>
  <c r="O659" i="8" s="1"/>
  <c r="G659" i="8"/>
  <c r="K656" i="8"/>
  <c r="I656" i="8"/>
  <c r="O656" i="8" s="1"/>
  <c r="G656" i="8"/>
  <c r="K647" i="8"/>
  <c r="I647" i="8"/>
  <c r="J647" i="8" s="1"/>
  <c r="G647" i="8"/>
  <c r="K645" i="8"/>
  <c r="I645" i="8"/>
  <c r="O645" i="8" s="1"/>
  <c r="G645" i="8"/>
  <c r="K652" i="8"/>
  <c r="I652" i="8"/>
  <c r="O652" i="8" s="1"/>
  <c r="G652" i="8"/>
  <c r="K651" i="8"/>
  <c r="I651" i="8"/>
  <c r="O651" i="8" s="1"/>
  <c r="G651" i="8"/>
  <c r="K658" i="8"/>
  <c r="I658" i="8"/>
  <c r="J658" i="8" s="1"/>
  <c r="G658" i="8"/>
  <c r="K661" i="8"/>
  <c r="I661" i="8"/>
  <c r="O661" i="8" s="1"/>
  <c r="G661" i="8"/>
  <c r="K660" i="8"/>
  <c r="I660" i="8"/>
  <c r="O660" i="8" s="1"/>
  <c r="G660" i="8"/>
  <c r="K657" i="8"/>
  <c r="I657" i="8"/>
  <c r="O657" i="8" s="1"/>
  <c r="G657" i="8"/>
  <c r="K653" i="8"/>
  <c r="I653" i="8"/>
  <c r="J653" i="8" s="1"/>
  <c r="G653" i="8"/>
  <c r="K644" i="8"/>
  <c r="I644" i="8"/>
  <c r="O644" i="8" s="1"/>
  <c r="G644" i="8"/>
  <c r="K646" i="8"/>
  <c r="I646" i="8"/>
  <c r="O646" i="8" s="1"/>
  <c r="G646" i="8"/>
  <c r="K650" i="8"/>
  <c r="I650" i="8"/>
  <c r="O650" i="8" s="1"/>
  <c r="G650" i="8"/>
  <c r="K648" i="8"/>
  <c r="I648" i="8"/>
  <c r="J648" i="8" s="1"/>
  <c r="G648" i="8"/>
  <c r="K1056" i="8"/>
  <c r="I1056" i="8"/>
  <c r="O1056" i="8" s="1"/>
  <c r="G1056" i="8"/>
  <c r="K1053" i="8"/>
  <c r="I1053" i="8"/>
  <c r="J1053" i="8" s="1"/>
  <c r="G1053" i="8"/>
  <c r="K1055" i="8"/>
  <c r="I1055" i="8"/>
  <c r="O1055" i="8" s="1"/>
  <c r="G1055" i="8"/>
  <c r="K1081" i="8"/>
  <c r="I1081" i="8"/>
  <c r="O1081" i="8" s="1"/>
  <c r="G1081" i="8"/>
  <c r="K1079" i="8"/>
  <c r="I1079" i="8"/>
  <c r="O1079" i="8" s="1"/>
  <c r="G1079" i="8"/>
  <c r="K1087" i="8"/>
  <c r="I1087" i="8"/>
  <c r="O1087" i="8" s="1"/>
  <c r="G1087" i="8"/>
  <c r="K1086" i="8"/>
  <c r="I1086" i="8"/>
  <c r="J1086" i="8" s="1"/>
  <c r="G1086" i="8"/>
  <c r="K1085" i="8"/>
  <c r="I1085" i="8"/>
  <c r="O1085" i="8" s="1"/>
  <c r="G1085" i="8"/>
  <c r="K1084" i="8"/>
  <c r="I1084" i="8"/>
  <c r="O1084" i="8" s="1"/>
  <c r="G1084" i="8"/>
  <c r="K1088" i="8"/>
  <c r="I1088" i="8"/>
  <c r="O1088" i="8" s="1"/>
  <c r="G1088" i="8"/>
  <c r="K1091" i="8"/>
  <c r="I1091" i="8"/>
  <c r="O1091" i="8" s="1"/>
  <c r="G1091" i="8"/>
  <c r="K1090" i="8"/>
  <c r="I1090" i="8"/>
  <c r="J1090" i="8" s="1"/>
  <c r="G1090" i="8"/>
  <c r="K1093" i="8"/>
  <c r="I1093" i="8"/>
  <c r="O1093" i="8" s="1"/>
  <c r="G1093" i="8"/>
  <c r="K750" i="8"/>
  <c r="I750" i="8"/>
  <c r="O750" i="8" s="1"/>
  <c r="G750" i="8"/>
  <c r="K747" i="8"/>
  <c r="I747" i="8"/>
  <c r="O747" i="8" s="1"/>
  <c r="G747" i="8"/>
  <c r="K749" i="8"/>
  <c r="I749" i="8"/>
  <c r="O749" i="8" s="1"/>
  <c r="G749" i="8"/>
  <c r="K748" i="8"/>
  <c r="I748" i="8"/>
  <c r="J748" i="8" s="1"/>
  <c r="G748" i="8"/>
  <c r="K752" i="8"/>
  <c r="I752" i="8"/>
  <c r="O752" i="8" s="1"/>
  <c r="G752" i="8"/>
  <c r="K751" i="8"/>
  <c r="I751" i="8"/>
  <c r="O751" i="8" s="1"/>
  <c r="G751" i="8"/>
  <c r="K741" i="8"/>
  <c r="I741" i="8"/>
  <c r="O741" i="8" s="1"/>
  <c r="G741" i="8"/>
  <c r="K743" i="8"/>
  <c r="I743" i="8"/>
  <c r="O743" i="8" s="1"/>
  <c r="G743" i="8"/>
  <c r="K742" i="8"/>
  <c r="I742" i="8"/>
  <c r="J742" i="8" s="1"/>
  <c r="G742" i="8"/>
  <c r="K745" i="8"/>
  <c r="I745" i="8"/>
  <c r="O745" i="8" s="1"/>
  <c r="G745" i="8"/>
  <c r="K744" i="8"/>
  <c r="I744" i="8"/>
  <c r="O744" i="8" s="1"/>
  <c r="G744" i="8"/>
  <c r="K754" i="8"/>
  <c r="I754" i="8"/>
  <c r="O754" i="8" s="1"/>
  <c r="G754" i="8"/>
  <c r="K758" i="8"/>
  <c r="I758" i="8"/>
  <c r="O758" i="8" s="1"/>
  <c r="G758" i="8"/>
  <c r="K756" i="8"/>
  <c r="I756" i="8"/>
  <c r="J756" i="8" s="1"/>
  <c r="G756" i="8"/>
  <c r="K757" i="8"/>
  <c r="I757" i="8"/>
  <c r="O757" i="8" s="1"/>
  <c r="G757" i="8"/>
  <c r="K755" i="8"/>
  <c r="I755" i="8"/>
  <c r="O755" i="8" s="1"/>
  <c r="G755" i="8"/>
  <c r="K764" i="8"/>
  <c r="I764" i="8"/>
  <c r="O764" i="8" s="1"/>
  <c r="G764" i="8"/>
  <c r="K762" i="8"/>
  <c r="I762" i="8"/>
  <c r="O762" i="8" s="1"/>
  <c r="G762" i="8"/>
  <c r="K760" i="8"/>
  <c r="I760" i="8"/>
  <c r="J760" i="8" s="1"/>
  <c r="G760" i="8"/>
  <c r="K763" i="8"/>
  <c r="I763" i="8"/>
  <c r="O763" i="8" s="1"/>
  <c r="G763" i="8"/>
  <c r="K761" i="8"/>
  <c r="I761" i="8"/>
  <c r="O761" i="8" s="1"/>
  <c r="G761" i="8"/>
  <c r="K797" i="8"/>
  <c r="I797" i="8"/>
  <c r="O797" i="8" s="1"/>
  <c r="G797" i="8"/>
  <c r="K799" i="8"/>
  <c r="I799" i="8"/>
  <c r="G799" i="8"/>
  <c r="K801" i="8"/>
  <c r="I801" i="8"/>
  <c r="J801" i="8" s="1"/>
  <c r="G801" i="8"/>
  <c r="K798" i="8"/>
  <c r="I798" i="8"/>
  <c r="O798" i="8" s="1"/>
  <c r="G798" i="8"/>
  <c r="K800" i="8"/>
  <c r="I800" i="8"/>
  <c r="O800" i="8" s="1"/>
  <c r="G800" i="8"/>
  <c r="K793" i="8"/>
  <c r="I793" i="8"/>
  <c r="O793" i="8" s="1"/>
  <c r="G793" i="8"/>
  <c r="K795" i="8"/>
  <c r="I795" i="8"/>
  <c r="J795" i="8" s="1"/>
  <c r="G795" i="8"/>
  <c r="K792" i="8"/>
  <c r="I792" i="8"/>
  <c r="J792" i="8" s="1"/>
  <c r="G792" i="8"/>
  <c r="K794" i="8"/>
  <c r="I794" i="8"/>
  <c r="O794" i="8" s="1"/>
  <c r="G794" i="8"/>
  <c r="K786" i="8"/>
  <c r="I786" i="8"/>
  <c r="O786" i="8" s="1"/>
  <c r="G786" i="8"/>
  <c r="K783" i="8"/>
  <c r="I783" i="8"/>
  <c r="G783" i="8"/>
  <c r="K785" i="8"/>
  <c r="I785" i="8"/>
  <c r="J785" i="8" s="1"/>
  <c r="G785" i="8"/>
  <c r="K782" i="8"/>
  <c r="I782" i="8"/>
  <c r="O782" i="8" s="1"/>
  <c r="G782" i="8"/>
  <c r="K784" i="8"/>
  <c r="I784" i="8"/>
  <c r="O784" i="8" s="1"/>
  <c r="G784" i="8"/>
  <c r="K780" i="8"/>
  <c r="I780" i="8"/>
  <c r="O780" i="8" s="1"/>
  <c r="G780" i="8"/>
  <c r="K778" i="8"/>
  <c r="I778" i="8"/>
  <c r="J778" i="8" s="1"/>
  <c r="G778" i="8"/>
  <c r="K777" i="8"/>
  <c r="I777" i="8"/>
  <c r="J777" i="8" s="1"/>
  <c r="G777" i="8"/>
  <c r="K779" i="8"/>
  <c r="I779" i="8"/>
  <c r="O779" i="8" s="1"/>
  <c r="G779" i="8"/>
  <c r="K774" i="8"/>
  <c r="I774" i="8"/>
  <c r="O774" i="8" s="1"/>
  <c r="G774" i="8"/>
  <c r="K775" i="8"/>
  <c r="I775" i="8"/>
  <c r="O775" i="8" s="1"/>
  <c r="G775" i="8"/>
  <c r="K766" i="8"/>
  <c r="I766" i="8"/>
  <c r="J766" i="8" s="1"/>
  <c r="G766" i="8"/>
  <c r="K772" i="8"/>
  <c r="I772" i="8"/>
  <c r="J772" i="8" s="1"/>
  <c r="G772" i="8"/>
  <c r="K767" i="8"/>
  <c r="I767" i="8"/>
  <c r="O767" i="8" s="1"/>
  <c r="G767" i="8"/>
  <c r="K770" i="8"/>
  <c r="I770" i="8"/>
  <c r="O770" i="8" s="1"/>
  <c r="G770" i="8"/>
  <c r="K773" i="8"/>
  <c r="I773" i="8"/>
  <c r="J773" i="8" s="1"/>
  <c r="G773" i="8"/>
  <c r="K768" i="8"/>
  <c r="I768" i="8"/>
  <c r="J768" i="8" s="1"/>
  <c r="G768" i="8"/>
  <c r="K769" i="8"/>
  <c r="I769" i="8"/>
  <c r="O769" i="8" s="1"/>
  <c r="G769" i="8"/>
  <c r="K771" i="8"/>
  <c r="I771" i="8"/>
  <c r="O771" i="8" s="1"/>
  <c r="G771" i="8"/>
  <c r="K887" i="8"/>
  <c r="I887" i="8"/>
  <c r="O887" i="8" s="1"/>
  <c r="G887" i="8"/>
  <c r="K886" i="8"/>
  <c r="I886" i="8"/>
  <c r="J886" i="8" s="1"/>
  <c r="G886" i="8"/>
  <c r="K888" i="8"/>
  <c r="I888" i="8"/>
  <c r="J888" i="8" s="1"/>
  <c r="G888" i="8"/>
  <c r="K884" i="8"/>
  <c r="I884" i="8"/>
  <c r="O884" i="8" s="1"/>
  <c r="G884" i="8"/>
  <c r="K883" i="8"/>
  <c r="I883" i="8"/>
  <c r="O883" i="8" s="1"/>
  <c r="G883" i="8"/>
  <c r="K885" i="8"/>
  <c r="I885" i="8"/>
  <c r="G885" i="8"/>
  <c r="K1281" i="8"/>
  <c r="I1281" i="8"/>
  <c r="G1281" i="8"/>
  <c r="K1275" i="8"/>
  <c r="I1275" i="8"/>
  <c r="J1275" i="8" s="1"/>
  <c r="G1275" i="8"/>
  <c r="K1277" i="8"/>
  <c r="I1277" i="8"/>
  <c r="O1277" i="8" s="1"/>
  <c r="G1277" i="8"/>
  <c r="K1282" i="8"/>
  <c r="I1282" i="8"/>
  <c r="O1282" i="8" s="1"/>
  <c r="G1282" i="8"/>
  <c r="K1276" i="8"/>
  <c r="I1276" i="8"/>
  <c r="J1276" i="8" s="1"/>
  <c r="G1276" i="8"/>
  <c r="K1278" i="8"/>
  <c r="I1278" i="8"/>
  <c r="J1278" i="8" s="1"/>
  <c r="G1278" i="8"/>
  <c r="K1279" i="8"/>
  <c r="I1279" i="8"/>
  <c r="O1279" i="8" s="1"/>
  <c r="G1279" i="8"/>
  <c r="K1283" i="8"/>
  <c r="I1283" i="8"/>
  <c r="O1283" i="8" s="1"/>
  <c r="G1283" i="8"/>
  <c r="K1280" i="8"/>
  <c r="I1280" i="8"/>
  <c r="G1280" i="8"/>
  <c r="K1284" i="8"/>
  <c r="I1284" i="8"/>
  <c r="J1284" i="8" s="1"/>
  <c r="G1284" i="8"/>
  <c r="Q34" i="8"/>
  <c r="P34" i="8"/>
  <c r="K35" i="8"/>
  <c r="I35" i="8"/>
  <c r="J35" i="8" s="1"/>
  <c r="G35" i="8"/>
  <c r="K261" i="8"/>
  <c r="I261" i="8"/>
  <c r="J261" i="8" s="1"/>
  <c r="G261" i="8"/>
  <c r="K264" i="8"/>
  <c r="I264" i="8"/>
  <c r="O264" i="8" s="1"/>
  <c r="G264" i="8"/>
  <c r="K263" i="8"/>
  <c r="I263" i="8"/>
  <c r="O263" i="8" s="1"/>
  <c r="G263" i="8"/>
  <c r="K257" i="8"/>
  <c r="I257" i="8"/>
  <c r="O257" i="8" s="1"/>
  <c r="G257" i="8"/>
  <c r="K255" i="8"/>
  <c r="I255" i="8"/>
  <c r="G255" i="8"/>
  <c r="K254" i="8"/>
  <c r="I254" i="8"/>
  <c r="J254" i="8" s="1"/>
  <c r="G254" i="8"/>
  <c r="K256" i="8"/>
  <c r="I256" i="8"/>
  <c r="O256" i="8" s="1"/>
  <c r="G256" i="8"/>
  <c r="K251" i="8"/>
  <c r="I251" i="8"/>
  <c r="O251" i="8" s="1"/>
  <c r="G251" i="8"/>
  <c r="K250" i="8"/>
  <c r="I250" i="8"/>
  <c r="J250" i="8" s="1"/>
  <c r="G250" i="8"/>
  <c r="K259" i="8"/>
  <c r="I259" i="8"/>
  <c r="J259" i="8" s="1"/>
  <c r="G259" i="8"/>
  <c r="K258" i="8"/>
  <c r="I258" i="8"/>
  <c r="O258" i="8" s="1"/>
  <c r="G258" i="8"/>
  <c r="K249" i="8"/>
  <c r="I249" i="8"/>
  <c r="J249" i="8" s="1"/>
  <c r="G249" i="8"/>
  <c r="K248" i="8"/>
  <c r="I248" i="8"/>
  <c r="O248" i="8" s="1"/>
  <c r="G248" i="8"/>
  <c r="K253" i="8"/>
  <c r="I253" i="8"/>
  <c r="J253" i="8" s="1"/>
  <c r="G253" i="8"/>
  <c r="K252" i="8"/>
  <c r="I252" i="8"/>
  <c r="J252" i="8" s="1"/>
  <c r="G252" i="8"/>
  <c r="K246" i="8"/>
  <c r="I246" i="8"/>
  <c r="J246" i="8" s="1"/>
  <c r="G246" i="8"/>
  <c r="K245" i="8"/>
  <c r="I245" i="8"/>
  <c r="O245" i="8" s="1"/>
  <c r="G245" i="8"/>
  <c r="K295" i="8"/>
  <c r="I295" i="8"/>
  <c r="O295" i="8" s="1"/>
  <c r="G295" i="8"/>
  <c r="K290" i="8"/>
  <c r="I290" i="8"/>
  <c r="O290" i="8" s="1"/>
  <c r="G290" i="8"/>
  <c r="K282" i="8"/>
  <c r="I282" i="8"/>
  <c r="J282" i="8" s="1"/>
  <c r="G282" i="8"/>
  <c r="K281" i="8"/>
  <c r="I281" i="8"/>
  <c r="J281" i="8" s="1"/>
  <c r="G281" i="8"/>
  <c r="K294" i="8"/>
  <c r="I294" i="8"/>
  <c r="J294" i="8" s="1"/>
  <c r="G294" i="8"/>
  <c r="K297" i="8"/>
  <c r="I297" i="8"/>
  <c r="O297" i="8" s="1"/>
  <c r="G297" i="8"/>
  <c r="K296" i="8"/>
  <c r="I296" i="8"/>
  <c r="O296" i="8" s="1"/>
  <c r="G296" i="8"/>
  <c r="K303" i="8"/>
  <c r="I303" i="8"/>
  <c r="J303" i="8" s="1"/>
  <c r="G303" i="8"/>
  <c r="K285" i="8"/>
  <c r="I285" i="8"/>
  <c r="O285" i="8" s="1"/>
  <c r="G285" i="8"/>
  <c r="K286" i="8"/>
  <c r="I286" i="8"/>
  <c r="O286" i="8" s="1"/>
  <c r="G286" i="8"/>
  <c r="K284" i="8"/>
  <c r="I284" i="8"/>
  <c r="G284" i="8"/>
  <c r="K288" i="8"/>
  <c r="I288" i="8"/>
  <c r="O288" i="8" s="1"/>
  <c r="G288" i="8"/>
  <c r="K299" i="8"/>
  <c r="I299" i="8"/>
  <c r="O299" i="8" s="1"/>
  <c r="G299" i="8"/>
  <c r="K302" i="8"/>
  <c r="I302" i="8"/>
  <c r="O302" i="8" s="1"/>
  <c r="G302" i="8"/>
  <c r="K300" i="8"/>
  <c r="I300" i="8"/>
  <c r="G300" i="8"/>
  <c r="K291" i="8"/>
  <c r="I291" i="8"/>
  <c r="O291" i="8" s="1"/>
  <c r="G291" i="8"/>
  <c r="K298" i="8"/>
  <c r="I298" i="8"/>
  <c r="O298" i="8" s="1"/>
  <c r="G298" i="8"/>
  <c r="K280" i="8"/>
  <c r="I280" i="8"/>
  <c r="J280" i="8" s="1"/>
  <c r="G280" i="8"/>
  <c r="K279" i="8"/>
  <c r="I279" i="8"/>
  <c r="O279" i="8" s="1"/>
  <c r="G279" i="8"/>
  <c r="K277" i="8"/>
  <c r="I277" i="8"/>
  <c r="O277" i="8" s="1"/>
  <c r="G277" i="8"/>
  <c r="K276" i="8"/>
  <c r="I276" i="8"/>
  <c r="O276" i="8" s="1"/>
  <c r="G276" i="8"/>
  <c r="K283" i="8"/>
  <c r="I283" i="8"/>
  <c r="G283" i="8"/>
  <c r="K287" i="8"/>
  <c r="I287" i="8"/>
  <c r="J287" i="8" s="1"/>
  <c r="G287" i="8"/>
  <c r="K289" i="8"/>
  <c r="I289" i="8"/>
  <c r="O289" i="8" s="1"/>
  <c r="G289" i="8"/>
  <c r="K292" i="8"/>
  <c r="I292" i="8"/>
  <c r="O292" i="8" s="1"/>
  <c r="G292" i="8"/>
  <c r="K230" i="8"/>
  <c r="I230" i="8"/>
  <c r="O230" i="8" s="1"/>
  <c r="G230" i="8"/>
  <c r="K240" i="8"/>
  <c r="I240" i="8"/>
  <c r="O240" i="8" s="1"/>
  <c r="G240" i="8"/>
  <c r="K243" i="8"/>
  <c r="I243" i="8"/>
  <c r="O243" i="8" s="1"/>
  <c r="G243" i="8"/>
  <c r="K233" i="8"/>
  <c r="I233" i="8"/>
  <c r="O233" i="8" s="1"/>
  <c r="G233" i="8"/>
  <c r="K232" i="8"/>
  <c r="I232" i="8"/>
  <c r="O232" i="8" s="1"/>
  <c r="G232" i="8"/>
  <c r="K231" i="8"/>
  <c r="I231" i="8"/>
  <c r="J231" i="8" s="1"/>
  <c r="G231" i="8"/>
  <c r="K242" i="8"/>
  <c r="I242" i="8"/>
  <c r="O242" i="8" s="1"/>
  <c r="G242" i="8"/>
  <c r="K229" i="8"/>
  <c r="I229" i="8"/>
  <c r="G229" i="8"/>
  <c r="K228" i="8"/>
  <c r="I228" i="8"/>
  <c r="O228" i="8" s="1"/>
  <c r="G228" i="8"/>
  <c r="K227" i="8"/>
  <c r="I227" i="8"/>
  <c r="J227" i="8" s="1"/>
  <c r="G227" i="8"/>
  <c r="K226" i="8"/>
  <c r="I226" i="8"/>
  <c r="O226" i="8" s="1"/>
  <c r="G226" i="8"/>
  <c r="K225" i="8"/>
  <c r="I225" i="8"/>
  <c r="O225" i="8" s="1"/>
  <c r="G225" i="8"/>
  <c r="K224" i="8"/>
  <c r="I224" i="8"/>
  <c r="J224" i="8" s="1"/>
  <c r="G224" i="8"/>
  <c r="K236" i="8"/>
  <c r="I236" i="8"/>
  <c r="J236" i="8" s="1"/>
  <c r="G236" i="8"/>
  <c r="K235" i="8"/>
  <c r="I235" i="8"/>
  <c r="O235" i="8" s="1"/>
  <c r="G235" i="8"/>
  <c r="K234" i="8"/>
  <c r="I234" i="8"/>
  <c r="O234" i="8" s="1"/>
  <c r="G234" i="8"/>
  <c r="K239" i="8"/>
  <c r="I239" i="8"/>
  <c r="O239" i="8" s="1"/>
  <c r="G239" i="8"/>
  <c r="K238" i="8"/>
  <c r="I238" i="8"/>
  <c r="J238" i="8" s="1"/>
  <c r="G238" i="8"/>
  <c r="K237" i="8"/>
  <c r="I237" i="8"/>
  <c r="O237" i="8" s="1"/>
  <c r="G237" i="8"/>
  <c r="K586" i="8"/>
  <c r="I586" i="8"/>
  <c r="O586" i="8" s="1"/>
  <c r="G586" i="8"/>
  <c r="K582" i="8"/>
  <c r="I582" i="8"/>
  <c r="O582" i="8" s="1"/>
  <c r="G582" i="8"/>
  <c r="K584" i="8"/>
  <c r="I584" i="8"/>
  <c r="J584" i="8" s="1"/>
  <c r="G584" i="8"/>
  <c r="K583" i="8"/>
  <c r="I583" i="8"/>
  <c r="J583" i="8" s="1"/>
  <c r="G583" i="8"/>
  <c r="K585" i="8"/>
  <c r="I585" i="8"/>
  <c r="O585" i="8" s="1"/>
  <c r="G585" i="8"/>
  <c r="K591" i="8"/>
  <c r="I591" i="8"/>
  <c r="O591" i="8" s="1"/>
  <c r="G591" i="8"/>
  <c r="K587" i="8"/>
  <c r="I587" i="8"/>
  <c r="O587" i="8" s="1"/>
  <c r="G587" i="8"/>
  <c r="K589" i="8"/>
  <c r="I589" i="8"/>
  <c r="O589" i="8" s="1"/>
  <c r="G589" i="8"/>
  <c r="K588" i="8"/>
  <c r="I588" i="8"/>
  <c r="G588" i="8"/>
  <c r="K590" i="8"/>
  <c r="I590" i="8"/>
  <c r="J590" i="8" s="1"/>
  <c r="G590" i="8"/>
  <c r="K573" i="8"/>
  <c r="I573" i="8"/>
  <c r="J573" i="8" s="1"/>
  <c r="G573" i="8"/>
  <c r="K571" i="8"/>
  <c r="I571" i="8"/>
  <c r="O571" i="8" s="1"/>
  <c r="G571" i="8"/>
  <c r="K572" i="8"/>
  <c r="I572" i="8"/>
  <c r="O572" i="8" s="1"/>
  <c r="G572" i="8"/>
  <c r="K570" i="8"/>
  <c r="I570" i="8"/>
  <c r="G570" i="8"/>
  <c r="K579" i="8"/>
  <c r="I579" i="8"/>
  <c r="J579" i="8" s="1"/>
  <c r="G579" i="8"/>
  <c r="K580" i="8"/>
  <c r="I580" i="8"/>
  <c r="O580" i="8" s="1"/>
  <c r="G580" i="8"/>
  <c r="K576" i="8"/>
  <c r="I576" i="8"/>
  <c r="O576" i="8" s="1"/>
  <c r="G576" i="8"/>
  <c r="K577" i="8"/>
  <c r="I577" i="8"/>
  <c r="O577" i="8" s="1"/>
  <c r="G577" i="8"/>
  <c r="K574" i="8"/>
  <c r="I574" i="8"/>
  <c r="J574" i="8" s="1"/>
  <c r="G574" i="8"/>
  <c r="K578" i="8"/>
  <c r="I578" i="8"/>
  <c r="G578" i="8"/>
  <c r="K575" i="8"/>
  <c r="I575" i="8"/>
  <c r="O575" i="8" s="1"/>
  <c r="G575" i="8"/>
  <c r="K566" i="8"/>
  <c r="I566" i="8"/>
  <c r="O566" i="8" s="1"/>
  <c r="G566" i="8"/>
  <c r="K563" i="8"/>
  <c r="I563" i="8"/>
  <c r="O563" i="8" s="1"/>
  <c r="G563" i="8"/>
  <c r="K567" i="8"/>
  <c r="I567" i="8"/>
  <c r="J567" i="8" s="1"/>
  <c r="G567" i="8"/>
  <c r="K564" i="8"/>
  <c r="I564" i="8"/>
  <c r="O564" i="8" s="1"/>
  <c r="G564" i="8"/>
  <c r="K562" i="8"/>
  <c r="I562" i="8"/>
  <c r="O562" i="8" s="1"/>
  <c r="G562" i="8"/>
  <c r="K568" i="8"/>
  <c r="I568" i="8"/>
  <c r="G568" i="8"/>
  <c r="K534" i="8"/>
  <c r="I534" i="8"/>
  <c r="O534" i="8" s="1"/>
  <c r="G534" i="8"/>
  <c r="K530" i="8"/>
  <c r="I530" i="8"/>
  <c r="O530" i="8" s="1"/>
  <c r="G530" i="8"/>
  <c r="K531" i="8"/>
  <c r="I531" i="8"/>
  <c r="J531" i="8" s="1"/>
  <c r="G531" i="8"/>
  <c r="K533" i="8"/>
  <c r="I533" i="8"/>
  <c r="O533" i="8" s="1"/>
  <c r="G533" i="8"/>
  <c r="K527" i="8"/>
  <c r="I527" i="8"/>
  <c r="O527" i="8" s="1"/>
  <c r="G527" i="8"/>
  <c r="K526" i="8"/>
  <c r="I526" i="8"/>
  <c r="O526" i="8" s="1"/>
  <c r="G526" i="8"/>
  <c r="K529" i="8"/>
  <c r="I529" i="8"/>
  <c r="J529" i="8" s="1"/>
  <c r="G529" i="8"/>
  <c r="K528" i="8"/>
  <c r="I528" i="8"/>
  <c r="O528" i="8" s="1"/>
  <c r="G528" i="8"/>
  <c r="K536" i="8"/>
  <c r="I536" i="8"/>
  <c r="O536" i="8" s="1"/>
  <c r="G536" i="8"/>
  <c r="K537" i="8"/>
  <c r="I537" i="8"/>
  <c r="O537" i="8" s="1"/>
  <c r="G537" i="8"/>
  <c r="K532" i="8"/>
  <c r="I532" i="8"/>
  <c r="J532" i="8" s="1"/>
  <c r="G532" i="8"/>
  <c r="K535" i="8"/>
  <c r="I535" i="8"/>
  <c r="O535" i="8" s="1"/>
  <c r="G535" i="8"/>
  <c r="K506" i="8"/>
  <c r="I506" i="8"/>
  <c r="O506" i="8" s="1"/>
  <c r="G506" i="8"/>
  <c r="K481" i="8"/>
  <c r="I481" i="8"/>
  <c r="O481" i="8" s="1"/>
  <c r="G481" i="8"/>
  <c r="K495" i="8"/>
  <c r="I495" i="8"/>
  <c r="O495" i="8" s="1"/>
  <c r="G495" i="8"/>
  <c r="K504" i="8"/>
  <c r="I504" i="8"/>
  <c r="J504" i="8" s="1"/>
  <c r="G504" i="8"/>
  <c r="K461" i="8"/>
  <c r="I461" i="8"/>
  <c r="O461" i="8" s="1"/>
  <c r="G461" i="8"/>
  <c r="K460" i="8"/>
  <c r="I460" i="8"/>
  <c r="O460" i="8" s="1"/>
  <c r="G460" i="8"/>
  <c r="K463" i="8"/>
  <c r="I463" i="8"/>
  <c r="O463" i="8" s="1"/>
  <c r="G463" i="8"/>
  <c r="K462" i="8"/>
  <c r="I462" i="8"/>
  <c r="J462" i="8" s="1"/>
  <c r="G462" i="8"/>
  <c r="K523" i="8"/>
  <c r="I523" i="8"/>
  <c r="O523" i="8" s="1"/>
  <c r="G523" i="8"/>
  <c r="K508" i="8"/>
  <c r="I508" i="8"/>
  <c r="O508" i="8" s="1"/>
  <c r="G508" i="8"/>
  <c r="K494" i="8"/>
  <c r="I494" i="8"/>
  <c r="O494" i="8" s="1"/>
  <c r="G494" i="8"/>
  <c r="K505" i="8"/>
  <c r="I505" i="8"/>
  <c r="J505" i="8" s="1"/>
  <c r="G505" i="8"/>
  <c r="K493" i="8"/>
  <c r="I493" i="8"/>
  <c r="O493" i="8" s="1"/>
  <c r="G493" i="8"/>
  <c r="K502" i="8"/>
  <c r="I502" i="8"/>
  <c r="O502" i="8" s="1"/>
  <c r="G502" i="8"/>
  <c r="K501" i="8"/>
  <c r="I501" i="8"/>
  <c r="G501" i="8"/>
  <c r="K482" i="8"/>
  <c r="I482" i="8"/>
  <c r="J482" i="8" s="1"/>
  <c r="G482" i="8"/>
  <c r="K486" i="8"/>
  <c r="I486" i="8"/>
  <c r="O486" i="8" s="1"/>
  <c r="G486" i="8"/>
  <c r="K483" i="8"/>
  <c r="I483" i="8"/>
  <c r="O483" i="8" s="1"/>
  <c r="G483" i="8"/>
  <c r="K484" i="8"/>
  <c r="I484" i="8"/>
  <c r="O484" i="8" s="1"/>
  <c r="G484" i="8"/>
  <c r="K490" i="8"/>
  <c r="I490" i="8"/>
  <c r="J490" i="8" s="1"/>
  <c r="G490" i="8"/>
  <c r="K485" i="8"/>
  <c r="I485" i="8"/>
  <c r="O485" i="8" s="1"/>
  <c r="G485" i="8"/>
  <c r="K464" i="8"/>
  <c r="I464" i="8"/>
  <c r="O464" i="8" s="1"/>
  <c r="G464" i="8"/>
  <c r="K521" i="8"/>
  <c r="I521" i="8"/>
  <c r="O521" i="8" s="1"/>
  <c r="G521" i="8"/>
  <c r="K503" i="8"/>
  <c r="I503" i="8"/>
  <c r="J503" i="8" s="1"/>
  <c r="G503" i="8"/>
  <c r="K496" i="8"/>
  <c r="I496" i="8"/>
  <c r="O496" i="8" s="1"/>
  <c r="G496" i="8"/>
  <c r="K507" i="8"/>
  <c r="I507" i="8"/>
  <c r="O507" i="8" s="1"/>
  <c r="G507" i="8"/>
  <c r="K510" i="8"/>
  <c r="I510" i="8"/>
  <c r="O510" i="8" s="1"/>
  <c r="G510" i="8"/>
  <c r="K509" i="8"/>
  <c r="I509" i="8"/>
  <c r="J509" i="8" s="1"/>
  <c r="G509" i="8"/>
  <c r="K498" i="8"/>
  <c r="I498" i="8"/>
  <c r="O498" i="8" s="1"/>
  <c r="G498" i="8"/>
  <c r="K524" i="8"/>
  <c r="I524" i="8"/>
  <c r="O524" i="8" s="1"/>
  <c r="G524" i="8"/>
  <c r="K476" i="8"/>
  <c r="I476" i="8"/>
  <c r="O476" i="8" s="1"/>
  <c r="G476" i="8"/>
  <c r="K467" i="8"/>
  <c r="I467" i="8"/>
  <c r="J467" i="8" s="1"/>
  <c r="G467" i="8"/>
  <c r="K470" i="8"/>
  <c r="I470" i="8"/>
  <c r="O470" i="8" s="1"/>
  <c r="G470" i="8"/>
  <c r="K469" i="8"/>
  <c r="I469" i="8"/>
  <c r="O469" i="8" s="1"/>
  <c r="G469" i="8"/>
  <c r="K474" i="8"/>
  <c r="I474" i="8"/>
  <c r="O474" i="8" s="1"/>
  <c r="G474" i="8"/>
  <c r="K473" i="8"/>
  <c r="I473" i="8"/>
  <c r="J473" i="8" s="1"/>
  <c r="G473" i="8"/>
  <c r="K475" i="8"/>
  <c r="I475" i="8"/>
  <c r="O475" i="8" s="1"/>
  <c r="G475" i="8"/>
  <c r="K472" i="8"/>
  <c r="I472" i="8"/>
  <c r="O472" i="8" s="1"/>
  <c r="G472" i="8"/>
  <c r="K471" i="8"/>
  <c r="I471" i="8"/>
  <c r="O471" i="8" s="1"/>
  <c r="G471" i="8"/>
  <c r="K489" i="8"/>
  <c r="I489" i="8"/>
  <c r="J489" i="8" s="1"/>
  <c r="G489" i="8"/>
  <c r="K487" i="8"/>
  <c r="I487" i="8"/>
  <c r="O487" i="8" s="1"/>
  <c r="G487" i="8"/>
  <c r="K491" i="8"/>
  <c r="I491" i="8"/>
  <c r="O491" i="8" s="1"/>
  <c r="G491" i="8"/>
  <c r="K488" i="8"/>
  <c r="I488" i="8"/>
  <c r="O488" i="8" s="1"/>
  <c r="G488" i="8"/>
  <c r="K518" i="8"/>
  <c r="I518" i="8"/>
  <c r="J518" i="8" s="1"/>
  <c r="G518" i="8"/>
  <c r="K513" i="8"/>
  <c r="I513" i="8"/>
  <c r="O513" i="8" s="1"/>
  <c r="G513" i="8"/>
  <c r="K520" i="8"/>
  <c r="I520" i="8"/>
  <c r="O520" i="8" s="1"/>
  <c r="G520" i="8"/>
  <c r="K517" i="8"/>
  <c r="I517" i="8"/>
  <c r="O517" i="8" s="1"/>
  <c r="G517" i="8"/>
  <c r="K512" i="8"/>
  <c r="I512" i="8"/>
  <c r="J512" i="8" s="1"/>
  <c r="G512" i="8"/>
  <c r="K519" i="8"/>
  <c r="I519" i="8"/>
  <c r="O519" i="8" s="1"/>
  <c r="G519" i="8"/>
  <c r="K516" i="8"/>
  <c r="I516" i="8"/>
  <c r="O516" i="8" s="1"/>
  <c r="G516" i="8"/>
  <c r="K515" i="8"/>
  <c r="I515" i="8"/>
  <c r="O515" i="8" s="1"/>
  <c r="G515" i="8"/>
  <c r="K514" i="8"/>
  <c r="I514" i="8"/>
  <c r="J514" i="8" s="1"/>
  <c r="G514" i="8"/>
  <c r="K497" i="8"/>
  <c r="I497" i="8"/>
  <c r="O497" i="8" s="1"/>
  <c r="G497" i="8"/>
  <c r="K511" i="8"/>
  <c r="I511" i="8"/>
  <c r="O511" i="8" s="1"/>
  <c r="G511" i="8"/>
  <c r="K456" i="8"/>
  <c r="I456" i="8"/>
  <c r="O456" i="8" s="1"/>
  <c r="G456" i="8"/>
  <c r="K455" i="8"/>
  <c r="I455" i="8"/>
  <c r="J455" i="8" s="1"/>
  <c r="G455" i="8"/>
  <c r="K459" i="8"/>
  <c r="I459" i="8"/>
  <c r="O459" i="8" s="1"/>
  <c r="G459" i="8"/>
  <c r="K458" i="8"/>
  <c r="I458" i="8"/>
  <c r="O458" i="8" s="1"/>
  <c r="G458" i="8"/>
  <c r="K457" i="8"/>
  <c r="I457" i="8"/>
  <c r="O457" i="8" s="1"/>
  <c r="G457" i="8"/>
  <c r="K478" i="8"/>
  <c r="I478" i="8"/>
  <c r="J478" i="8" s="1"/>
  <c r="G478" i="8"/>
  <c r="K477" i="8"/>
  <c r="I477" i="8"/>
  <c r="O477" i="8" s="1"/>
  <c r="G477" i="8"/>
  <c r="K454" i="8"/>
  <c r="I454" i="8"/>
  <c r="O454" i="8" s="1"/>
  <c r="G454" i="8"/>
  <c r="K453" i="8"/>
  <c r="I453" i="8"/>
  <c r="O453" i="8" s="1"/>
  <c r="G453" i="8"/>
  <c r="K452" i="8"/>
  <c r="I452" i="8"/>
  <c r="J452" i="8" s="1"/>
  <c r="G452" i="8"/>
  <c r="K480" i="8"/>
  <c r="I480" i="8"/>
  <c r="O480" i="8" s="1"/>
  <c r="G480" i="8"/>
  <c r="K479" i="8"/>
  <c r="I479" i="8"/>
  <c r="O479" i="8" s="1"/>
  <c r="G479" i="8"/>
  <c r="K465" i="8"/>
  <c r="I465" i="8"/>
  <c r="O465" i="8" s="1"/>
  <c r="G465" i="8"/>
  <c r="K466" i="8"/>
  <c r="I466" i="8"/>
  <c r="J466" i="8" s="1"/>
  <c r="G466" i="8"/>
  <c r="K492" i="8"/>
  <c r="I492" i="8"/>
  <c r="O492" i="8" s="1"/>
  <c r="G492" i="8"/>
  <c r="K500" i="8"/>
  <c r="I500" i="8"/>
  <c r="O500" i="8" s="1"/>
  <c r="G500" i="8"/>
  <c r="K499" i="8"/>
  <c r="I499" i="8"/>
  <c r="J499" i="8" s="1"/>
  <c r="G499" i="8"/>
  <c r="K448" i="8"/>
  <c r="I448" i="8"/>
  <c r="J448" i="8" s="1"/>
  <c r="G448" i="8"/>
  <c r="K449" i="8"/>
  <c r="I449" i="8"/>
  <c r="O449" i="8" s="1"/>
  <c r="G449" i="8"/>
  <c r="K450" i="8"/>
  <c r="I450" i="8"/>
  <c r="O450" i="8" s="1"/>
  <c r="G450" i="8"/>
  <c r="K445" i="8"/>
  <c r="I445" i="8"/>
  <c r="O445" i="8" s="1"/>
  <c r="G445" i="8"/>
  <c r="K444" i="8"/>
  <c r="I444" i="8"/>
  <c r="J444" i="8" s="1"/>
  <c r="G444" i="8"/>
  <c r="K446" i="8"/>
  <c r="I446" i="8"/>
  <c r="O446" i="8" s="1"/>
  <c r="G446" i="8"/>
  <c r="K447" i="8"/>
  <c r="I447" i="8"/>
  <c r="O447" i="8" s="1"/>
  <c r="G447" i="8"/>
  <c r="K438" i="8"/>
  <c r="I438" i="8"/>
  <c r="O438" i="8" s="1"/>
  <c r="G438" i="8"/>
  <c r="K432" i="8"/>
  <c r="I432" i="8"/>
  <c r="O432" i="8" s="1"/>
  <c r="G432" i="8"/>
  <c r="K437" i="8"/>
  <c r="I437" i="8"/>
  <c r="J437" i="8" s="1"/>
  <c r="G437" i="8"/>
  <c r="K440" i="8"/>
  <c r="I440" i="8"/>
  <c r="O440" i="8" s="1"/>
  <c r="G440" i="8"/>
  <c r="K442" i="8"/>
  <c r="I442" i="8"/>
  <c r="G442" i="8"/>
  <c r="K433" i="8"/>
  <c r="I433" i="8"/>
  <c r="O433" i="8" s="1"/>
  <c r="G433" i="8"/>
  <c r="K441" i="8"/>
  <c r="I441" i="8"/>
  <c r="J441" i="8" s="1"/>
  <c r="G441" i="8"/>
  <c r="K431" i="8"/>
  <c r="I431" i="8"/>
  <c r="O431" i="8" s="1"/>
  <c r="G431" i="8"/>
  <c r="K430" i="8"/>
  <c r="I430" i="8"/>
  <c r="O430" i="8" s="1"/>
  <c r="G430" i="8"/>
  <c r="K435" i="8"/>
  <c r="I435" i="8"/>
  <c r="O435" i="8" s="1"/>
  <c r="G435" i="8"/>
  <c r="K436" i="8"/>
  <c r="I436" i="8"/>
  <c r="J436" i="8" s="1"/>
  <c r="G436" i="8"/>
  <c r="K392" i="8"/>
  <c r="I392" i="8"/>
  <c r="O392" i="8" s="1"/>
  <c r="G392" i="8"/>
  <c r="K387" i="8"/>
  <c r="I387" i="8"/>
  <c r="O387" i="8" s="1"/>
  <c r="G387" i="8"/>
  <c r="K373" i="8"/>
  <c r="I373" i="8"/>
  <c r="O373" i="8" s="1"/>
  <c r="G373" i="8"/>
  <c r="K372" i="8"/>
  <c r="I372" i="8"/>
  <c r="J372" i="8" s="1"/>
  <c r="G372" i="8"/>
  <c r="K370" i="8"/>
  <c r="I370" i="8"/>
  <c r="O370" i="8" s="1"/>
  <c r="G370" i="8"/>
  <c r="K369" i="8"/>
  <c r="I369" i="8"/>
  <c r="O369" i="8" s="1"/>
  <c r="G369" i="8"/>
  <c r="K378" i="8"/>
  <c r="I378" i="8"/>
  <c r="G378" i="8"/>
  <c r="K377" i="8"/>
  <c r="I377" i="8"/>
  <c r="J377" i="8" s="1"/>
  <c r="G377" i="8"/>
  <c r="K379" i="8"/>
  <c r="I379" i="8"/>
  <c r="O379" i="8" s="1"/>
  <c r="G379" i="8"/>
  <c r="K376" i="8"/>
  <c r="I376" i="8"/>
  <c r="O376" i="8" s="1"/>
  <c r="G376" i="8"/>
  <c r="K374" i="8"/>
  <c r="I374" i="8"/>
  <c r="O374" i="8" s="1"/>
  <c r="G374" i="8"/>
  <c r="K389" i="8"/>
  <c r="I389" i="8"/>
  <c r="J389" i="8" s="1"/>
  <c r="G389" i="8"/>
  <c r="K382" i="8"/>
  <c r="I382" i="8"/>
  <c r="O382" i="8" s="1"/>
  <c r="G382" i="8"/>
  <c r="K381" i="8"/>
  <c r="I381" i="8"/>
  <c r="O381" i="8" s="1"/>
  <c r="G381" i="8"/>
  <c r="K404" i="8"/>
  <c r="I404" i="8"/>
  <c r="G404" i="8"/>
  <c r="K390" i="8"/>
  <c r="I390" i="8"/>
  <c r="J390" i="8" s="1"/>
  <c r="G390" i="8"/>
  <c r="K391" i="8"/>
  <c r="I391" i="8"/>
  <c r="O391" i="8" s="1"/>
  <c r="G391" i="8"/>
  <c r="K393" i="8"/>
  <c r="I393" i="8"/>
  <c r="O393" i="8" s="1"/>
  <c r="G393" i="8"/>
  <c r="K405" i="8"/>
  <c r="I405" i="8"/>
  <c r="J405" i="8" s="1"/>
  <c r="G405" i="8"/>
  <c r="K386" i="8"/>
  <c r="I386" i="8"/>
  <c r="O386" i="8" s="1"/>
  <c r="G386" i="8"/>
  <c r="K384" i="8"/>
  <c r="I384" i="8"/>
  <c r="O384" i="8" s="1"/>
  <c r="G384" i="8"/>
  <c r="K385" i="8"/>
  <c r="I385" i="8"/>
  <c r="G385" i="8"/>
  <c r="K400" i="8"/>
  <c r="I400" i="8"/>
  <c r="J400" i="8" s="1"/>
  <c r="G400" i="8"/>
  <c r="K396" i="8"/>
  <c r="I396" i="8"/>
  <c r="O396" i="8" s="1"/>
  <c r="G396" i="8"/>
  <c r="K402" i="8"/>
  <c r="I402" i="8"/>
  <c r="O402" i="8" s="1"/>
  <c r="G402" i="8"/>
  <c r="K399" i="8"/>
  <c r="I399" i="8"/>
  <c r="O399" i="8" s="1"/>
  <c r="G399" i="8"/>
  <c r="K395" i="8"/>
  <c r="I395" i="8"/>
  <c r="J395" i="8" s="1"/>
  <c r="G395" i="8"/>
  <c r="K401" i="8"/>
  <c r="I401" i="8"/>
  <c r="O401" i="8" s="1"/>
  <c r="G401" i="8"/>
  <c r="K398" i="8"/>
  <c r="I398" i="8"/>
  <c r="J398" i="8" s="1"/>
  <c r="G398" i="8"/>
  <c r="K397" i="8"/>
  <c r="I397" i="8"/>
  <c r="G397" i="8"/>
  <c r="K388" i="8"/>
  <c r="I388" i="8"/>
  <c r="J388" i="8" s="1"/>
  <c r="G388" i="8"/>
  <c r="K394" i="8"/>
  <c r="I394" i="8"/>
  <c r="G394" i="8"/>
  <c r="K351" i="8"/>
  <c r="I351" i="8"/>
  <c r="O351" i="8" s="1"/>
  <c r="G351" i="8"/>
  <c r="K341" i="8"/>
  <c r="I341" i="8"/>
  <c r="J341" i="8" s="1"/>
  <c r="G341" i="8"/>
  <c r="K314" i="8"/>
  <c r="I314" i="8"/>
  <c r="O314" i="8" s="1"/>
  <c r="G314" i="8"/>
  <c r="K313" i="8"/>
  <c r="I313" i="8"/>
  <c r="J313" i="8" s="1"/>
  <c r="G313" i="8"/>
  <c r="K311" i="8"/>
  <c r="I311" i="8"/>
  <c r="G311" i="8"/>
  <c r="K310" i="8"/>
  <c r="I310" i="8"/>
  <c r="J310" i="8" s="1"/>
  <c r="G310" i="8"/>
  <c r="K319" i="8"/>
  <c r="I319" i="8"/>
  <c r="O319" i="8" s="1"/>
  <c r="G319" i="8"/>
  <c r="K321" i="8"/>
  <c r="I321" i="8"/>
  <c r="J321" i="8" s="1"/>
  <c r="G321" i="8"/>
  <c r="K320" i="8"/>
  <c r="I320" i="8"/>
  <c r="O320" i="8" s="1"/>
  <c r="G320" i="8"/>
  <c r="K318" i="8"/>
  <c r="I318" i="8"/>
  <c r="J318" i="8" s="1"/>
  <c r="G318" i="8"/>
  <c r="K315" i="8"/>
  <c r="I315" i="8"/>
  <c r="O315" i="8" s="1"/>
  <c r="G315" i="8"/>
  <c r="K348" i="8"/>
  <c r="I348" i="8"/>
  <c r="J348" i="8" s="1"/>
  <c r="G348" i="8"/>
  <c r="K333" i="8"/>
  <c r="I333" i="8"/>
  <c r="O333" i="8" s="1"/>
  <c r="G333" i="8"/>
  <c r="K322" i="8"/>
  <c r="I322" i="8"/>
  <c r="J322" i="8" s="1"/>
  <c r="G322" i="8"/>
  <c r="K366" i="8"/>
  <c r="I366" i="8"/>
  <c r="O366" i="8" s="1"/>
  <c r="G366" i="8"/>
  <c r="K349" i="8"/>
  <c r="I349" i="8"/>
  <c r="J349" i="8" s="1"/>
  <c r="G349" i="8"/>
  <c r="K350" i="8"/>
  <c r="I350" i="8"/>
  <c r="O350" i="8" s="1"/>
  <c r="G350" i="8"/>
  <c r="K352" i="8"/>
  <c r="I352" i="8"/>
  <c r="J352" i="8" s="1"/>
  <c r="G352" i="8"/>
  <c r="K355" i="8"/>
  <c r="I355" i="8"/>
  <c r="G355" i="8"/>
  <c r="K354" i="8"/>
  <c r="I354" i="8"/>
  <c r="J354" i="8" s="1"/>
  <c r="G354" i="8"/>
  <c r="K353" i="8"/>
  <c r="I353" i="8"/>
  <c r="O353" i="8" s="1"/>
  <c r="G353" i="8"/>
  <c r="K367" i="8"/>
  <c r="I367" i="8"/>
  <c r="O367" i="8" s="1"/>
  <c r="G367" i="8"/>
  <c r="K323" i="8"/>
  <c r="I323" i="8"/>
  <c r="O323" i="8" s="1"/>
  <c r="G323" i="8"/>
  <c r="K330" i="8"/>
  <c r="I330" i="8"/>
  <c r="O330" i="8" s="1"/>
  <c r="G330" i="8"/>
  <c r="K324" i="8"/>
  <c r="I324" i="8"/>
  <c r="J324" i="8" s="1"/>
  <c r="G324" i="8"/>
  <c r="K325" i="8"/>
  <c r="I325" i="8"/>
  <c r="O325" i="8" s="1"/>
  <c r="G325" i="8"/>
  <c r="K328" i="8"/>
  <c r="I328" i="8"/>
  <c r="J328" i="8" s="1"/>
  <c r="G328" i="8"/>
  <c r="K327" i="8"/>
  <c r="I327" i="8"/>
  <c r="O327" i="8" s="1"/>
  <c r="G327" i="8"/>
  <c r="K329" i="8"/>
  <c r="I329" i="8"/>
  <c r="J329" i="8" s="1"/>
  <c r="G329" i="8"/>
  <c r="K326" i="8"/>
  <c r="I326" i="8"/>
  <c r="O326" i="8" s="1"/>
  <c r="G326" i="8"/>
  <c r="K337" i="8"/>
  <c r="I337" i="8"/>
  <c r="J337" i="8" s="1"/>
  <c r="G337" i="8"/>
  <c r="K335" i="8"/>
  <c r="I335" i="8"/>
  <c r="O335" i="8" s="1"/>
  <c r="G335" i="8"/>
  <c r="K336" i="8"/>
  <c r="I336" i="8"/>
  <c r="J336" i="8" s="1"/>
  <c r="G336" i="8"/>
  <c r="K362" i="8"/>
  <c r="I362" i="8"/>
  <c r="O362" i="8" s="1"/>
  <c r="G362" i="8"/>
  <c r="K358" i="8"/>
  <c r="I358" i="8"/>
  <c r="J358" i="8" s="1"/>
  <c r="G358" i="8"/>
  <c r="K364" i="8"/>
  <c r="I364" i="8"/>
  <c r="O364" i="8" s="1"/>
  <c r="G364" i="8"/>
  <c r="K361" i="8"/>
  <c r="I361" i="8"/>
  <c r="J361" i="8" s="1"/>
  <c r="G361" i="8"/>
  <c r="K357" i="8"/>
  <c r="I357" i="8"/>
  <c r="O357" i="8" s="1"/>
  <c r="G357" i="8"/>
  <c r="K363" i="8"/>
  <c r="I363" i="8"/>
  <c r="J363" i="8" s="1"/>
  <c r="G363" i="8"/>
  <c r="K360" i="8"/>
  <c r="I360" i="8"/>
  <c r="O360" i="8" s="1"/>
  <c r="G360" i="8"/>
  <c r="K359" i="8"/>
  <c r="I359" i="8"/>
  <c r="J359" i="8" s="1"/>
  <c r="G359" i="8"/>
  <c r="K342" i="8"/>
  <c r="I342" i="8"/>
  <c r="O342" i="8" s="1"/>
  <c r="G342" i="8"/>
  <c r="K356" i="8"/>
  <c r="I356" i="8"/>
  <c r="J356" i="8" s="1"/>
  <c r="G356" i="8"/>
  <c r="K307" i="8"/>
  <c r="I307" i="8"/>
  <c r="O307" i="8" s="1"/>
  <c r="G307" i="8"/>
  <c r="K309" i="8"/>
  <c r="I309" i="8"/>
  <c r="J309" i="8" s="1"/>
  <c r="G309" i="8"/>
  <c r="K308" i="8"/>
  <c r="I308" i="8"/>
  <c r="O308" i="8" s="1"/>
  <c r="G308" i="8"/>
  <c r="K331" i="8"/>
  <c r="I331" i="8"/>
  <c r="J331" i="8" s="1"/>
  <c r="G331" i="8"/>
  <c r="K306" i="8"/>
  <c r="I306" i="8"/>
  <c r="O306" i="8" s="1"/>
  <c r="G306" i="8"/>
  <c r="K305" i="8"/>
  <c r="I305" i="8"/>
  <c r="J305" i="8" s="1"/>
  <c r="G305" i="8"/>
  <c r="K338" i="8"/>
  <c r="I338" i="8"/>
  <c r="J338" i="8" s="1"/>
  <c r="G338" i="8"/>
  <c r="K332" i="8"/>
  <c r="I332" i="8"/>
  <c r="O332" i="8" s="1"/>
  <c r="G332" i="8"/>
  <c r="K339" i="8"/>
  <c r="I339" i="8"/>
  <c r="J339" i="8" s="1"/>
  <c r="G339" i="8"/>
  <c r="K347" i="8"/>
  <c r="I347" i="8"/>
  <c r="O347" i="8" s="1"/>
  <c r="G347" i="8"/>
  <c r="K346" i="8"/>
  <c r="I346" i="8"/>
  <c r="J346" i="8" s="1"/>
  <c r="G346" i="8"/>
  <c r="K343" i="8"/>
  <c r="I343" i="8"/>
  <c r="O343" i="8" s="1"/>
  <c r="G343" i="8"/>
  <c r="K268" i="8"/>
  <c r="I268" i="8"/>
  <c r="O268" i="8" s="1"/>
  <c r="G268" i="8"/>
  <c r="K269" i="8"/>
  <c r="I269" i="8"/>
  <c r="J269" i="8" s="1"/>
  <c r="G269" i="8"/>
  <c r="K274" i="8"/>
  <c r="I274" i="8"/>
  <c r="O274" i="8" s="1"/>
  <c r="G274" i="8"/>
  <c r="K267" i="8"/>
  <c r="I267" i="8"/>
  <c r="J267" i="8" s="1"/>
  <c r="G267" i="8"/>
  <c r="K266" i="8"/>
  <c r="I266" i="8"/>
  <c r="O266" i="8" s="1"/>
  <c r="G266" i="8"/>
  <c r="K272" i="8"/>
  <c r="I272" i="8"/>
  <c r="J272" i="8" s="1"/>
  <c r="G272" i="8"/>
  <c r="K271" i="8"/>
  <c r="I271" i="8"/>
  <c r="O271" i="8" s="1"/>
  <c r="G271" i="8"/>
  <c r="K15" i="8"/>
  <c r="I15" i="8"/>
  <c r="O15" i="8" s="1"/>
  <c r="G15" i="8"/>
  <c r="K8" i="8"/>
  <c r="I8" i="8"/>
  <c r="J8" i="8" s="1"/>
  <c r="G8" i="8"/>
  <c r="K16" i="8"/>
  <c r="I16" i="8"/>
  <c r="O16" i="8" s="1"/>
  <c r="G16" i="8"/>
  <c r="K20" i="8"/>
  <c r="I20" i="8"/>
  <c r="O20" i="8" s="1"/>
  <c r="G20" i="8"/>
  <c r="K11" i="8"/>
  <c r="I11" i="8"/>
  <c r="J11" i="8" s="1"/>
  <c r="G11" i="8"/>
  <c r="K10" i="8"/>
  <c r="I10" i="8"/>
  <c r="O10" i="8" s="1"/>
  <c r="G10" i="8"/>
  <c r="K19" i="8"/>
  <c r="I19" i="8"/>
  <c r="J19" i="8" s="1"/>
  <c r="G19" i="8"/>
  <c r="K4" i="8"/>
  <c r="I4" i="8"/>
  <c r="J4" i="8" s="1"/>
  <c r="G4" i="8"/>
  <c r="K12" i="8"/>
  <c r="I12" i="8"/>
  <c r="O12" i="8" s="1"/>
  <c r="G12" i="8"/>
  <c r="K14" i="8"/>
  <c r="I14" i="8"/>
  <c r="J14" i="8" s="1"/>
  <c r="G14" i="8"/>
  <c r="K182" i="8"/>
  <c r="I182" i="8"/>
  <c r="J182" i="8" s="1"/>
  <c r="G182" i="8"/>
  <c r="K179" i="8"/>
  <c r="I179" i="8"/>
  <c r="O179" i="8" s="1"/>
  <c r="G179" i="8"/>
  <c r="K181" i="8"/>
  <c r="I181" i="8"/>
  <c r="J181" i="8" s="1"/>
  <c r="G181" i="8"/>
  <c r="K66" i="8"/>
  <c r="I66" i="8"/>
  <c r="J66" i="8" s="1"/>
  <c r="G66" i="8"/>
  <c r="K71" i="8"/>
  <c r="I71" i="8"/>
  <c r="O71" i="8" s="1"/>
  <c r="G71" i="8"/>
  <c r="K67" i="8"/>
  <c r="I67" i="8"/>
  <c r="J67" i="8" s="1"/>
  <c r="G67" i="8"/>
  <c r="K72" i="8"/>
  <c r="I72" i="8"/>
  <c r="O72" i="8" s="1"/>
  <c r="G72" i="8"/>
  <c r="K59" i="8"/>
  <c r="I59" i="8"/>
  <c r="J59" i="8" s="1"/>
  <c r="G59" i="8"/>
  <c r="K60" i="8"/>
  <c r="I60" i="8"/>
  <c r="O60" i="8" s="1"/>
  <c r="G60" i="8"/>
  <c r="K56" i="8"/>
  <c r="I56" i="8"/>
  <c r="J56" i="8" s="1"/>
  <c r="G56" i="8"/>
  <c r="K54" i="8"/>
  <c r="I54" i="8"/>
  <c r="O54" i="8" s="1"/>
  <c r="G54" i="8"/>
  <c r="K58" i="8"/>
  <c r="I58" i="8"/>
  <c r="J58" i="8" s="1"/>
  <c r="G58" i="8"/>
  <c r="K61" i="8"/>
  <c r="I61" i="8"/>
  <c r="O61" i="8" s="1"/>
  <c r="G61" i="8"/>
  <c r="K53" i="8"/>
  <c r="I53" i="8"/>
  <c r="J53" i="8" s="1"/>
  <c r="G53" i="8"/>
  <c r="K55" i="8"/>
  <c r="I55" i="8"/>
  <c r="O55" i="8" s="1"/>
  <c r="G55" i="8"/>
  <c r="K63" i="8"/>
  <c r="I63" i="8"/>
  <c r="J63" i="8" s="1"/>
  <c r="G63" i="8"/>
  <c r="K57" i="8"/>
  <c r="I57" i="8"/>
  <c r="O57" i="8" s="1"/>
  <c r="G57" i="8"/>
  <c r="K62" i="8"/>
  <c r="I62" i="8"/>
  <c r="J62" i="8" s="1"/>
  <c r="G62" i="8"/>
  <c r="K74" i="8"/>
  <c r="I74" i="8"/>
  <c r="O74" i="8" s="1"/>
  <c r="G74" i="8"/>
  <c r="K45" i="8"/>
  <c r="I45" i="8"/>
  <c r="J45" i="8" s="1"/>
  <c r="G45" i="8"/>
  <c r="K73" i="8"/>
  <c r="I73" i="8"/>
  <c r="G73" i="8"/>
  <c r="K75" i="8"/>
  <c r="I75" i="8"/>
  <c r="J75" i="8" s="1"/>
  <c r="G75" i="8"/>
  <c r="K79" i="8"/>
  <c r="I79" i="8"/>
  <c r="J79" i="8" s="1"/>
  <c r="G79" i="8"/>
  <c r="K52" i="8"/>
  <c r="I52" i="8"/>
  <c r="O52" i="8" s="1"/>
  <c r="G52" i="8"/>
  <c r="K46" i="8"/>
  <c r="I46" i="8"/>
  <c r="J46" i="8" s="1"/>
  <c r="G46" i="8"/>
  <c r="K47" i="8"/>
  <c r="I47" i="8"/>
  <c r="O47" i="8" s="1"/>
  <c r="G47" i="8"/>
  <c r="K51" i="8"/>
  <c r="I51" i="8"/>
  <c r="J51" i="8" s="1"/>
  <c r="G51" i="8"/>
  <c r="K48" i="8"/>
  <c r="I48" i="8"/>
  <c r="O48" i="8" s="1"/>
  <c r="G48" i="8"/>
  <c r="K76" i="8"/>
  <c r="I76" i="8"/>
  <c r="J76" i="8" s="1"/>
  <c r="G76" i="8"/>
  <c r="K78" i="8"/>
  <c r="I78" i="8"/>
  <c r="O78" i="8" s="1"/>
  <c r="G78" i="8"/>
  <c r="K44" i="8"/>
  <c r="I44" i="8"/>
  <c r="J44" i="8" s="1"/>
  <c r="G44" i="8"/>
  <c r="K43" i="8"/>
  <c r="I43" i="8"/>
  <c r="O43" i="8" s="1"/>
  <c r="G43" i="8"/>
  <c r="K42" i="8"/>
  <c r="I42" i="8"/>
  <c r="J42" i="8" s="1"/>
  <c r="G42" i="8"/>
  <c r="K41" i="8"/>
  <c r="I41" i="8"/>
  <c r="O41" i="8" s="1"/>
  <c r="G41" i="8"/>
  <c r="K40" i="8"/>
  <c r="I40" i="8"/>
  <c r="J40" i="8" s="1"/>
  <c r="G40" i="8"/>
  <c r="K39" i="8"/>
  <c r="I39" i="8"/>
  <c r="O39" i="8" s="1"/>
  <c r="G39" i="8"/>
  <c r="K38" i="8"/>
  <c r="I38" i="8"/>
  <c r="J38" i="8" s="1"/>
  <c r="G38" i="8"/>
  <c r="K37" i="8"/>
  <c r="I37" i="8"/>
  <c r="O37" i="8" s="1"/>
  <c r="G37" i="8"/>
  <c r="K65" i="8"/>
  <c r="I65" i="8"/>
  <c r="J65" i="8" s="1"/>
  <c r="G65" i="8"/>
  <c r="K64" i="8"/>
  <c r="I64" i="8"/>
  <c r="O64" i="8" s="1"/>
  <c r="G64" i="8"/>
  <c r="K70" i="8"/>
  <c r="I70" i="8"/>
  <c r="J70" i="8" s="1"/>
  <c r="G70" i="8"/>
  <c r="K69" i="8"/>
  <c r="I69" i="8"/>
  <c r="O69" i="8" s="1"/>
  <c r="G69" i="8"/>
  <c r="K68" i="8"/>
  <c r="I68" i="8"/>
  <c r="J68" i="8" s="1"/>
  <c r="G68" i="8"/>
  <c r="K217" i="8"/>
  <c r="I217" i="8"/>
  <c r="J217" i="8" s="1"/>
  <c r="G217" i="8"/>
  <c r="K221" i="8"/>
  <c r="I221" i="8"/>
  <c r="O221" i="8" s="1"/>
  <c r="G221" i="8"/>
  <c r="K218" i="8"/>
  <c r="I218" i="8"/>
  <c r="J218" i="8" s="1"/>
  <c r="G218" i="8"/>
  <c r="K222" i="8"/>
  <c r="I222" i="8"/>
  <c r="O222" i="8" s="1"/>
  <c r="G222" i="8"/>
  <c r="K216" i="8"/>
  <c r="I216" i="8"/>
  <c r="J216" i="8" s="1"/>
  <c r="G216" i="8"/>
  <c r="K219" i="8"/>
  <c r="I219" i="8"/>
  <c r="O219" i="8" s="1"/>
  <c r="G219" i="8"/>
  <c r="K220" i="8"/>
  <c r="I220" i="8"/>
  <c r="J220" i="8" s="1"/>
  <c r="G220" i="8"/>
  <c r="K205" i="8"/>
  <c r="I205" i="8"/>
  <c r="J205" i="8" s="1"/>
  <c r="G205" i="8"/>
  <c r="K210" i="8"/>
  <c r="I210" i="8"/>
  <c r="O210" i="8" s="1"/>
  <c r="G210" i="8"/>
  <c r="K212" i="8"/>
  <c r="I212" i="8"/>
  <c r="J212" i="8" s="1"/>
  <c r="G212" i="8"/>
  <c r="K214" i="8"/>
  <c r="I214" i="8"/>
  <c r="O214" i="8" s="1"/>
  <c r="G214" i="8"/>
  <c r="K206" i="8"/>
  <c r="I206" i="8"/>
  <c r="J206" i="8" s="1"/>
  <c r="G206" i="8"/>
  <c r="K213" i="8"/>
  <c r="I213" i="8"/>
  <c r="O213" i="8" s="1"/>
  <c r="G213" i="8"/>
  <c r="K204" i="8"/>
  <c r="I204" i="8"/>
  <c r="J204" i="8" s="1"/>
  <c r="G204" i="8"/>
  <c r="K203" i="8"/>
  <c r="I203" i="8"/>
  <c r="J203" i="8" s="1"/>
  <c r="G203" i="8"/>
  <c r="K207" i="8"/>
  <c r="I207" i="8"/>
  <c r="J207" i="8" s="1"/>
  <c r="G207" i="8"/>
  <c r="K208" i="8"/>
  <c r="I208" i="8"/>
  <c r="O208" i="8" s="1"/>
  <c r="G208" i="8"/>
  <c r="K198" i="8"/>
  <c r="I198" i="8"/>
  <c r="O198" i="8" s="1"/>
  <c r="G198" i="8"/>
  <c r="K188" i="8"/>
  <c r="I188" i="8"/>
  <c r="J188" i="8" s="1"/>
  <c r="G188" i="8"/>
  <c r="K197" i="8"/>
  <c r="I197" i="8"/>
  <c r="J197" i="8" s="1"/>
  <c r="G197" i="8"/>
  <c r="K199" i="8"/>
  <c r="I199" i="8"/>
  <c r="J199" i="8" s="1"/>
  <c r="G199" i="8"/>
  <c r="K189" i="8"/>
  <c r="I189" i="8"/>
  <c r="O189" i="8" s="1"/>
  <c r="G189" i="8"/>
  <c r="K190" i="8"/>
  <c r="I190" i="8"/>
  <c r="J190" i="8" s="1"/>
  <c r="G190" i="8"/>
  <c r="K201" i="8"/>
  <c r="I201" i="8"/>
  <c r="J201" i="8" s="1"/>
  <c r="G201" i="8"/>
  <c r="K200" i="8"/>
  <c r="I200" i="8"/>
  <c r="J200" i="8" s="1"/>
  <c r="G200" i="8"/>
  <c r="K187" i="8"/>
  <c r="I187" i="8"/>
  <c r="O187" i="8" s="1"/>
  <c r="G187" i="8"/>
  <c r="K186" i="8"/>
  <c r="I186" i="8"/>
  <c r="J186" i="8" s="1"/>
  <c r="G186" i="8"/>
  <c r="K185" i="8"/>
  <c r="I185" i="8"/>
  <c r="J185" i="8" s="1"/>
  <c r="G185" i="8"/>
  <c r="K184" i="8"/>
  <c r="I184" i="8"/>
  <c r="J184" i="8" s="1"/>
  <c r="G184" i="8"/>
  <c r="K192" i="8"/>
  <c r="I192" i="8"/>
  <c r="J192" i="8" s="1"/>
  <c r="G192" i="8"/>
  <c r="K191" i="8"/>
  <c r="I191" i="8"/>
  <c r="J191" i="8" s="1"/>
  <c r="G191" i="8"/>
  <c r="K193" i="8"/>
  <c r="I193" i="8"/>
  <c r="J193" i="8" s="1"/>
  <c r="G193" i="8"/>
  <c r="K195" i="8"/>
  <c r="I195" i="8"/>
  <c r="O195" i="8" s="1"/>
  <c r="G195" i="8"/>
  <c r="K194" i="8"/>
  <c r="I194" i="8"/>
  <c r="J194" i="8" s="1"/>
  <c r="G194" i="8"/>
  <c r="K152" i="8"/>
  <c r="I152" i="8"/>
  <c r="J152" i="8" s="1"/>
  <c r="G152" i="8"/>
  <c r="K134" i="8"/>
  <c r="I134" i="8"/>
  <c r="J134" i="8" s="1"/>
  <c r="G134" i="8"/>
  <c r="K121" i="8"/>
  <c r="I121" i="8"/>
  <c r="J121" i="8" s="1"/>
  <c r="G121" i="8"/>
  <c r="K139" i="8"/>
  <c r="I139" i="8"/>
  <c r="O139" i="8" s="1"/>
  <c r="G139" i="8"/>
  <c r="K138" i="8"/>
  <c r="I138" i="8"/>
  <c r="J138" i="8" s="1"/>
  <c r="G138" i="8"/>
  <c r="K135" i="8"/>
  <c r="I135" i="8"/>
  <c r="J135" i="8" s="1"/>
  <c r="G135" i="8"/>
  <c r="K137" i="8"/>
  <c r="I137" i="8"/>
  <c r="J137" i="8" s="1"/>
  <c r="G137" i="8"/>
  <c r="K136" i="8"/>
  <c r="I136" i="8"/>
  <c r="O136" i="8" s="1"/>
  <c r="G136" i="8"/>
  <c r="K150" i="8"/>
  <c r="I150" i="8"/>
  <c r="J150" i="8" s="1"/>
  <c r="G150" i="8"/>
  <c r="K99" i="8"/>
  <c r="I99" i="8"/>
  <c r="J99" i="8" s="1"/>
  <c r="G99" i="8"/>
  <c r="K98" i="8"/>
  <c r="I98" i="8"/>
  <c r="J98" i="8" s="1"/>
  <c r="G98" i="8"/>
  <c r="K97" i="8"/>
  <c r="I97" i="8"/>
  <c r="O97" i="8" s="1"/>
  <c r="G97" i="8"/>
  <c r="K101" i="8"/>
  <c r="I101" i="8"/>
  <c r="J101" i="8" s="1"/>
  <c r="G101" i="8"/>
  <c r="K100" i="8"/>
  <c r="I100" i="8"/>
  <c r="J100" i="8" s="1"/>
  <c r="G100" i="8"/>
  <c r="K133" i="8"/>
  <c r="I133" i="8"/>
  <c r="J133" i="8" s="1"/>
  <c r="G133" i="8"/>
  <c r="K151" i="8"/>
  <c r="I151" i="8"/>
  <c r="O151" i="8" s="1"/>
  <c r="G151" i="8"/>
  <c r="K114" i="8"/>
  <c r="I114" i="8"/>
  <c r="J114" i="8" s="1"/>
  <c r="G114" i="8"/>
  <c r="K123" i="8"/>
  <c r="I123" i="8"/>
  <c r="J123" i="8" s="1"/>
  <c r="G123" i="8"/>
  <c r="K149" i="8"/>
  <c r="I149" i="8"/>
  <c r="J149" i="8" s="1"/>
  <c r="G149" i="8"/>
  <c r="K172" i="8"/>
  <c r="I172" i="8"/>
  <c r="J172" i="8" s="1"/>
  <c r="G172" i="8"/>
  <c r="K102" i="8"/>
  <c r="I102" i="8"/>
  <c r="O102" i="8" s="1"/>
  <c r="G102" i="8"/>
  <c r="K173" i="8"/>
  <c r="I173" i="8"/>
  <c r="J173" i="8" s="1"/>
  <c r="G173" i="8"/>
  <c r="K148" i="8"/>
  <c r="I148" i="8"/>
  <c r="J148" i="8" s="1"/>
  <c r="G148" i="8"/>
  <c r="K140" i="8"/>
  <c r="I140" i="8"/>
  <c r="J140" i="8" s="1"/>
  <c r="G140" i="8"/>
  <c r="K154" i="8"/>
  <c r="I154" i="8"/>
  <c r="O154" i="8" s="1"/>
  <c r="G154" i="8"/>
  <c r="K158" i="8"/>
  <c r="I158" i="8"/>
  <c r="J158" i="8" s="1"/>
  <c r="G158" i="8"/>
  <c r="K157" i="8"/>
  <c r="I157" i="8"/>
  <c r="J157" i="8" s="1"/>
  <c r="G157" i="8"/>
  <c r="K156" i="8"/>
  <c r="I156" i="8"/>
  <c r="J156" i="8" s="1"/>
  <c r="G156" i="8"/>
  <c r="K155" i="8"/>
  <c r="I155" i="8"/>
  <c r="O155" i="8" s="1"/>
  <c r="G155" i="8"/>
  <c r="K177" i="8"/>
  <c r="I177" i="8"/>
  <c r="J177" i="8" s="1"/>
  <c r="G177" i="8"/>
  <c r="K176" i="8"/>
  <c r="I176" i="8"/>
  <c r="O176" i="8" s="1"/>
  <c r="G176" i="8"/>
  <c r="K113" i="8"/>
  <c r="I113" i="8"/>
  <c r="J113" i="8" s="1"/>
  <c r="G113" i="8"/>
  <c r="K104" i="8"/>
  <c r="I104" i="8"/>
  <c r="J104" i="8" s="1"/>
  <c r="G104" i="8"/>
  <c r="K107" i="8"/>
  <c r="I107" i="8"/>
  <c r="J107" i="8" s="1"/>
  <c r="G107" i="8"/>
  <c r="K106" i="8"/>
  <c r="I106" i="8"/>
  <c r="O106" i="8" s="1"/>
  <c r="G106" i="8"/>
  <c r="K111" i="8"/>
  <c r="I111" i="8"/>
  <c r="J111" i="8" s="1"/>
  <c r="G111" i="8"/>
  <c r="K110" i="8"/>
  <c r="I110" i="8"/>
  <c r="J110" i="8" s="1"/>
  <c r="G110" i="8"/>
  <c r="K109" i="8"/>
  <c r="I109" i="8"/>
  <c r="J109" i="8" s="1"/>
  <c r="G109" i="8"/>
  <c r="K112" i="8"/>
  <c r="I112" i="8"/>
  <c r="O112" i="8" s="1"/>
  <c r="G112" i="8"/>
  <c r="K108" i="8"/>
  <c r="I108" i="8"/>
  <c r="J108" i="8" s="1"/>
  <c r="G108" i="8"/>
  <c r="K126" i="8"/>
  <c r="I126" i="8"/>
  <c r="J126" i="8" s="1"/>
  <c r="G126" i="8"/>
  <c r="K124" i="8"/>
  <c r="I124" i="8"/>
  <c r="J124" i="8" s="1"/>
  <c r="G124" i="8"/>
  <c r="K129" i="8"/>
  <c r="I129" i="8"/>
  <c r="O129" i="8" s="1"/>
  <c r="G129" i="8"/>
  <c r="K125" i="8"/>
  <c r="I125" i="8"/>
  <c r="J125" i="8" s="1"/>
  <c r="G125" i="8"/>
  <c r="K169" i="8"/>
  <c r="I169" i="8"/>
  <c r="J169" i="8" s="1"/>
  <c r="G169" i="8"/>
  <c r="K162" i="8"/>
  <c r="I162" i="8"/>
  <c r="J162" i="8" s="1"/>
  <c r="G162" i="8"/>
  <c r="K171" i="8"/>
  <c r="I171" i="8"/>
  <c r="O171" i="8" s="1"/>
  <c r="G171" i="8"/>
  <c r="K160" i="8"/>
  <c r="I160" i="8"/>
  <c r="J160" i="8" s="1"/>
  <c r="G160" i="8"/>
  <c r="K168" i="8"/>
  <c r="I168" i="8"/>
  <c r="J168" i="8" s="1"/>
  <c r="G168" i="8"/>
  <c r="K161" i="8"/>
  <c r="I161" i="8"/>
  <c r="J161" i="8" s="1"/>
  <c r="G161" i="8"/>
  <c r="K170" i="8"/>
  <c r="I170" i="8"/>
  <c r="O170" i="8" s="1"/>
  <c r="G170" i="8"/>
  <c r="K167" i="8"/>
  <c r="I167" i="8"/>
  <c r="J167" i="8" s="1"/>
  <c r="G167" i="8"/>
  <c r="K164" i="8"/>
  <c r="I164" i="8"/>
  <c r="J164" i="8" s="1"/>
  <c r="G164" i="8"/>
  <c r="K166" i="8"/>
  <c r="I166" i="8"/>
  <c r="J166" i="8" s="1"/>
  <c r="G166" i="8"/>
  <c r="K165" i="8"/>
  <c r="I165" i="8"/>
  <c r="O165" i="8" s="1"/>
  <c r="G165" i="8"/>
  <c r="K163" i="8"/>
  <c r="I163" i="8"/>
  <c r="J163" i="8" s="1"/>
  <c r="G163" i="8"/>
  <c r="K141" i="8"/>
  <c r="I141" i="8"/>
  <c r="J141" i="8" s="1"/>
  <c r="G141" i="8"/>
  <c r="K159" i="8"/>
  <c r="I159" i="8"/>
  <c r="J159" i="8" s="1"/>
  <c r="G159" i="8"/>
  <c r="K91" i="8"/>
  <c r="I91" i="8"/>
  <c r="O91" i="8" s="1"/>
  <c r="G91" i="8"/>
  <c r="K90" i="8"/>
  <c r="I90" i="8"/>
  <c r="J90" i="8" s="1"/>
  <c r="G90" i="8"/>
  <c r="K96" i="8"/>
  <c r="I96" i="8"/>
  <c r="J96" i="8" s="1"/>
  <c r="G96" i="8"/>
  <c r="K93" i="8"/>
  <c r="I93" i="8"/>
  <c r="J93" i="8" s="1"/>
  <c r="G93" i="8"/>
  <c r="K95" i="8"/>
  <c r="I95" i="8"/>
  <c r="O95" i="8" s="1"/>
  <c r="G95" i="8"/>
  <c r="K94" i="8"/>
  <c r="I94" i="8"/>
  <c r="J94" i="8" s="1"/>
  <c r="G94" i="8"/>
  <c r="K92" i="8"/>
  <c r="I92" i="8"/>
  <c r="J92" i="8" s="1"/>
  <c r="G92" i="8"/>
  <c r="K117" i="8"/>
  <c r="I117" i="8"/>
  <c r="J117" i="8" s="1"/>
  <c r="G117" i="8"/>
  <c r="K115" i="8"/>
  <c r="I115" i="8"/>
  <c r="O115" i="8" s="1"/>
  <c r="G115" i="8"/>
  <c r="K89" i="8"/>
  <c r="I89" i="8"/>
  <c r="J89" i="8" s="1"/>
  <c r="G89" i="8"/>
  <c r="K88" i="8"/>
  <c r="I88" i="8"/>
  <c r="J88" i="8" s="1"/>
  <c r="G88" i="8"/>
  <c r="K86" i="8"/>
  <c r="I86" i="8"/>
  <c r="J86" i="8" s="1"/>
  <c r="G86" i="8"/>
  <c r="K82" i="8"/>
  <c r="I82" i="8"/>
  <c r="O82" i="8" s="1"/>
  <c r="G82" i="8"/>
  <c r="K85" i="8"/>
  <c r="I85" i="8"/>
  <c r="J85" i="8" s="1"/>
  <c r="G85" i="8"/>
  <c r="K84" i="8"/>
  <c r="I84" i="8"/>
  <c r="J84" i="8" s="1"/>
  <c r="G84" i="8"/>
  <c r="K81" i="8"/>
  <c r="I81" i="8"/>
  <c r="J81" i="8" s="1"/>
  <c r="G81" i="8"/>
  <c r="K128" i="8"/>
  <c r="I128" i="8"/>
  <c r="O128" i="8" s="1"/>
  <c r="G128" i="8"/>
  <c r="K122" i="8"/>
  <c r="I122" i="8"/>
  <c r="J122" i="8" s="1"/>
  <c r="G122" i="8"/>
  <c r="K119" i="8"/>
  <c r="I119" i="8"/>
  <c r="O119" i="8" s="1"/>
  <c r="G119" i="8"/>
  <c r="K127" i="8"/>
  <c r="I127" i="8"/>
  <c r="J127" i="8" s="1"/>
  <c r="G127" i="8"/>
  <c r="K103" i="8"/>
  <c r="I103" i="8"/>
  <c r="J103" i="8" s="1"/>
  <c r="G103" i="8"/>
  <c r="K130" i="8"/>
  <c r="I130" i="8"/>
  <c r="J130" i="8" s="1"/>
  <c r="G130" i="8"/>
  <c r="K132" i="8"/>
  <c r="I132" i="8"/>
  <c r="O132" i="8" s="1"/>
  <c r="G132" i="8"/>
  <c r="K131" i="8"/>
  <c r="I131" i="8"/>
  <c r="J131" i="8" s="1"/>
  <c r="G131" i="8"/>
  <c r="K147" i="8"/>
  <c r="I147" i="8"/>
  <c r="J147" i="8" s="1"/>
  <c r="G147" i="8"/>
  <c r="K142" i="8"/>
  <c r="I142" i="8"/>
  <c r="O142" i="8" s="1"/>
  <c r="G142" i="8"/>
  <c r="K144" i="8"/>
  <c r="I144" i="8"/>
  <c r="O144" i="8" s="1"/>
  <c r="G144" i="8"/>
  <c r="K143" i="8"/>
  <c r="I143" i="8"/>
  <c r="J143" i="8" s="1"/>
  <c r="G143" i="8"/>
  <c r="N23" i="2"/>
  <c r="I23" i="2"/>
  <c r="D23" i="2"/>
  <c r="C23" i="2"/>
  <c r="O73" i="8" l="1"/>
  <c r="J73" i="8"/>
  <c r="L73" i="8" s="1"/>
  <c r="P1325" i="8"/>
  <c r="H1360" i="8"/>
  <c r="S1359" i="8"/>
  <c r="J1360" i="8"/>
  <c r="L1360" i="8" s="1"/>
  <c r="J1359" i="8"/>
  <c r="L1359" i="8" s="1"/>
  <c r="H1359" i="8"/>
  <c r="H1358" i="8"/>
  <c r="S1358" i="8"/>
  <c r="S1005" i="8"/>
  <c r="J1004" i="8"/>
  <c r="L1004" i="8" s="1"/>
  <c r="J1358" i="8"/>
  <c r="L1358" i="8" s="1"/>
  <c r="J1005" i="8"/>
  <c r="L1005" i="8" s="1"/>
  <c r="J1006" i="8"/>
  <c r="L1006" i="8" s="1"/>
  <c r="H1004" i="8"/>
  <c r="H1005" i="8"/>
  <c r="S1004" i="8"/>
  <c r="J1151" i="8"/>
  <c r="L1151" i="8" s="1"/>
  <c r="S1151" i="8"/>
  <c r="H863" i="8"/>
  <c r="S863" i="8"/>
  <c r="H1006" i="8"/>
  <c r="S1006" i="8"/>
  <c r="J707" i="8"/>
  <c r="L707" i="8" s="1"/>
  <c r="S707" i="8"/>
  <c r="S819" i="8"/>
  <c r="H862" i="8"/>
  <c r="S862" i="8"/>
  <c r="J863" i="8"/>
  <c r="L863" i="8" s="1"/>
  <c r="J862" i="8"/>
  <c r="L862" i="8" s="1"/>
  <c r="H820" i="8"/>
  <c r="S820" i="8"/>
  <c r="P818" i="8"/>
  <c r="J819" i="8"/>
  <c r="L819" i="8" s="1"/>
  <c r="J820" i="8"/>
  <c r="L820" i="8" s="1"/>
  <c r="H819" i="8"/>
  <c r="L898" i="8"/>
  <c r="H741" i="8"/>
  <c r="S741" i="8"/>
  <c r="S752" i="8"/>
  <c r="H749" i="8"/>
  <c r="S749" i="8"/>
  <c r="H750" i="8"/>
  <c r="S750" i="8"/>
  <c r="S1088" i="8"/>
  <c r="H1085" i="8"/>
  <c r="S1085" i="8"/>
  <c r="J591" i="8"/>
  <c r="L591" i="8" s="1"/>
  <c r="S583" i="8"/>
  <c r="S224" i="8"/>
  <c r="S243" i="8"/>
  <c r="J401" i="8"/>
  <c r="L401" i="8" s="1"/>
  <c r="L836" i="8"/>
  <c r="H1046" i="8"/>
  <c r="S1046" i="8"/>
  <c r="H1050" i="8"/>
  <c r="S1050" i="8"/>
  <c r="H1036" i="8"/>
  <c r="S1036" i="8"/>
  <c r="H1039" i="8"/>
  <c r="S1039" i="8"/>
  <c r="S1041" i="8"/>
  <c r="H722" i="8"/>
  <c r="S722" i="8"/>
  <c r="S900" i="8"/>
  <c r="S1211" i="8"/>
  <c r="J61" i="8"/>
  <c r="L61" i="8" s="1"/>
  <c r="S61" i="8"/>
  <c r="S389" i="8"/>
  <c r="S377" i="8"/>
  <c r="S372" i="8"/>
  <c r="J264" i="8"/>
  <c r="L264" i="8" s="1"/>
  <c r="J1283" i="8"/>
  <c r="L1283" i="8" s="1"/>
  <c r="J1081" i="8"/>
  <c r="L1081" i="8" s="1"/>
  <c r="S1290" i="8"/>
  <c r="L855" i="8"/>
  <c r="S853" i="8"/>
  <c r="S850" i="8"/>
  <c r="O836" i="8"/>
  <c r="H866" i="8"/>
  <c r="S866" i="8"/>
  <c r="H870" i="8"/>
  <c r="S870" i="8"/>
  <c r="S871" i="8"/>
  <c r="H873" i="8"/>
  <c r="S873" i="8"/>
  <c r="H351" i="8"/>
  <c r="H251" i="8"/>
  <c r="S251" i="8"/>
  <c r="L773" i="8"/>
  <c r="L1201" i="8"/>
  <c r="L695" i="8"/>
  <c r="J708" i="8"/>
  <c r="L708" i="8" s="1"/>
  <c r="J1070" i="8"/>
  <c r="L1070" i="8" s="1"/>
  <c r="P1337" i="8"/>
  <c r="S1038" i="8"/>
  <c r="H1262" i="8"/>
  <c r="S1262" i="8"/>
  <c r="S143" i="8"/>
  <c r="S84" i="8"/>
  <c r="S141" i="8"/>
  <c r="S126" i="8"/>
  <c r="S157" i="8"/>
  <c r="S100" i="8"/>
  <c r="L58" i="8"/>
  <c r="H335" i="8"/>
  <c r="J463" i="8"/>
  <c r="L463" i="8" s="1"/>
  <c r="S461" i="8"/>
  <c r="S250" i="8"/>
  <c r="S256" i="8"/>
  <c r="J763" i="8"/>
  <c r="L763" i="8" s="1"/>
  <c r="S763" i="8"/>
  <c r="L618" i="8"/>
  <c r="H1149" i="8"/>
  <c r="S1149" i="8"/>
  <c r="S1141" i="8"/>
  <c r="H1142" i="8"/>
  <c r="S1150" i="8"/>
  <c r="H1154" i="8"/>
  <c r="S1154" i="8"/>
  <c r="S1175" i="8"/>
  <c r="H1163" i="8"/>
  <c r="S1163" i="8"/>
  <c r="S821" i="8"/>
  <c r="H831" i="8"/>
  <c r="S834" i="8"/>
  <c r="S1355" i="8"/>
  <c r="H1357" i="8"/>
  <c r="S1357" i="8"/>
  <c r="H1001" i="8"/>
  <c r="S1001" i="8"/>
  <c r="H996" i="8"/>
  <c r="S996" i="8"/>
  <c r="H928" i="8"/>
  <c r="S928" i="8"/>
  <c r="H936" i="8"/>
  <c r="S935" i="8"/>
  <c r="H931" i="8"/>
  <c r="H1329" i="8"/>
  <c r="S1329" i="8"/>
  <c r="H54" i="8"/>
  <c r="S60" i="8"/>
  <c r="S16" i="8"/>
  <c r="S15" i="8"/>
  <c r="H391" i="8"/>
  <c r="H382" i="8"/>
  <c r="H392" i="8"/>
  <c r="S460" i="8"/>
  <c r="H1279" i="8"/>
  <c r="H767" i="8"/>
  <c r="S767" i="8"/>
  <c r="S774" i="8"/>
  <c r="S782" i="8"/>
  <c r="H641" i="8"/>
  <c r="S641" i="8"/>
  <c r="H603" i="8"/>
  <c r="S603" i="8"/>
  <c r="S611" i="8"/>
  <c r="S619" i="8"/>
  <c r="S1243" i="8"/>
  <c r="S1238" i="8"/>
  <c r="H1228" i="8"/>
  <c r="H1230" i="8"/>
  <c r="L1117" i="8"/>
  <c r="L1114" i="8"/>
  <c r="L1113" i="8"/>
  <c r="L1121" i="8"/>
  <c r="H1176" i="8"/>
  <c r="S1176" i="8"/>
  <c r="H1188" i="8"/>
  <c r="H727" i="8"/>
  <c r="H724" i="8"/>
  <c r="H1308" i="8"/>
  <c r="S1308" i="8"/>
  <c r="H1306" i="8"/>
  <c r="S1306" i="8"/>
  <c r="H1309" i="8"/>
  <c r="H905" i="8"/>
  <c r="S905" i="8"/>
  <c r="H1344" i="8"/>
  <c r="H1346" i="8"/>
  <c r="H1345" i="8"/>
  <c r="H1348" i="8"/>
  <c r="S1348" i="8"/>
  <c r="S1067" i="8"/>
  <c r="S52" i="8"/>
  <c r="H57" i="8"/>
  <c r="H331" i="8"/>
  <c r="S331" i="8"/>
  <c r="H309" i="8"/>
  <c r="S309" i="8"/>
  <c r="J342" i="8"/>
  <c r="L342" i="8" s="1"/>
  <c r="S362" i="8"/>
  <c r="S327" i="8"/>
  <c r="S325" i="8"/>
  <c r="H310" i="8"/>
  <c r="S310" i="8"/>
  <c r="J392" i="8"/>
  <c r="L392" i="8" s="1"/>
  <c r="H534" i="8"/>
  <c r="S573" i="8"/>
  <c r="S587" i="8"/>
  <c r="H585" i="8"/>
  <c r="H586" i="8"/>
  <c r="S234" i="8"/>
  <c r="S236" i="8"/>
  <c r="S227" i="8"/>
  <c r="H233" i="8"/>
  <c r="S233" i="8"/>
  <c r="H230" i="8"/>
  <c r="S230" i="8"/>
  <c r="H289" i="8"/>
  <c r="S289" i="8"/>
  <c r="J1230" i="8"/>
  <c r="L1230" i="8" s="1"/>
  <c r="S1129" i="8"/>
  <c r="S1133" i="8"/>
  <c r="S1130" i="8"/>
  <c r="S1128" i="8"/>
  <c r="J1193" i="8"/>
  <c r="L1193" i="8" s="1"/>
  <c r="H984" i="8"/>
  <c r="S984" i="8"/>
  <c r="H978" i="8"/>
  <c r="S978" i="8"/>
  <c r="J852" i="8"/>
  <c r="L852" i="8" s="1"/>
  <c r="S852" i="8"/>
  <c r="L103" i="8"/>
  <c r="L389" i="8"/>
  <c r="L377" i="8"/>
  <c r="S446" i="8"/>
  <c r="S479" i="8"/>
  <c r="S458" i="8"/>
  <c r="S516" i="8"/>
  <c r="S491" i="8"/>
  <c r="S469" i="8"/>
  <c r="S507" i="8"/>
  <c r="S502" i="8"/>
  <c r="L531" i="8"/>
  <c r="H571" i="8"/>
  <c r="S571" i="8"/>
  <c r="P592" i="8"/>
  <c r="H1225" i="8"/>
  <c r="S1225" i="8"/>
  <c r="H1116" i="8"/>
  <c r="H1117" i="8"/>
  <c r="H1114" i="8"/>
  <c r="H1113" i="8"/>
  <c r="H1121" i="8"/>
  <c r="H1159" i="8"/>
  <c r="S1171" i="8"/>
  <c r="S1165" i="8"/>
  <c r="S689" i="8"/>
  <c r="L962" i="8"/>
  <c r="H708" i="8"/>
  <c r="O685" i="8"/>
  <c r="L218" i="8"/>
  <c r="L217" i="8"/>
  <c r="J69" i="8"/>
  <c r="L69" i="8" s="1"/>
  <c r="J266" i="8"/>
  <c r="L266" i="8" s="1"/>
  <c r="J386" i="8"/>
  <c r="L386" i="8" s="1"/>
  <c r="P443" i="8"/>
  <c r="P451" i="8"/>
  <c r="J536" i="8"/>
  <c r="L536" i="8" s="1"/>
  <c r="L137" i="8"/>
  <c r="L207" i="8"/>
  <c r="L205" i="8"/>
  <c r="J219" i="8"/>
  <c r="L219" i="8" s="1"/>
  <c r="H75" i="8"/>
  <c r="S75" i="8"/>
  <c r="H45" i="8"/>
  <c r="S45" i="8"/>
  <c r="J74" i="8"/>
  <c r="L74" i="8" s="1"/>
  <c r="S55" i="8"/>
  <c r="H61" i="8"/>
  <c r="J72" i="8"/>
  <c r="L72" i="8" s="1"/>
  <c r="S71" i="8"/>
  <c r="S347" i="8"/>
  <c r="L305" i="8"/>
  <c r="H306" i="8"/>
  <c r="S307" i="8"/>
  <c r="J330" i="8"/>
  <c r="L330" i="8" s="1"/>
  <c r="S394" i="8"/>
  <c r="H397" i="8"/>
  <c r="S397" i="8"/>
  <c r="H401" i="8"/>
  <c r="L395" i="8"/>
  <c r="L400" i="8"/>
  <c r="S447" i="8"/>
  <c r="S480" i="8"/>
  <c r="S459" i="8"/>
  <c r="S519" i="8"/>
  <c r="S487" i="8"/>
  <c r="S470" i="8"/>
  <c r="S496" i="8"/>
  <c r="S485" i="8"/>
  <c r="H528" i="8"/>
  <c r="S528" i="8"/>
  <c r="S526" i="8"/>
  <c r="S567" i="8"/>
  <c r="S280" i="8"/>
  <c r="S298" i="8"/>
  <c r="H297" i="8"/>
  <c r="S297" i="8"/>
  <c r="Q244" i="8"/>
  <c r="L92" i="8"/>
  <c r="L168" i="8"/>
  <c r="L104" i="8"/>
  <c r="L149" i="8"/>
  <c r="L135" i="8"/>
  <c r="L203" i="8"/>
  <c r="H271" i="8"/>
  <c r="S271" i="8"/>
  <c r="H266" i="8"/>
  <c r="S333" i="8"/>
  <c r="H319" i="8"/>
  <c r="S319" i="8"/>
  <c r="S311" i="8"/>
  <c r="H386" i="8"/>
  <c r="L405" i="8"/>
  <c r="H381" i="8"/>
  <c r="H495" i="8"/>
  <c r="H506" i="8"/>
  <c r="S506" i="8"/>
  <c r="H536" i="8"/>
  <c r="S564" i="8"/>
  <c r="H563" i="8"/>
  <c r="H575" i="8"/>
  <c r="S575" i="8"/>
  <c r="H650" i="8"/>
  <c r="S650" i="8"/>
  <c r="H644" i="8"/>
  <c r="L628" i="8"/>
  <c r="S1287" i="8"/>
  <c r="H1247" i="8"/>
  <c r="H1252" i="8"/>
  <c r="H1153" i="8"/>
  <c r="H1200" i="8"/>
  <c r="S1200" i="8"/>
  <c r="H1192" i="8"/>
  <c r="S1192" i="8"/>
  <c r="O1191" i="8"/>
  <c r="H1204" i="8"/>
  <c r="S1204" i="8"/>
  <c r="H1213" i="8"/>
  <c r="H1217" i="8"/>
  <c r="S1217" i="8"/>
  <c r="H1215" i="8"/>
  <c r="S1109" i="8"/>
  <c r="H993" i="8"/>
  <c r="S993" i="8"/>
  <c r="H705" i="8"/>
  <c r="S705" i="8"/>
  <c r="S699" i="8"/>
  <c r="H702" i="8"/>
  <c r="S702" i="8"/>
  <c r="H729" i="8"/>
  <c r="S729" i="8"/>
  <c r="S734" i="8"/>
  <c r="H856" i="8"/>
  <c r="H857" i="8"/>
  <c r="S857" i="8"/>
  <c r="H682" i="8"/>
  <c r="H683" i="8"/>
  <c r="S683" i="8"/>
  <c r="H825" i="8"/>
  <c r="S825" i="8"/>
  <c r="H827" i="8"/>
  <c r="H833" i="8"/>
  <c r="H995" i="8"/>
  <c r="S995" i="8"/>
  <c r="H904" i="8"/>
  <c r="H1330" i="8"/>
  <c r="S1330" i="8"/>
  <c r="H1037" i="8"/>
  <c r="S1037" i="8"/>
  <c r="H1040" i="8"/>
  <c r="S1040" i="8"/>
  <c r="L867" i="8"/>
  <c r="L872" i="8"/>
  <c r="P740" i="8"/>
  <c r="P1078" i="8"/>
  <c r="H1055" i="8"/>
  <c r="S1055" i="8"/>
  <c r="J644" i="8"/>
  <c r="L644" i="8" s="1"/>
  <c r="S644" i="8"/>
  <c r="S661" i="8"/>
  <c r="H1298" i="8"/>
  <c r="S1298" i="8"/>
  <c r="J1252" i="8"/>
  <c r="L1252" i="8" s="1"/>
  <c r="S1236" i="8"/>
  <c r="L1237" i="8"/>
  <c r="S1222" i="8"/>
  <c r="H1223" i="8"/>
  <c r="S1223" i="8"/>
  <c r="H1221" i="8"/>
  <c r="S1221" i="8"/>
  <c r="J1148" i="8"/>
  <c r="L1148" i="8" s="1"/>
  <c r="J1101" i="8"/>
  <c r="L1101" i="8" s="1"/>
  <c r="S954" i="8"/>
  <c r="P969" i="8"/>
  <c r="J710" i="8"/>
  <c r="L710" i="8" s="1"/>
  <c r="S710" i="8"/>
  <c r="J704" i="8"/>
  <c r="L704" i="8" s="1"/>
  <c r="S704" i="8"/>
  <c r="J853" i="8"/>
  <c r="L853" i="8" s="1"/>
  <c r="L851" i="8"/>
  <c r="P1014" i="8"/>
  <c r="L904" i="8"/>
  <c r="J1332" i="8"/>
  <c r="L1332" i="8" s="1"/>
  <c r="S1332" i="8"/>
  <c r="S896" i="8"/>
  <c r="H248" i="8"/>
  <c r="S248" i="8"/>
  <c r="S884" i="8"/>
  <c r="S771" i="8"/>
  <c r="Q776" i="8"/>
  <c r="J782" i="8"/>
  <c r="L782" i="8" s="1"/>
  <c r="H793" i="8"/>
  <c r="S793" i="8"/>
  <c r="H798" i="8"/>
  <c r="H762" i="8"/>
  <c r="H755" i="8"/>
  <c r="S755" i="8"/>
  <c r="H756" i="8"/>
  <c r="S756" i="8"/>
  <c r="H754" i="8"/>
  <c r="S754" i="8"/>
  <c r="H1093" i="8"/>
  <c r="Q1089" i="8"/>
  <c r="H1091" i="8"/>
  <c r="H1081" i="8"/>
  <c r="H658" i="8"/>
  <c r="S658" i="8"/>
  <c r="H652" i="8"/>
  <c r="S652" i="8"/>
  <c r="H647" i="8"/>
  <c r="S647" i="8"/>
  <c r="H638" i="8"/>
  <c r="H642" i="8"/>
  <c r="S1189" i="8"/>
  <c r="J1183" i="8"/>
  <c r="L1183" i="8" s="1"/>
  <c r="L1102" i="8"/>
  <c r="J1104" i="8"/>
  <c r="L1104" i="8" s="1"/>
  <c r="S1105" i="8"/>
  <c r="L1106" i="8"/>
  <c r="H956" i="8"/>
  <c r="H955" i="8"/>
  <c r="S955" i="8"/>
  <c r="S946" i="8"/>
  <c r="H948" i="8"/>
  <c r="S948" i="8"/>
  <c r="S953" i="8"/>
  <c r="S965" i="8"/>
  <c r="H971" i="8"/>
  <c r="S971" i="8"/>
  <c r="S972" i="8"/>
  <c r="H1304" i="8"/>
  <c r="H681" i="8"/>
  <c r="S1015" i="8"/>
  <c r="H1016" i="8"/>
  <c r="S1016" i="8"/>
  <c r="S921" i="8"/>
  <c r="S937" i="8"/>
  <c r="L935" i="8"/>
  <c r="S932" i="8"/>
  <c r="J931" i="8"/>
  <c r="L931" i="8" s="1"/>
  <c r="H1311" i="8"/>
  <c r="H1318" i="8"/>
  <c r="S1313" i="8"/>
  <c r="H1343" i="8"/>
  <c r="S1343" i="8"/>
  <c r="H1351" i="8"/>
  <c r="S1351" i="8"/>
  <c r="H944" i="8"/>
  <c r="S942" i="8"/>
  <c r="L870" i="8"/>
  <c r="S877" i="8"/>
  <c r="H880" i="8"/>
  <c r="S880" i="8"/>
  <c r="L1044" i="8"/>
  <c r="S894" i="8"/>
  <c r="H897" i="8"/>
  <c r="S897" i="8"/>
  <c r="H144" i="8"/>
  <c r="S144" i="8"/>
  <c r="H131" i="8"/>
  <c r="S131" i="8"/>
  <c r="H130" i="8"/>
  <c r="S130" i="8"/>
  <c r="H85" i="8"/>
  <c r="S85" i="8"/>
  <c r="H89" i="8"/>
  <c r="S89" i="8"/>
  <c r="H117" i="8"/>
  <c r="S117" i="8"/>
  <c r="H93" i="8"/>
  <c r="S93" i="8"/>
  <c r="H163" i="8"/>
  <c r="S163" i="8"/>
  <c r="H167" i="8"/>
  <c r="S167" i="8"/>
  <c r="H161" i="8"/>
  <c r="S161" i="8"/>
  <c r="L130" i="8"/>
  <c r="H103" i="8"/>
  <c r="S103" i="8"/>
  <c r="H119" i="8"/>
  <c r="S122" i="8"/>
  <c r="L117" i="8"/>
  <c r="H92" i="8"/>
  <c r="S92" i="8"/>
  <c r="H95" i="8"/>
  <c r="S96" i="8"/>
  <c r="L161" i="8"/>
  <c r="H168" i="8"/>
  <c r="S168" i="8"/>
  <c r="H171" i="8"/>
  <c r="S169" i="8"/>
  <c r="L107" i="8"/>
  <c r="H104" i="8"/>
  <c r="S104" i="8"/>
  <c r="H176" i="8"/>
  <c r="L172" i="8"/>
  <c r="H149" i="8"/>
  <c r="S149" i="8"/>
  <c r="H135" i="8"/>
  <c r="S135" i="8"/>
  <c r="H139" i="8"/>
  <c r="S134" i="8"/>
  <c r="H193" i="8"/>
  <c r="S193" i="8"/>
  <c r="H184" i="8"/>
  <c r="S184" i="8"/>
  <c r="H190" i="8"/>
  <c r="S190" i="8"/>
  <c r="H188" i="8"/>
  <c r="S188" i="8"/>
  <c r="H203" i="8"/>
  <c r="S203" i="8"/>
  <c r="H213" i="8"/>
  <c r="L14" i="8"/>
  <c r="H12" i="8"/>
  <c r="S12" i="8"/>
  <c r="J347" i="8"/>
  <c r="L347" i="8" s="1"/>
  <c r="H332" i="8"/>
  <c r="H354" i="8"/>
  <c r="H352" i="8"/>
  <c r="S352" i="8"/>
  <c r="J333" i="8"/>
  <c r="L333" i="8" s="1"/>
  <c r="H320" i="8"/>
  <c r="H313" i="8"/>
  <c r="S313" i="8"/>
  <c r="H402" i="8"/>
  <c r="H384" i="8"/>
  <c r="L390" i="8"/>
  <c r="H431" i="8"/>
  <c r="S431" i="8"/>
  <c r="H440" i="8"/>
  <c r="S440" i="8"/>
  <c r="H445" i="8"/>
  <c r="H449" i="8"/>
  <c r="S449" i="8"/>
  <c r="J465" i="8"/>
  <c r="L465" i="8" s="1"/>
  <c r="H453" i="8"/>
  <c r="H477" i="8"/>
  <c r="S477" i="8"/>
  <c r="H457" i="8"/>
  <c r="J515" i="8"/>
  <c r="L515" i="8" s="1"/>
  <c r="H517" i="8"/>
  <c r="H513" i="8"/>
  <c r="S513" i="8"/>
  <c r="H488" i="8"/>
  <c r="J474" i="8"/>
  <c r="L474" i="8" s="1"/>
  <c r="H476" i="8"/>
  <c r="H498" i="8"/>
  <c r="S498" i="8"/>
  <c r="H510" i="8"/>
  <c r="H484" i="8"/>
  <c r="H486" i="8"/>
  <c r="S486" i="8"/>
  <c r="H501" i="8"/>
  <c r="S493" i="8"/>
  <c r="Q525" i="8"/>
  <c r="O501" i="8"/>
  <c r="J501" i="8"/>
  <c r="L501" i="8" s="1"/>
  <c r="H162" i="8"/>
  <c r="S162" i="8"/>
  <c r="H108" i="8"/>
  <c r="S108" i="8"/>
  <c r="H111" i="8"/>
  <c r="S111" i="8"/>
  <c r="H107" i="8"/>
  <c r="S107" i="8"/>
  <c r="H177" i="8"/>
  <c r="S177" i="8"/>
  <c r="H158" i="8"/>
  <c r="S158" i="8"/>
  <c r="H173" i="8"/>
  <c r="S173" i="8"/>
  <c r="H172" i="8"/>
  <c r="S172" i="8"/>
  <c r="H101" i="8"/>
  <c r="S101" i="8"/>
  <c r="H150" i="8"/>
  <c r="S150" i="8"/>
  <c r="H137" i="8"/>
  <c r="S137" i="8"/>
  <c r="H121" i="8"/>
  <c r="S121" i="8"/>
  <c r="H191" i="8"/>
  <c r="H187" i="8"/>
  <c r="S187" i="8"/>
  <c r="H201" i="8"/>
  <c r="L190" i="8"/>
  <c r="S189" i="8"/>
  <c r="H197" i="8"/>
  <c r="S197" i="8"/>
  <c r="H207" i="8"/>
  <c r="S207" i="8"/>
  <c r="H206" i="8"/>
  <c r="S206" i="8"/>
  <c r="J214" i="8"/>
  <c r="L214" i="8" s="1"/>
  <c r="H218" i="8"/>
  <c r="S218" i="8"/>
  <c r="H217" i="8"/>
  <c r="S217" i="8"/>
  <c r="H69" i="8"/>
  <c r="H67" i="8"/>
  <c r="S67" i="8"/>
  <c r="H66" i="8"/>
  <c r="S66" i="8"/>
  <c r="H179" i="8"/>
  <c r="S343" i="8"/>
  <c r="H347" i="8"/>
  <c r="S360" i="8"/>
  <c r="H357" i="8"/>
  <c r="S357" i="8"/>
  <c r="L358" i="8"/>
  <c r="H362" i="8"/>
  <c r="S323" i="8"/>
  <c r="L354" i="8"/>
  <c r="S366" i="8"/>
  <c r="H333" i="8"/>
  <c r="H348" i="8"/>
  <c r="S348" i="8"/>
  <c r="J320" i="8"/>
  <c r="L320" i="8" s="1"/>
  <c r="L313" i="8"/>
  <c r="H314" i="8"/>
  <c r="H396" i="8"/>
  <c r="J384" i="8"/>
  <c r="L384" i="8" s="1"/>
  <c r="H393" i="8"/>
  <c r="S382" i="8"/>
  <c r="S379" i="8"/>
  <c r="S370" i="8"/>
  <c r="J387" i="8"/>
  <c r="L387" i="8" s="1"/>
  <c r="S430" i="8"/>
  <c r="S442" i="8"/>
  <c r="S438" i="8"/>
  <c r="H500" i="8"/>
  <c r="H492" i="8"/>
  <c r="S492" i="8"/>
  <c r="H465" i="8"/>
  <c r="J457" i="8"/>
  <c r="L457" i="8" s="1"/>
  <c r="H456" i="8"/>
  <c r="H497" i="8"/>
  <c r="S497" i="8"/>
  <c r="H515" i="8"/>
  <c r="J488" i="8"/>
  <c r="L488" i="8" s="1"/>
  <c r="H471" i="8"/>
  <c r="H475" i="8"/>
  <c r="S475" i="8"/>
  <c r="H474" i="8"/>
  <c r="J510" i="8"/>
  <c r="L510" i="8" s="1"/>
  <c r="H521" i="8"/>
  <c r="J527" i="8"/>
  <c r="L527" i="8" s="1"/>
  <c r="S531" i="8"/>
  <c r="L191" i="8"/>
  <c r="H205" i="8"/>
  <c r="S205" i="8"/>
  <c r="S64" i="8"/>
  <c r="H43" i="8"/>
  <c r="S78" i="8"/>
  <c r="H48" i="8"/>
  <c r="S48" i="8"/>
  <c r="P3" i="8"/>
  <c r="O578" i="8"/>
  <c r="H578" i="8"/>
  <c r="O570" i="8"/>
  <c r="J570" i="8"/>
  <c r="L570" i="8" s="1"/>
  <c r="J884" i="8"/>
  <c r="L884" i="8" s="1"/>
  <c r="S773" i="8"/>
  <c r="S778" i="8"/>
  <c r="S798" i="8"/>
  <c r="H799" i="8"/>
  <c r="S622" i="8"/>
  <c r="J1249" i="8"/>
  <c r="L1249" i="8" s="1"/>
  <c r="S1240" i="8"/>
  <c r="S1227" i="8"/>
  <c r="H494" i="8"/>
  <c r="H523" i="8"/>
  <c r="S523" i="8"/>
  <c r="H463" i="8"/>
  <c r="L532" i="8"/>
  <c r="S574" i="8"/>
  <c r="L579" i="8"/>
  <c r="H572" i="8"/>
  <c r="S572" i="8"/>
  <c r="H237" i="8"/>
  <c r="H239" i="8"/>
  <c r="S242" i="8"/>
  <c r="H232" i="8"/>
  <c r="S232" i="8"/>
  <c r="J277" i="8"/>
  <c r="L277" i="8" s="1"/>
  <c r="S291" i="8"/>
  <c r="S286" i="8"/>
  <c r="S282" i="8"/>
  <c r="S295" i="8"/>
  <c r="L253" i="8"/>
  <c r="J1279" i="8"/>
  <c r="L1279" i="8" s="1"/>
  <c r="H1281" i="8"/>
  <c r="L886" i="8"/>
  <c r="H770" i="8"/>
  <c r="S775" i="8"/>
  <c r="L777" i="8"/>
  <c r="H780" i="8"/>
  <c r="S780" i="8"/>
  <c r="H782" i="8"/>
  <c r="S786" i="8"/>
  <c r="S794" i="8"/>
  <c r="H800" i="8"/>
  <c r="S800" i="8"/>
  <c r="H801" i="8"/>
  <c r="S801" i="8"/>
  <c r="H763" i="8"/>
  <c r="S745" i="8"/>
  <c r="H743" i="8"/>
  <c r="H747" i="8"/>
  <c r="S747" i="8"/>
  <c r="J750" i="8"/>
  <c r="L750" i="8" s="1"/>
  <c r="S635" i="8"/>
  <c r="S642" i="8"/>
  <c r="S633" i="8"/>
  <c r="H607" i="8"/>
  <c r="S607" i="8"/>
  <c r="H600" i="8"/>
  <c r="J1247" i="8"/>
  <c r="L1247" i="8" s="1"/>
  <c r="S1242" i="8"/>
  <c r="S1245" i="8"/>
  <c r="L1228" i="8"/>
  <c r="H1231" i="8"/>
  <c r="H1232" i="8"/>
  <c r="S1232" i="8"/>
  <c r="H1229" i="8"/>
  <c r="H1124" i="8"/>
  <c r="S1124" i="8"/>
  <c r="H1126" i="8"/>
  <c r="S1126" i="8"/>
  <c r="H1122" i="8"/>
  <c r="S1122" i="8"/>
  <c r="H1135" i="8"/>
  <c r="S1135" i="8"/>
  <c r="H1125" i="8"/>
  <c r="S1125" i="8"/>
  <c r="H1118" i="8"/>
  <c r="S1118" i="8"/>
  <c r="H535" i="8"/>
  <c r="H527" i="8"/>
  <c r="S578" i="8"/>
  <c r="H577" i="8"/>
  <c r="H580" i="8"/>
  <c r="L583" i="8"/>
  <c r="P275" i="8"/>
  <c r="L280" i="8"/>
  <c r="H299" i="8"/>
  <c r="L281" i="8"/>
  <c r="H290" i="8"/>
  <c r="S290" i="8"/>
  <c r="H245" i="8"/>
  <c r="S245" i="8"/>
  <c r="L250" i="8"/>
  <c r="S263" i="8"/>
  <c r="H1282" i="8"/>
  <c r="S1282" i="8"/>
  <c r="H884" i="8"/>
  <c r="S887" i="8"/>
  <c r="S769" i="8"/>
  <c r="S779" i="8"/>
  <c r="L795" i="8"/>
  <c r="H758" i="8"/>
  <c r="S758" i="8"/>
  <c r="P746" i="8"/>
  <c r="H1090" i="8"/>
  <c r="S1090" i="8"/>
  <c r="P1083" i="8"/>
  <c r="J1055" i="8"/>
  <c r="L1055" i="8" s="1"/>
  <c r="H657" i="8"/>
  <c r="H661" i="8"/>
  <c r="S654" i="8"/>
  <c r="H639" i="8"/>
  <c r="S639" i="8"/>
  <c r="H640" i="8"/>
  <c r="S640" i="8"/>
  <c r="H634" i="8"/>
  <c r="S634" i="8"/>
  <c r="H596" i="8"/>
  <c r="S596" i="8"/>
  <c r="H626" i="8"/>
  <c r="S626" i="8"/>
  <c r="S628" i="8"/>
  <c r="S601" i="8"/>
  <c r="S608" i="8"/>
  <c r="S599" i="8"/>
  <c r="H604" i="8"/>
  <c r="H597" i="8"/>
  <c r="S597" i="8"/>
  <c r="H618" i="8"/>
  <c r="H593" i="8"/>
  <c r="H1296" i="8"/>
  <c r="H1249" i="8"/>
  <c r="L1236" i="8"/>
  <c r="H1244" i="8"/>
  <c r="S1244" i="8"/>
  <c r="S1234" i="8"/>
  <c r="H1239" i="8"/>
  <c r="S1239" i="8"/>
  <c r="S1237" i="8"/>
  <c r="L1231" i="8"/>
  <c r="L1232" i="8"/>
  <c r="O1159" i="8"/>
  <c r="H1144" i="8"/>
  <c r="S1144" i="8"/>
  <c r="S1172" i="8"/>
  <c r="H1148" i="8"/>
  <c r="S1155" i="8"/>
  <c r="J1142" i="8"/>
  <c r="L1142" i="8" s="1"/>
  <c r="O1163" i="8"/>
  <c r="J1163" i="8"/>
  <c r="L1163" i="8" s="1"/>
  <c r="S1161" i="8"/>
  <c r="H1158" i="8"/>
  <c r="S1158" i="8"/>
  <c r="H1151" i="8"/>
  <c r="H1138" i="8"/>
  <c r="S1138" i="8"/>
  <c r="H1189" i="8"/>
  <c r="O1209" i="8"/>
  <c r="H1102" i="8"/>
  <c r="H1104" i="8"/>
  <c r="J1095" i="8"/>
  <c r="L1095" i="8" s="1"/>
  <c r="L689" i="8"/>
  <c r="S690" i="8"/>
  <c r="J982" i="8"/>
  <c r="L982" i="8" s="1"/>
  <c r="O851" i="8"/>
  <c r="J681" i="8"/>
  <c r="L681" i="8" s="1"/>
  <c r="S919" i="8"/>
  <c r="S918" i="8"/>
  <c r="H912" i="8"/>
  <c r="S912" i="8"/>
  <c r="H909" i="8"/>
  <c r="S904" i="8"/>
  <c r="J916" i="8"/>
  <c r="L916" i="8" s="1"/>
  <c r="L1348" i="8"/>
  <c r="L1068" i="8"/>
  <c r="S1068" i="8"/>
  <c r="H1339" i="8"/>
  <c r="S1339" i="8"/>
  <c r="H1340" i="8"/>
  <c r="S1340" i="8"/>
  <c r="H1022" i="8"/>
  <c r="S1022" i="8"/>
  <c r="H1021" i="8"/>
  <c r="S1021" i="8"/>
  <c r="H1023" i="8"/>
  <c r="S1023" i="8"/>
  <c r="H1030" i="8"/>
  <c r="S1030" i="8"/>
  <c r="H1033" i="8"/>
  <c r="S1033" i="8"/>
  <c r="H1034" i="8"/>
  <c r="S1034" i="8"/>
  <c r="P720" i="8"/>
  <c r="H837" i="8"/>
  <c r="S837" i="8"/>
  <c r="H839" i="8"/>
  <c r="S839" i="8"/>
  <c r="S872" i="8"/>
  <c r="L878" i="8"/>
  <c r="J890" i="8"/>
  <c r="L890" i="8" s="1"/>
  <c r="S898" i="8"/>
  <c r="S1188" i="8"/>
  <c r="S1190" i="8"/>
  <c r="S1185" i="8"/>
  <c r="H1193" i="8"/>
  <c r="H1201" i="8"/>
  <c r="S1207" i="8"/>
  <c r="H1209" i="8"/>
  <c r="O1218" i="8"/>
  <c r="H1210" i="8"/>
  <c r="S1210" i="8"/>
  <c r="S1206" i="8"/>
  <c r="H1212" i="8"/>
  <c r="H1214" i="8"/>
  <c r="S1214" i="8"/>
  <c r="L690" i="8"/>
  <c r="H695" i="8"/>
  <c r="L956" i="8"/>
  <c r="L946" i="8"/>
  <c r="P959" i="8"/>
  <c r="L972" i="8"/>
  <c r="L987" i="8"/>
  <c r="H989" i="8"/>
  <c r="J983" i="8"/>
  <c r="L983" i="8" s="1"/>
  <c r="H976" i="8"/>
  <c r="S992" i="8"/>
  <c r="H707" i="8"/>
  <c r="S698" i="8"/>
  <c r="J702" i="8"/>
  <c r="L702" i="8" s="1"/>
  <c r="H710" i="8"/>
  <c r="H704" i="8"/>
  <c r="H717" i="8"/>
  <c r="S724" i="8"/>
  <c r="S728" i="8"/>
  <c r="S732" i="8"/>
  <c r="H852" i="8"/>
  <c r="J857" i="8"/>
  <c r="L857" i="8" s="1"/>
  <c r="H853" i="8"/>
  <c r="H1307" i="8"/>
  <c r="P1003" i="8"/>
  <c r="S1311" i="8"/>
  <c r="P1072" i="8"/>
  <c r="P861" i="8"/>
  <c r="H876" i="8"/>
  <c r="S876" i="8"/>
  <c r="Q858" i="8"/>
  <c r="Q889" i="8"/>
  <c r="J894" i="8"/>
  <c r="L894" i="8" s="1"/>
  <c r="H1167" i="8"/>
  <c r="H1198" i="8"/>
  <c r="S1198" i="8"/>
  <c r="L1105" i="8"/>
  <c r="H1103" i="8"/>
  <c r="S1106" i="8"/>
  <c r="H1095" i="8"/>
  <c r="S947" i="8"/>
  <c r="H960" i="8"/>
  <c r="S960" i="8"/>
  <c r="S962" i="8"/>
  <c r="H967" i="8"/>
  <c r="S967" i="8"/>
  <c r="S964" i="8"/>
  <c r="H975" i="8"/>
  <c r="S975" i="8"/>
  <c r="L988" i="8"/>
  <c r="H990" i="8"/>
  <c r="H719" i="8"/>
  <c r="S719" i="8"/>
  <c r="H1008" i="8"/>
  <c r="S1008" i="8"/>
  <c r="S827" i="8"/>
  <c r="S833" i="8"/>
  <c r="H1017" i="8"/>
  <c r="S1017" i="8"/>
  <c r="O922" i="8"/>
  <c r="H920" i="8"/>
  <c r="S920" i="8"/>
  <c r="H923" i="8"/>
  <c r="S923" i="8"/>
  <c r="H926" i="8"/>
  <c r="J936" i="8"/>
  <c r="L936" i="8" s="1"/>
  <c r="H911" i="8"/>
  <c r="J909" i="8"/>
  <c r="L909" i="8" s="1"/>
  <c r="S907" i="8"/>
  <c r="S915" i="8"/>
  <c r="H916" i="8"/>
  <c r="L1311" i="8"/>
  <c r="L1313" i="8"/>
  <c r="L1349" i="8"/>
  <c r="S1349" i="8"/>
  <c r="L1347" i="8"/>
  <c r="P938" i="8"/>
  <c r="H1077" i="8"/>
  <c r="S1077" i="8"/>
  <c r="H1331" i="8"/>
  <c r="S1331" i="8"/>
  <c r="S1324" i="8"/>
  <c r="H1338" i="8"/>
  <c r="S1338" i="8"/>
  <c r="H1020" i="8"/>
  <c r="S1020" i="8"/>
  <c r="H1025" i="8"/>
  <c r="S1025" i="8"/>
  <c r="H1028" i="8"/>
  <c r="H1027" i="8"/>
  <c r="S1027" i="8"/>
  <c r="S1024" i="8"/>
  <c r="H1032" i="8"/>
  <c r="S1032" i="8"/>
  <c r="S865" i="8"/>
  <c r="H868" i="8"/>
  <c r="S868" i="8"/>
  <c r="L860" i="8"/>
  <c r="H890" i="8"/>
  <c r="J132" i="8"/>
  <c r="L132" i="8" s="1"/>
  <c r="J115" i="8"/>
  <c r="L115" i="8" s="1"/>
  <c r="H143" i="8"/>
  <c r="S142" i="8"/>
  <c r="J119" i="8"/>
  <c r="L119" i="8" s="1"/>
  <c r="L122" i="8"/>
  <c r="H84" i="8"/>
  <c r="L85" i="8"/>
  <c r="S82" i="8"/>
  <c r="H88" i="8"/>
  <c r="S88" i="8"/>
  <c r="J95" i="8"/>
  <c r="L95" i="8" s="1"/>
  <c r="L96" i="8"/>
  <c r="H91" i="8"/>
  <c r="S91" i="8"/>
  <c r="H141" i="8"/>
  <c r="L163" i="8"/>
  <c r="S165" i="8"/>
  <c r="H164" i="8"/>
  <c r="S164" i="8"/>
  <c r="J171" i="8"/>
  <c r="L171" i="8" s="1"/>
  <c r="L169" i="8"/>
  <c r="H129" i="8"/>
  <c r="S129" i="8"/>
  <c r="H126" i="8"/>
  <c r="L108" i="8"/>
  <c r="S112" i="8"/>
  <c r="H110" i="8"/>
  <c r="S110" i="8"/>
  <c r="J176" i="8"/>
  <c r="L176" i="8" s="1"/>
  <c r="H155" i="8"/>
  <c r="S155" i="8"/>
  <c r="H157" i="8"/>
  <c r="L158" i="8"/>
  <c r="S154" i="8"/>
  <c r="H148" i="8"/>
  <c r="S148" i="8"/>
  <c r="H151" i="8"/>
  <c r="S151" i="8"/>
  <c r="H100" i="8"/>
  <c r="L101" i="8"/>
  <c r="S97" i="8"/>
  <c r="H99" i="8"/>
  <c r="S99" i="8"/>
  <c r="J139" i="8"/>
  <c r="L139" i="8" s="1"/>
  <c r="L134" i="8"/>
  <c r="H194" i="8"/>
  <c r="S194" i="8"/>
  <c r="J195" i="8"/>
  <c r="L195" i="8" s="1"/>
  <c r="S191" i="8"/>
  <c r="L192" i="8"/>
  <c r="J213" i="8"/>
  <c r="L213" i="8" s="1"/>
  <c r="S214" i="8"/>
  <c r="S219" i="8"/>
  <c r="H38" i="8"/>
  <c r="S38" i="8"/>
  <c r="H40" i="8"/>
  <c r="S40" i="8"/>
  <c r="J41" i="8"/>
  <c r="L41" i="8" s="1"/>
  <c r="J48" i="8"/>
  <c r="L48" i="8" s="1"/>
  <c r="L51" i="8"/>
  <c r="H47" i="8"/>
  <c r="S73" i="8"/>
  <c r="S57" i="8"/>
  <c r="J60" i="8"/>
  <c r="L60" i="8" s="1"/>
  <c r="L67" i="8"/>
  <c r="L66" i="8"/>
  <c r="J179" i="8"/>
  <c r="L179" i="8" s="1"/>
  <c r="H11" i="8"/>
  <c r="S11" i="8"/>
  <c r="J15" i="8"/>
  <c r="L15" i="8" s="1"/>
  <c r="H338" i="8"/>
  <c r="S338" i="8"/>
  <c r="J306" i="8"/>
  <c r="L306" i="8" s="1"/>
  <c r="S306" i="8"/>
  <c r="S308" i="8"/>
  <c r="S342" i="8"/>
  <c r="J357" i="8"/>
  <c r="L357" i="8" s="1"/>
  <c r="L361" i="8"/>
  <c r="H364" i="8"/>
  <c r="J362" i="8"/>
  <c r="L362" i="8" s="1"/>
  <c r="L336" i="8"/>
  <c r="H337" i="8"/>
  <c r="S337" i="8"/>
  <c r="H329" i="8"/>
  <c r="S329" i="8"/>
  <c r="J325" i="8"/>
  <c r="L325" i="8" s="1"/>
  <c r="J323" i="8"/>
  <c r="L323" i="8" s="1"/>
  <c r="S367" i="8"/>
  <c r="H353" i="8"/>
  <c r="J319" i="8"/>
  <c r="L319" i="8" s="1"/>
  <c r="L310" i="8"/>
  <c r="J351" i="8"/>
  <c r="L351" i="8" s="1"/>
  <c r="S395" i="8"/>
  <c r="S400" i="8"/>
  <c r="S386" i="8"/>
  <c r="J393" i="8"/>
  <c r="L393" i="8" s="1"/>
  <c r="J391" i="8"/>
  <c r="L391" i="8" s="1"/>
  <c r="S391" i="8"/>
  <c r="J381" i="8"/>
  <c r="L381" i="8" s="1"/>
  <c r="J382" i="8"/>
  <c r="L382" i="8" s="1"/>
  <c r="H387" i="8"/>
  <c r="J445" i="8"/>
  <c r="L445" i="8" s="1"/>
  <c r="J500" i="8"/>
  <c r="L500" i="8" s="1"/>
  <c r="J453" i="8"/>
  <c r="L453" i="8" s="1"/>
  <c r="J456" i="8"/>
  <c r="L456" i="8" s="1"/>
  <c r="J517" i="8"/>
  <c r="L517" i="8" s="1"/>
  <c r="J471" i="8"/>
  <c r="L471" i="8" s="1"/>
  <c r="J476" i="8"/>
  <c r="L476" i="8" s="1"/>
  <c r="J521" i="8"/>
  <c r="L521" i="8" s="1"/>
  <c r="J484" i="8"/>
  <c r="L484" i="8" s="1"/>
  <c r="J494" i="8"/>
  <c r="L494" i="8" s="1"/>
  <c r="J495" i="8"/>
  <c r="L495" i="8" s="1"/>
  <c r="S535" i="8"/>
  <c r="S537" i="8"/>
  <c r="H388" i="8"/>
  <c r="S401" i="8"/>
  <c r="J402" i="8"/>
  <c r="L402" i="8" s="1"/>
  <c r="J396" i="8"/>
  <c r="L396" i="8" s="1"/>
  <c r="H376" i="8"/>
  <c r="H379" i="8"/>
  <c r="H369" i="8"/>
  <c r="H370" i="8"/>
  <c r="L372" i="8"/>
  <c r="J433" i="8"/>
  <c r="L433" i="8" s="1"/>
  <c r="S433" i="8"/>
  <c r="H446" i="8"/>
  <c r="S450" i="8"/>
  <c r="H480" i="8"/>
  <c r="S454" i="8"/>
  <c r="H459" i="8"/>
  <c r="S511" i="8"/>
  <c r="H519" i="8"/>
  <c r="S520" i="8"/>
  <c r="H487" i="8"/>
  <c r="S472" i="8"/>
  <c r="H470" i="8"/>
  <c r="S524" i="8"/>
  <c r="H496" i="8"/>
  <c r="S464" i="8"/>
  <c r="H485" i="8"/>
  <c r="S483" i="8"/>
  <c r="H493" i="8"/>
  <c r="S508" i="8"/>
  <c r="H461" i="8"/>
  <c r="S481" i="8"/>
  <c r="L529" i="8"/>
  <c r="S529" i="8"/>
  <c r="J170" i="8"/>
  <c r="L170" i="8" s="1"/>
  <c r="J106" i="8"/>
  <c r="L106" i="8" s="1"/>
  <c r="J102" i="8"/>
  <c r="L102" i="8" s="1"/>
  <c r="J136" i="8"/>
  <c r="L136" i="8" s="1"/>
  <c r="S185" i="8"/>
  <c r="S201" i="8"/>
  <c r="J208" i="8"/>
  <c r="L208" i="8" s="1"/>
  <c r="L204" i="8"/>
  <c r="J210" i="8"/>
  <c r="L210" i="8" s="1"/>
  <c r="J222" i="8"/>
  <c r="L222" i="8" s="1"/>
  <c r="S221" i="8"/>
  <c r="J64" i="8"/>
  <c r="L64" i="8" s="1"/>
  <c r="L38" i="8"/>
  <c r="L40" i="8"/>
  <c r="J43" i="8"/>
  <c r="L43" i="8" s="1"/>
  <c r="L76" i="8"/>
  <c r="J47" i="8"/>
  <c r="L47" i="8" s="1"/>
  <c r="L181" i="8"/>
  <c r="L11" i="8"/>
  <c r="J274" i="8"/>
  <c r="L274" i="8" s="1"/>
  <c r="L338" i="8"/>
  <c r="J360" i="8"/>
  <c r="L360" i="8" s="1"/>
  <c r="L363" i="8"/>
  <c r="J364" i="8"/>
  <c r="L364" i="8" s="1"/>
  <c r="S364" i="8"/>
  <c r="J353" i="8"/>
  <c r="L353" i="8" s="1"/>
  <c r="S353" i="8"/>
  <c r="H355" i="8"/>
  <c r="Q265" i="8"/>
  <c r="L193" i="8"/>
  <c r="J198" i="8"/>
  <c r="L198" i="8" s="1"/>
  <c r="P215" i="8"/>
  <c r="L68" i="8"/>
  <c r="J37" i="8"/>
  <c r="L37" i="8" s="1"/>
  <c r="S39" i="8"/>
  <c r="S43" i="8"/>
  <c r="J52" i="8"/>
  <c r="L52" i="8" s="1"/>
  <c r="L75" i="8"/>
  <c r="L45" i="8"/>
  <c r="J57" i="8"/>
  <c r="L57" i="8" s="1"/>
  <c r="L53" i="8"/>
  <c r="J54" i="8"/>
  <c r="L54" i="8" s="1"/>
  <c r="J12" i="8"/>
  <c r="L12" i="8" s="1"/>
  <c r="L4" i="8"/>
  <c r="J10" i="8"/>
  <c r="L10" i="8" s="1"/>
  <c r="S20" i="8"/>
  <c r="J271" i="8"/>
  <c r="L271" i="8" s="1"/>
  <c r="L272" i="8"/>
  <c r="J268" i="8"/>
  <c r="L268" i="8" s="1"/>
  <c r="J343" i="8"/>
  <c r="L343" i="8" s="1"/>
  <c r="L346" i="8"/>
  <c r="J332" i="8"/>
  <c r="L332" i="8" s="1"/>
  <c r="S332" i="8"/>
  <c r="J335" i="8"/>
  <c r="L335" i="8" s="1"/>
  <c r="S335" i="8"/>
  <c r="S326" i="8"/>
  <c r="J366" i="8"/>
  <c r="L366" i="8" s="1"/>
  <c r="J315" i="8"/>
  <c r="L315" i="8" s="1"/>
  <c r="L388" i="8"/>
  <c r="S405" i="8"/>
  <c r="S390" i="8"/>
  <c r="J376" i="8"/>
  <c r="L376" i="8" s="1"/>
  <c r="J379" i="8"/>
  <c r="L379" i="8" s="1"/>
  <c r="J369" i="8"/>
  <c r="L369" i="8" s="1"/>
  <c r="J370" i="8"/>
  <c r="L370" i="8" s="1"/>
  <c r="J435" i="8"/>
  <c r="L435" i="8" s="1"/>
  <c r="S435" i="8"/>
  <c r="J432" i="8"/>
  <c r="L432" i="8" s="1"/>
  <c r="S432" i="8"/>
  <c r="S532" i="8"/>
  <c r="H533" i="8"/>
  <c r="S533" i="8"/>
  <c r="S530" i="8"/>
  <c r="J534" i="8"/>
  <c r="L534" i="8" s="1"/>
  <c r="S568" i="8"/>
  <c r="J562" i="8"/>
  <c r="L562" i="8" s="1"/>
  <c r="J563" i="8"/>
  <c r="L563" i="8" s="1"/>
  <c r="J577" i="8"/>
  <c r="L577" i="8" s="1"/>
  <c r="S580" i="8"/>
  <c r="H570" i="8"/>
  <c r="S588" i="8"/>
  <c r="J589" i="8"/>
  <c r="L589" i="8" s="1"/>
  <c r="J585" i="8"/>
  <c r="L585" i="8" s="1"/>
  <c r="S238" i="8"/>
  <c r="L224" i="8"/>
  <c r="H226" i="8"/>
  <c r="S226" i="8"/>
  <c r="H228" i="8"/>
  <c r="S228" i="8"/>
  <c r="H242" i="8"/>
  <c r="H240" i="8"/>
  <c r="S240" i="8"/>
  <c r="H292" i="8"/>
  <c r="S287" i="8"/>
  <c r="H276" i="8"/>
  <c r="S277" i="8"/>
  <c r="S299" i="8"/>
  <c r="L303" i="8"/>
  <c r="H296" i="8"/>
  <c r="S296" i="8"/>
  <c r="H295" i="8"/>
  <c r="S253" i="8"/>
  <c r="H258" i="8"/>
  <c r="S258" i="8"/>
  <c r="S257" i="8"/>
  <c r="H264" i="8"/>
  <c r="P260" i="8"/>
  <c r="L261" i="8"/>
  <c r="S261" i="8"/>
  <c r="H1283" i="8"/>
  <c r="S1279" i="8"/>
  <c r="H885" i="8"/>
  <c r="J767" i="8"/>
  <c r="L767" i="8" s="1"/>
  <c r="Q791" i="8"/>
  <c r="J762" i="8"/>
  <c r="L762" i="8" s="1"/>
  <c r="S762" i="8"/>
  <c r="P759" i="8"/>
  <c r="P753" i="8"/>
  <c r="J650" i="8"/>
  <c r="L650" i="8" s="1"/>
  <c r="J657" i="8"/>
  <c r="L657" i="8" s="1"/>
  <c r="S657" i="8"/>
  <c r="J633" i="8"/>
  <c r="L633" i="8" s="1"/>
  <c r="J603" i="8"/>
  <c r="L603" i="8" s="1"/>
  <c r="L596" i="8"/>
  <c r="L599" i="8"/>
  <c r="J604" i="8"/>
  <c r="L604" i="8" s="1"/>
  <c r="H564" i="8"/>
  <c r="L567" i="8"/>
  <c r="H566" i="8"/>
  <c r="S566" i="8"/>
  <c r="L574" i="8"/>
  <c r="H576" i="8"/>
  <c r="S576" i="8"/>
  <c r="L573" i="8"/>
  <c r="P581" i="8"/>
  <c r="H587" i="8"/>
  <c r="H583" i="8"/>
  <c r="O583" i="8"/>
  <c r="H298" i="8"/>
  <c r="H302" i="8"/>
  <c r="S302" i="8"/>
  <c r="H285" i="8"/>
  <c r="S285" i="8"/>
  <c r="L282" i="8"/>
  <c r="P244" i="8"/>
  <c r="L252" i="8"/>
  <c r="H256" i="8"/>
  <c r="S264" i="8"/>
  <c r="L1276" i="8"/>
  <c r="H1277" i="8"/>
  <c r="S1277" i="8"/>
  <c r="H883" i="8"/>
  <c r="S888" i="8"/>
  <c r="P765" i="8"/>
  <c r="H773" i="8"/>
  <c r="J770" i="8"/>
  <c r="L770" i="8" s="1"/>
  <c r="L766" i="8"/>
  <c r="J779" i="8"/>
  <c r="L779" i="8" s="1"/>
  <c r="H784" i="8"/>
  <c r="P781" i="8"/>
  <c r="S785" i="8"/>
  <c r="H794" i="8"/>
  <c r="P791" i="8"/>
  <c r="P796" i="8"/>
  <c r="L801" i="8"/>
  <c r="J797" i="8"/>
  <c r="L797" i="8" s="1"/>
  <c r="H764" i="8"/>
  <c r="S764" i="8"/>
  <c r="S757" i="8"/>
  <c r="H745" i="8"/>
  <c r="J743" i="8"/>
  <c r="L743" i="8" s="1"/>
  <c r="S743" i="8"/>
  <c r="H751" i="8"/>
  <c r="S751" i="8"/>
  <c r="H748" i="8"/>
  <c r="S748" i="8"/>
  <c r="J1091" i="8"/>
  <c r="L1091" i="8" s="1"/>
  <c r="S1091" i="8"/>
  <c r="J1085" i="8"/>
  <c r="L1085" i="8" s="1"/>
  <c r="H1087" i="8"/>
  <c r="S1081" i="8"/>
  <c r="H1056" i="8"/>
  <c r="S1056" i="8"/>
  <c r="H660" i="8"/>
  <c r="S660" i="8"/>
  <c r="H651" i="8"/>
  <c r="S651" i="8"/>
  <c r="S645" i="8"/>
  <c r="S656" i="8"/>
  <c r="H654" i="8"/>
  <c r="S638" i="8"/>
  <c r="L602" i="8"/>
  <c r="O626" i="8"/>
  <c r="H630" i="8"/>
  <c r="S630" i="8"/>
  <c r="L608" i="8"/>
  <c r="H610" i="8"/>
  <c r="H616" i="8"/>
  <c r="S616" i="8"/>
  <c r="J625" i="8"/>
  <c r="L625" i="8" s="1"/>
  <c r="O1297" i="8"/>
  <c r="J1297" i="8"/>
  <c r="L1297" i="8" s="1"/>
  <c r="L238" i="8"/>
  <c r="J242" i="8"/>
  <c r="L242" i="8" s="1"/>
  <c r="J276" i="8"/>
  <c r="L276" i="8" s="1"/>
  <c r="S1289" i="8"/>
  <c r="J1293" i="8"/>
  <c r="L1293" i="8" s="1"/>
  <c r="H1293" i="8"/>
  <c r="O1292" i="8"/>
  <c r="J1292" i="8"/>
  <c r="L1292" i="8" s="1"/>
  <c r="J564" i="8"/>
  <c r="L564" i="8" s="1"/>
  <c r="S579" i="8"/>
  <c r="S584" i="8"/>
  <c r="S586" i="8"/>
  <c r="J237" i="8"/>
  <c r="L237" i="8" s="1"/>
  <c r="P223" i="8"/>
  <c r="S239" i="8"/>
  <c r="S235" i="8"/>
  <c r="L236" i="8"/>
  <c r="J232" i="8"/>
  <c r="L232" i="8" s="1"/>
  <c r="H243" i="8"/>
  <c r="H283" i="8"/>
  <c r="H277" i="8"/>
  <c r="L259" i="8"/>
  <c r="L35" i="8"/>
  <c r="H1280" i="8"/>
  <c r="S1278" i="8"/>
  <c r="J883" i="8"/>
  <c r="L883" i="8" s="1"/>
  <c r="S772" i="8"/>
  <c r="J784" i="8"/>
  <c r="L784" i="8" s="1"/>
  <c r="J794" i="8"/>
  <c r="L794" i="8" s="1"/>
  <c r="J745" i="8"/>
  <c r="L745" i="8" s="1"/>
  <c r="S1093" i="8"/>
  <c r="J1087" i="8"/>
  <c r="L1087" i="8" s="1"/>
  <c r="S1087" i="8"/>
  <c r="Q1052" i="8"/>
  <c r="J654" i="8"/>
  <c r="L654" i="8" s="1"/>
  <c r="J617" i="8"/>
  <c r="L617" i="8" s="1"/>
  <c r="J610" i="8"/>
  <c r="L610" i="8" s="1"/>
  <c r="O1257" i="8"/>
  <c r="J1257" i="8"/>
  <c r="L1257" i="8" s="1"/>
  <c r="O829" i="8"/>
  <c r="J829" i="8"/>
  <c r="L829" i="8" s="1"/>
  <c r="J1018" i="8"/>
  <c r="L1018" i="8" s="1"/>
  <c r="O1018" i="8"/>
  <c r="O1014" i="8" s="1"/>
  <c r="O908" i="8"/>
  <c r="J908" i="8"/>
  <c r="L908" i="8" s="1"/>
  <c r="S620" i="8"/>
  <c r="S1286" i="8"/>
  <c r="S1296" i="8"/>
  <c r="H1255" i="8"/>
  <c r="S1255" i="8"/>
  <c r="J1259" i="8"/>
  <c r="L1259" i="8" s="1"/>
  <c r="H1254" i="8"/>
  <c r="S1254" i="8"/>
  <c r="L1234" i="8"/>
  <c r="Q1220" i="8"/>
  <c r="J1226" i="8"/>
  <c r="L1226" i="8" s="1"/>
  <c r="P1112" i="8"/>
  <c r="S1116" i="8"/>
  <c r="H1119" i="8"/>
  <c r="J1120" i="8"/>
  <c r="L1120" i="8" s="1"/>
  <c r="S1114" i="8"/>
  <c r="H1136" i="8"/>
  <c r="J1123" i="8"/>
  <c r="L1123" i="8" s="1"/>
  <c r="S1121" i="8"/>
  <c r="H1132" i="8"/>
  <c r="S1142" i="8"/>
  <c r="S1153" i="8"/>
  <c r="S1167" i="8"/>
  <c r="S1146" i="8"/>
  <c r="J1187" i="8"/>
  <c r="L1187" i="8" s="1"/>
  <c r="S1187" i="8"/>
  <c r="S1186" i="8"/>
  <c r="H1191" i="8"/>
  <c r="S1107" i="8"/>
  <c r="J1096" i="8"/>
  <c r="L1096" i="8" s="1"/>
  <c r="J950" i="8"/>
  <c r="L950" i="8" s="1"/>
  <c r="S956" i="8"/>
  <c r="S957" i="8"/>
  <c r="S961" i="8"/>
  <c r="S973" i="8"/>
  <c r="J985" i="8"/>
  <c r="L985" i="8" s="1"/>
  <c r="J980" i="8"/>
  <c r="L980" i="8" s="1"/>
  <c r="J976" i="8"/>
  <c r="L976" i="8" s="1"/>
  <c r="S976" i="8"/>
  <c r="H706" i="8"/>
  <c r="S706" i="8"/>
  <c r="H714" i="8"/>
  <c r="H715" i="8"/>
  <c r="S715" i="8"/>
  <c r="J727" i="8"/>
  <c r="L727" i="8" s="1"/>
  <c r="H850" i="8"/>
  <c r="P1299" i="8"/>
  <c r="H1300" i="8"/>
  <c r="S1300" i="8"/>
  <c r="H1302" i="8"/>
  <c r="H677" i="8"/>
  <c r="S677" i="8"/>
  <c r="J1002" i="8"/>
  <c r="L1002" i="8" s="1"/>
  <c r="O1002" i="8"/>
  <c r="S1294" i="8"/>
  <c r="L1296" i="8"/>
  <c r="S1224" i="8"/>
  <c r="L1116" i="8"/>
  <c r="S1134" i="8"/>
  <c r="P1137" i="8"/>
  <c r="J1158" i="8"/>
  <c r="L1158" i="8" s="1"/>
  <c r="J1212" i="8"/>
  <c r="L1212" i="8" s="1"/>
  <c r="S1212" i="8"/>
  <c r="S1102" i="8"/>
  <c r="J1103" i="8"/>
  <c r="L1103" i="8" s="1"/>
  <c r="O1094" i="8"/>
  <c r="J692" i="8"/>
  <c r="L692" i="8" s="1"/>
  <c r="J951" i="8"/>
  <c r="L951" i="8" s="1"/>
  <c r="S949" i="8"/>
  <c r="S968" i="8"/>
  <c r="J979" i="8"/>
  <c r="L979" i="8" s="1"/>
  <c r="J977" i="8"/>
  <c r="L977" i="8" s="1"/>
  <c r="Q991" i="8"/>
  <c r="P713" i="8"/>
  <c r="P849" i="8"/>
  <c r="J682" i="8"/>
  <c r="L682" i="8" s="1"/>
  <c r="S682" i="8"/>
  <c r="Q818" i="8"/>
  <c r="J1000" i="8"/>
  <c r="L1000" i="8" s="1"/>
  <c r="J919" i="8"/>
  <c r="L919" i="8" s="1"/>
  <c r="O919" i="8"/>
  <c r="L597" i="8"/>
  <c r="H625" i="8"/>
  <c r="H624" i="8"/>
  <c r="S624" i="8"/>
  <c r="S615" i="8"/>
  <c r="J614" i="8"/>
  <c r="L614" i="8" s="1"/>
  <c r="J594" i="8"/>
  <c r="L594" i="8" s="1"/>
  <c r="H1288" i="8"/>
  <c r="S1288" i="8"/>
  <c r="H1292" i="8"/>
  <c r="H1297" i="8"/>
  <c r="H1253" i="8"/>
  <c r="J1251" i="8"/>
  <c r="L1251" i="8" s="1"/>
  <c r="H1260" i="8"/>
  <c r="S1260" i="8"/>
  <c r="H1235" i="8"/>
  <c r="S1241" i="8"/>
  <c r="S1231" i="8"/>
  <c r="H1226" i="8"/>
  <c r="J1229" i="8"/>
  <c r="L1229" i="8" s="1"/>
  <c r="J1119" i="8"/>
  <c r="L1119" i="8" s="1"/>
  <c r="S1117" i="8"/>
  <c r="H1120" i="8"/>
  <c r="J1136" i="8"/>
  <c r="L1136" i="8" s="1"/>
  <c r="S1113" i="8"/>
  <c r="H1123" i="8"/>
  <c r="J1132" i="8"/>
  <c r="L1132" i="8" s="1"/>
  <c r="L1159" i="8"/>
  <c r="S1148" i="8"/>
  <c r="S1166" i="8"/>
  <c r="S1173" i="8"/>
  <c r="H1170" i="8"/>
  <c r="S1170" i="8"/>
  <c r="H1140" i="8"/>
  <c r="S1140" i="8"/>
  <c r="H1187" i="8"/>
  <c r="H1197" i="8"/>
  <c r="S1197" i="8"/>
  <c r="S1193" i="8"/>
  <c r="S1199" i="8"/>
  <c r="S1201" i="8"/>
  <c r="S1194" i="8"/>
  <c r="J1213" i="8"/>
  <c r="L1213" i="8" s="1"/>
  <c r="J1215" i="8"/>
  <c r="L1215" i="8" s="1"/>
  <c r="S1215" i="8"/>
  <c r="L1218" i="8"/>
  <c r="J1214" i="8"/>
  <c r="L1214" i="8" s="1"/>
  <c r="J1100" i="8"/>
  <c r="L1100" i="8" s="1"/>
  <c r="S1110" i="8"/>
  <c r="S1111" i="8"/>
  <c r="S694" i="8"/>
  <c r="J691" i="8"/>
  <c r="L691" i="8" s="1"/>
  <c r="S695" i="8"/>
  <c r="H950" i="8"/>
  <c r="S952" i="8"/>
  <c r="L953" i="8"/>
  <c r="H958" i="8"/>
  <c r="S958" i="8"/>
  <c r="S966" i="8"/>
  <c r="L964" i="8"/>
  <c r="H963" i="8"/>
  <c r="S963" i="8"/>
  <c r="S970" i="8"/>
  <c r="L986" i="8"/>
  <c r="H985" i="8"/>
  <c r="J989" i="8"/>
  <c r="L989" i="8" s="1"/>
  <c r="L981" i="8"/>
  <c r="H980" i="8"/>
  <c r="L990" i="8"/>
  <c r="P991" i="8"/>
  <c r="L709" i="8"/>
  <c r="S708" i="8"/>
  <c r="S717" i="8"/>
  <c r="S716" i="8"/>
  <c r="S726" i="8"/>
  <c r="J850" i="8"/>
  <c r="L850" i="8" s="1"/>
  <c r="S1309" i="8"/>
  <c r="H1303" i="8"/>
  <c r="S1303" i="8"/>
  <c r="L1302" i="8"/>
  <c r="S681" i="8"/>
  <c r="J683" i="8"/>
  <c r="L683" i="8" s="1"/>
  <c r="H1007" i="8"/>
  <c r="S1007" i="8"/>
  <c r="J827" i="8"/>
  <c r="L827" i="8" s="1"/>
  <c r="H829" i="8"/>
  <c r="H927" i="8"/>
  <c r="H877" i="8"/>
  <c r="H1047" i="8"/>
  <c r="S1047" i="8"/>
  <c r="S1049" i="8"/>
  <c r="H1051" i="8"/>
  <c r="S1051" i="8"/>
  <c r="L859" i="8"/>
  <c r="H893" i="8"/>
  <c r="S893" i="8"/>
  <c r="H900" i="8"/>
  <c r="L921" i="8"/>
  <c r="P910" i="8"/>
  <c r="S903" i="8"/>
  <c r="J1314" i="8"/>
  <c r="L1314" i="8" s="1"/>
  <c r="Q1342" i="8"/>
  <c r="J1350" i="8"/>
  <c r="L1350" i="8" s="1"/>
  <c r="S944" i="8"/>
  <c r="J1071" i="8"/>
  <c r="L1071" i="8" s="1"/>
  <c r="L869" i="8"/>
  <c r="S829" i="8"/>
  <c r="H832" i="8"/>
  <c r="S832" i="8"/>
  <c r="H1356" i="8"/>
  <c r="S1356" i="8"/>
  <c r="Q917" i="8"/>
  <c r="P933" i="8"/>
  <c r="J1315" i="8"/>
  <c r="L1315" i="8" s="1"/>
  <c r="J1318" i="8"/>
  <c r="L1318" i="8" s="1"/>
  <c r="S1347" i="8"/>
  <c r="J1066" i="8"/>
  <c r="L1066" i="8" s="1"/>
  <c r="L1073" i="8"/>
  <c r="P1319" i="8"/>
  <c r="J1028" i="8"/>
  <c r="L1028" i="8" s="1"/>
  <c r="O1042" i="8"/>
  <c r="L840" i="8"/>
  <c r="S1044" i="8"/>
  <c r="L1047" i="8"/>
  <c r="S890" i="8"/>
  <c r="S899" i="8"/>
  <c r="S831" i="8"/>
  <c r="P1353" i="8"/>
  <c r="H1000" i="8"/>
  <c r="H999" i="8"/>
  <c r="S999" i="8"/>
  <c r="H1018" i="8"/>
  <c r="H921" i="8"/>
  <c r="H919" i="8"/>
  <c r="Q925" i="8"/>
  <c r="H935" i="8"/>
  <c r="J911" i="8"/>
  <c r="L911" i="8" s="1"/>
  <c r="S902" i="8"/>
  <c r="L915" i="8"/>
  <c r="S1316" i="8"/>
  <c r="S1317" i="8"/>
  <c r="J1346" i="8"/>
  <c r="L1346" i="8" s="1"/>
  <c r="S1345" i="8"/>
  <c r="H1350" i="8"/>
  <c r="S939" i="8"/>
  <c r="J941" i="8"/>
  <c r="L941" i="8" s="1"/>
  <c r="H1068" i="8"/>
  <c r="O1073" i="8"/>
  <c r="J1330" i="8"/>
  <c r="L1330" i="8" s="1"/>
  <c r="S1326" i="8"/>
  <c r="H1320" i="8"/>
  <c r="S1320" i="8"/>
  <c r="H1026" i="8"/>
  <c r="S1026" i="8"/>
  <c r="H1031" i="8"/>
  <c r="S1031" i="8"/>
  <c r="H1038" i="8"/>
  <c r="J722" i="8"/>
  <c r="L722" i="8" s="1"/>
  <c r="H838" i="8"/>
  <c r="S838" i="8"/>
  <c r="O840" i="8"/>
  <c r="H841" i="8"/>
  <c r="S841" i="8"/>
  <c r="Q861" i="8"/>
  <c r="H869" i="8"/>
  <c r="S869" i="8"/>
  <c r="S867" i="8"/>
  <c r="H874" i="8"/>
  <c r="S874" i="8"/>
  <c r="H878" i="8"/>
  <c r="S878" i="8"/>
  <c r="S879" i="8"/>
  <c r="H881" i="8"/>
  <c r="S881" i="8"/>
  <c r="H1045" i="8"/>
  <c r="Q1261" i="8"/>
  <c r="L892" i="8"/>
  <c r="H894" i="8"/>
  <c r="H147" i="8"/>
  <c r="S147" i="8"/>
  <c r="H132" i="8"/>
  <c r="S119" i="8"/>
  <c r="H128" i="8"/>
  <c r="S128" i="8"/>
  <c r="H86" i="8"/>
  <c r="S86" i="8"/>
  <c r="L88" i="8"/>
  <c r="H115" i="8"/>
  <c r="S95" i="8"/>
  <c r="H90" i="8"/>
  <c r="S90" i="8"/>
  <c r="J91" i="8"/>
  <c r="L91" i="8" s="1"/>
  <c r="H166" i="8"/>
  <c r="S166" i="8"/>
  <c r="L164" i="8"/>
  <c r="H170" i="8"/>
  <c r="S171" i="8"/>
  <c r="H125" i="8"/>
  <c r="S125" i="8"/>
  <c r="J129" i="8"/>
  <c r="L129" i="8" s="1"/>
  <c r="H109" i="8"/>
  <c r="S109" i="8"/>
  <c r="L110" i="8"/>
  <c r="H106" i="8"/>
  <c r="S176" i="8"/>
  <c r="J155" i="8"/>
  <c r="L155" i="8" s="1"/>
  <c r="H140" i="8"/>
  <c r="S140" i="8"/>
  <c r="L148" i="8"/>
  <c r="H102" i="8"/>
  <c r="H114" i="8"/>
  <c r="S114" i="8"/>
  <c r="J151" i="8"/>
  <c r="L151" i="8" s="1"/>
  <c r="H98" i="8"/>
  <c r="S98" i="8"/>
  <c r="L99" i="8"/>
  <c r="H136" i="8"/>
  <c r="S139" i="8"/>
  <c r="H152" i="8"/>
  <c r="S152" i="8"/>
  <c r="H195" i="8"/>
  <c r="H186" i="8"/>
  <c r="S186" i="8"/>
  <c r="J187" i="8"/>
  <c r="L187" i="8" s="1"/>
  <c r="H199" i="8"/>
  <c r="S199" i="8"/>
  <c r="L197" i="8"/>
  <c r="H198" i="8"/>
  <c r="H208" i="8"/>
  <c r="P202" i="8"/>
  <c r="S213" i="8"/>
  <c r="H210" i="8"/>
  <c r="H222" i="8"/>
  <c r="J221" i="8"/>
  <c r="L221" i="8" s="1"/>
  <c r="P36" i="8"/>
  <c r="S69" i="8"/>
  <c r="H37" i="8"/>
  <c r="J39" i="8"/>
  <c r="L39" i="8" s="1"/>
  <c r="H42" i="8"/>
  <c r="S42" i="8"/>
  <c r="H44" i="8"/>
  <c r="S44" i="8"/>
  <c r="J78" i="8"/>
  <c r="L78" i="8" s="1"/>
  <c r="S47" i="8"/>
  <c r="H62" i="8"/>
  <c r="S62" i="8"/>
  <c r="H63" i="8"/>
  <c r="S63" i="8"/>
  <c r="J55" i="8"/>
  <c r="L55" i="8" s="1"/>
  <c r="S54" i="8"/>
  <c r="H72" i="8"/>
  <c r="J71" i="8"/>
  <c r="L71" i="8" s="1"/>
  <c r="P178" i="8"/>
  <c r="S179" i="8"/>
  <c r="H10" i="8"/>
  <c r="J20" i="8"/>
  <c r="L20" i="8" s="1"/>
  <c r="J16" i="8"/>
  <c r="L16" i="8" s="1"/>
  <c r="S266" i="8"/>
  <c r="S274" i="8"/>
  <c r="H268" i="8"/>
  <c r="H305" i="8"/>
  <c r="S305" i="8"/>
  <c r="J308" i="8"/>
  <c r="L308" i="8" s="1"/>
  <c r="J307" i="8"/>
  <c r="L307" i="8" s="1"/>
  <c r="H358" i="8"/>
  <c r="S358" i="8"/>
  <c r="H336" i="8"/>
  <c r="S336" i="8"/>
  <c r="J326" i="8"/>
  <c r="L326" i="8" s="1"/>
  <c r="J327" i="8"/>
  <c r="L327" i="8" s="1"/>
  <c r="J367" i="8"/>
  <c r="L367" i="8" s="1"/>
  <c r="J350" i="8"/>
  <c r="L350" i="8" s="1"/>
  <c r="S350" i="8"/>
  <c r="H311" i="8"/>
  <c r="S351" i="8"/>
  <c r="O397" i="8"/>
  <c r="J397" i="8"/>
  <c r="L397" i="8" s="1"/>
  <c r="O378" i="8"/>
  <c r="J378" i="8"/>
  <c r="L378" i="8" s="1"/>
  <c r="L143" i="8"/>
  <c r="H142" i="8"/>
  <c r="S132" i="8"/>
  <c r="H127" i="8"/>
  <c r="S127" i="8"/>
  <c r="H122" i="8"/>
  <c r="H81" i="8"/>
  <c r="S81" i="8"/>
  <c r="L84" i="8"/>
  <c r="H82" i="8"/>
  <c r="S115" i="8"/>
  <c r="H94" i="8"/>
  <c r="S94" i="8"/>
  <c r="H96" i="8"/>
  <c r="H159" i="8"/>
  <c r="S159" i="8"/>
  <c r="L141" i="8"/>
  <c r="H165" i="8"/>
  <c r="S170" i="8"/>
  <c r="H160" i="8"/>
  <c r="S160" i="8"/>
  <c r="H169" i="8"/>
  <c r="H124" i="8"/>
  <c r="S124" i="8"/>
  <c r="L126" i="8"/>
  <c r="H112" i="8"/>
  <c r="S106" i="8"/>
  <c r="H113" i="8"/>
  <c r="S113" i="8"/>
  <c r="H156" i="8"/>
  <c r="S156" i="8"/>
  <c r="L157" i="8"/>
  <c r="H154" i="8"/>
  <c r="S102" i="8"/>
  <c r="H123" i="8"/>
  <c r="S123" i="8"/>
  <c r="H133" i="8"/>
  <c r="S133" i="8"/>
  <c r="L100" i="8"/>
  <c r="H97" i="8"/>
  <c r="S136" i="8"/>
  <c r="H138" i="8"/>
  <c r="S138" i="8"/>
  <c r="H134" i="8"/>
  <c r="H192" i="8"/>
  <c r="S192" i="8"/>
  <c r="H185" i="8"/>
  <c r="H200" i="8"/>
  <c r="S200" i="8"/>
  <c r="L201" i="8"/>
  <c r="H189" i="8"/>
  <c r="S198" i="8"/>
  <c r="S208" i="8"/>
  <c r="H204" i="8"/>
  <c r="S204" i="8"/>
  <c r="H214" i="8"/>
  <c r="S210" i="8"/>
  <c r="H219" i="8"/>
  <c r="S222" i="8"/>
  <c r="H68" i="8"/>
  <c r="S68" i="8"/>
  <c r="H64" i="8"/>
  <c r="S37" i="8"/>
  <c r="H41" i="8"/>
  <c r="H76" i="8"/>
  <c r="S76" i="8"/>
  <c r="H51" i="8"/>
  <c r="S51" i="8"/>
  <c r="H52" i="8"/>
  <c r="H74" i="8"/>
  <c r="H53" i="8"/>
  <c r="S53" i="8"/>
  <c r="H58" i="8"/>
  <c r="S58" i="8"/>
  <c r="H60" i="8"/>
  <c r="S72" i="8"/>
  <c r="H181" i="8"/>
  <c r="S181" i="8"/>
  <c r="H14" i="8"/>
  <c r="S14" i="8"/>
  <c r="H4" i="8"/>
  <c r="S4" i="8"/>
  <c r="S10" i="8"/>
  <c r="H15" i="8"/>
  <c r="P265" i="8"/>
  <c r="H272" i="8"/>
  <c r="S272" i="8"/>
  <c r="H274" i="8"/>
  <c r="S268" i="8"/>
  <c r="H343" i="8"/>
  <c r="P304" i="8"/>
  <c r="H346" i="8"/>
  <c r="Q304" i="8"/>
  <c r="H339" i="8"/>
  <c r="S339" i="8"/>
  <c r="H342" i="8"/>
  <c r="H360" i="8"/>
  <c r="H363" i="8"/>
  <c r="S363" i="8"/>
  <c r="H361" i="8"/>
  <c r="S361" i="8"/>
  <c r="H325" i="8"/>
  <c r="H330" i="8"/>
  <c r="H323" i="8"/>
  <c r="S355" i="8"/>
  <c r="H366" i="8"/>
  <c r="H322" i="8"/>
  <c r="S322" i="8"/>
  <c r="H315" i="8"/>
  <c r="S320" i="8"/>
  <c r="O311" i="8"/>
  <c r="J311" i="8"/>
  <c r="L311" i="8" s="1"/>
  <c r="S314" i="8"/>
  <c r="P368" i="8"/>
  <c r="S388" i="8"/>
  <c r="Q368" i="8"/>
  <c r="S396" i="8"/>
  <c r="O404" i="8"/>
  <c r="J404" i="8"/>
  <c r="L404" i="8" s="1"/>
  <c r="L185" i="8"/>
  <c r="H212" i="8"/>
  <c r="S212" i="8"/>
  <c r="H220" i="8"/>
  <c r="S220" i="8"/>
  <c r="H216" i="8"/>
  <c r="S216" i="8"/>
  <c r="H221" i="8"/>
  <c r="H70" i="8"/>
  <c r="S70" i="8"/>
  <c r="H65" i="8"/>
  <c r="S65" i="8"/>
  <c r="H39" i="8"/>
  <c r="S41" i="8"/>
  <c r="H78" i="8"/>
  <c r="H46" i="8"/>
  <c r="S46" i="8"/>
  <c r="H79" i="8"/>
  <c r="S79" i="8"/>
  <c r="H73" i="8"/>
  <c r="S74" i="8"/>
  <c r="H55" i="8"/>
  <c r="H56" i="8"/>
  <c r="S56" i="8"/>
  <c r="H59" i="8"/>
  <c r="S59" i="8"/>
  <c r="H71" i="8"/>
  <c r="H182" i="8"/>
  <c r="S182" i="8"/>
  <c r="H19" i="8"/>
  <c r="S19" i="8"/>
  <c r="H20" i="8"/>
  <c r="H16" i="8"/>
  <c r="H8" i="8"/>
  <c r="S8" i="8"/>
  <c r="H267" i="8"/>
  <c r="S267" i="8"/>
  <c r="H269" i="8"/>
  <c r="S269" i="8"/>
  <c r="H308" i="8"/>
  <c r="H307" i="8"/>
  <c r="H356" i="8"/>
  <c r="S356" i="8"/>
  <c r="H359" i="8"/>
  <c r="S359" i="8"/>
  <c r="H326" i="8"/>
  <c r="H327" i="8"/>
  <c r="H328" i="8"/>
  <c r="S328" i="8"/>
  <c r="H324" i="8"/>
  <c r="S324" i="8"/>
  <c r="H367" i="8"/>
  <c r="O355" i="8"/>
  <c r="J355" i="8"/>
  <c r="L355" i="8" s="1"/>
  <c r="H350" i="8"/>
  <c r="H349" i="8"/>
  <c r="S315" i="8"/>
  <c r="H394" i="8"/>
  <c r="O385" i="8"/>
  <c r="J385" i="8"/>
  <c r="L385" i="8" s="1"/>
  <c r="S392" i="8"/>
  <c r="J142" i="8"/>
  <c r="L142" i="8" s="1"/>
  <c r="J82" i="8"/>
  <c r="L82" i="8" s="1"/>
  <c r="J165" i="8"/>
  <c r="L165" i="8" s="1"/>
  <c r="J112" i="8"/>
  <c r="L112" i="8" s="1"/>
  <c r="J154" i="8"/>
  <c r="L154" i="8" s="1"/>
  <c r="J97" i="8"/>
  <c r="L97" i="8" s="1"/>
  <c r="L200" i="8"/>
  <c r="J189" i="8"/>
  <c r="L189" i="8" s="1"/>
  <c r="O394" i="8"/>
  <c r="J394" i="8"/>
  <c r="L394" i="8" s="1"/>
  <c r="O442" i="8"/>
  <c r="J442" i="8"/>
  <c r="L442" i="8" s="1"/>
  <c r="H341" i="8"/>
  <c r="S341" i="8"/>
  <c r="S402" i="8"/>
  <c r="S385" i="8"/>
  <c r="S393" i="8"/>
  <c r="S404" i="8"/>
  <c r="S376" i="8"/>
  <c r="S378" i="8"/>
  <c r="S387" i="8"/>
  <c r="L436" i="8"/>
  <c r="H430" i="8"/>
  <c r="J440" i="8"/>
  <c r="L440" i="8" s="1"/>
  <c r="L437" i="8"/>
  <c r="S437" i="8"/>
  <c r="H438" i="8"/>
  <c r="H447" i="8"/>
  <c r="S445" i="8"/>
  <c r="J450" i="8"/>
  <c r="L450" i="8" s="1"/>
  <c r="J449" i="8"/>
  <c r="L449" i="8" s="1"/>
  <c r="L448" i="8"/>
  <c r="S448" i="8"/>
  <c r="S500" i="8"/>
  <c r="J492" i="8"/>
  <c r="L492" i="8" s="1"/>
  <c r="L466" i="8"/>
  <c r="S466" i="8"/>
  <c r="H479" i="8"/>
  <c r="S453" i="8"/>
  <c r="J454" i="8"/>
  <c r="L454" i="8" s="1"/>
  <c r="J477" i="8"/>
  <c r="L477" i="8" s="1"/>
  <c r="L478" i="8"/>
  <c r="S478" i="8"/>
  <c r="H458" i="8"/>
  <c r="S456" i="8"/>
  <c r="J511" i="8"/>
  <c r="L511" i="8" s="1"/>
  <c r="J497" i="8"/>
  <c r="L497" i="8" s="1"/>
  <c r="L514" i="8"/>
  <c r="S514" i="8"/>
  <c r="H516" i="8"/>
  <c r="S517" i="8"/>
  <c r="J520" i="8"/>
  <c r="L520" i="8" s="1"/>
  <c r="J513" i="8"/>
  <c r="L513" i="8" s="1"/>
  <c r="L518" i="8"/>
  <c r="S518" i="8"/>
  <c r="H491" i="8"/>
  <c r="S471" i="8"/>
  <c r="J472" i="8"/>
  <c r="L472" i="8" s="1"/>
  <c r="J475" i="8"/>
  <c r="L475" i="8" s="1"/>
  <c r="L473" i="8"/>
  <c r="S473" i="8"/>
  <c r="H469" i="8"/>
  <c r="S476" i="8"/>
  <c r="J524" i="8"/>
  <c r="L524" i="8" s="1"/>
  <c r="J498" i="8"/>
  <c r="L498" i="8" s="1"/>
  <c r="L509" i="8"/>
  <c r="S509" i="8"/>
  <c r="H507" i="8"/>
  <c r="S521" i="8"/>
  <c r="J464" i="8"/>
  <c r="L464" i="8" s="1"/>
  <c r="S484" i="8"/>
  <c r="J483" i="8"/>
  <c r="L483" i="8" s="1"/>
  <c r="J486" i="8"/>
  <c r="L486" i="8" s="1"/>
  <c r="L482" i="8"/>
  <c r="S482" i="8"/>
  <c r="H502" i="8"/>
  <c r="S494" i="8"/>
  <c r="J508" i="8"/>
  <c r="L508" i="8" s="1"/>
  <c r="J523" i="8"/>
  <c r="L523" i="8" s="1"/>
  <c r="L462" i="8"/>
  <c r="S462" i="8"/>
  <c r="H460" i="8"/>
  <c r="S495" i="8"/>
  <c r="J481" i="8"/>
  <c r="L481" i="8" s="1"/>
  <c r="J506" i="8"/>
  <c r="L506" i="8" s="1"/>
  <c r="J537" i="8"/>
  <c r="L537" i="8" s="1"/>
  <c r="J526" i="8"/>
  <c r="L526" i="8" s="1"/>
  <c r="J530" i="8"/>
  <c r="L530" i="8" s="1"/>
  <c r="O568" i="8"/>
  <c r="J568" i="8"/>
  <c r="L568" i="8" s="1"/>
  <c r="O588" i="8"/>
  <c r="J588" i="8"/>
  <c r="L588" i="8" s="1"/>
  <c r="P429" i="8"/>
  <c r="P569" i="8"/>
  <c r="L352" i="8"/>
  <c r="L349" i="8"/>
  <c r="H318" i="8"/>
  <c r="S318" i="8"/>
  <c r="H321" i="8"/>
  <c r="S321" i="8"/>
  <c r="J314" i="8"/>
  <c r="L314" i="8" s="1"/>
  <c r="L341" i="8"/>
  <c r="H398" i="8"/>
  <c r="S398" i="8"/>
  <c r="J399" i="8"/>
  <c r="L399" i="8" s="1"/>
  <c r="S399" i="8"/>
  <c r="S384" i="8"/>
  <c r="S381" i="8"/>
  <c r="J374" i="8"/>
  <c r="L374" i="8" s="1"/>
  <c r="S374" i="8"/>
  <c r="S369" i="8"/>
  <c r="J373" i="8"/>
  <c r="L373" i="8" s="1"/>
  <c r="S373" i="8"/>
  <c r="J430" i="8"/>
  <c r="L430" i="8" s="1"/>
  <c r="J431" i="8"/>
  <c r="L431" i="8" s="1"/>
  <c r="L441" i="8"/>
  <c r="S441" i="8"/>
  <c r="H442" i="8"/>
  <c r="J438" i="8"/>
  <c r="L438" i="8" s="1"/>
  <c r="J447" i="8"/>
  <c r="L447" i="8" s="1"/>
  <c r="J446" i="8"/>
  <c r="L446" i="8" s="1"/>
  <c r="L444" i="8"/>
  <c r="S444" i="8"/>
  <c r="H450" i="8"/>
  <c r="L499" i="8"/>
  <c r="S465" i="8"/>
  <c r="J479" i="8"/>
  <c r="L479" i="8" s="1"/>
  <c r="J480" i="8"/>
  <c r="L480" i="8" s="1"/>
  <c r="L452" i="8"/>
  <c r="S452" i="8"/>
  <c r="H454" i="8"/>
  <c r="S457" i="8"/>
  <c r="J458" i="8"/>
  <c r="L458" i="8" s="1"/>
  <c r="J459" i="8"/>
  <c r="L459" i="8" s="1"/>
  <c r="L455" i="8"/>
  <c r="S455" i="8"/>
  <c r="H511" i="8"/>
  <c r="S515" i="8"/>
  <c r="J516" i="8"/>
  <c r="L516" i="8" s="1"/>
  <c r="J519" i="8"/>
  <c r="L519" i="8" s="1"/>
  <c r="L512" i="8"/>
  <c r="S512" i="8"/>
  <c r="H520" i="8"/>
  <c r="S488" i="8"/>
  <c r="J491" i="8"/>
  <c r="L491" i="8" s="1"/>
  <c r="J487" i="8"/>
  <c r="L487" i="8" s="1"/>
  <c r="L489" i="8"/>
  <c r="S489" i="8"/>
  <c r="H472" i="8"/>
  <c r="S474" i="8"/>
  <c r="J469" i="8"/>
  <c r="L469" i="8" s="1"/>
  <c r="J470" i="8"/>
  <c r="L470" i="8" s="1"/>
  <c r="L467" i="8"/>
  <c r="S467" i="8"/>
  <c r="H524" i="8"/>
  <c r="S510" i="8"/>
  <c r="J507" i="8"/>
  <c r="L507" i="8" s="1"/>
  <c r="J496" i="8"/>
  <c r="L496" i="8" s="1"/>
  <c r="L503" i="8"/>
  <c r="S503" i="8"/>
  <c r="H464" i="8"/>
  <c r="J485" i="8"/>
  <c r="L485" i="8" s="1"/>
  <c r="L490" i="8"/>
  <c r="S490" i="8"/>
  <c r="H483" i="8"/>
  <c r="S501" i="8"/>
  <c r="J502" i="8"/>
  <c r="L502" i="8" s="1"/>
  <c r="J493" i="8"/>
  <c r="L493" i="8" s="1"/>
  <c r="L505" i="8"/>
  <c r="S505" i="8"/>
  <c r="H508" i="8"/>
  <c r="S463" i="8"/>
  <c r="J460" i="8"/>
  <c r="L460" i="8" s="1"/>
  <c r="J461" i="8"/>
  <c r="L461" i="8" s="1"/>
  <c r="L504" i="8"/>
  <c r="S504" i="8"/>
  <c r="H481" i="8"/>
  <c r="H537" i="8"/>
  <c r="P525" i="8"/>
  <c r="S536" i="8"/>
  <c r="H526" i="8"/>
  <c r="S527" i="8"/>
  <c r="H530" i="8"/>
  <c r="S534" i="8"/>
  <c r="P1274" i="8"/>
  <c r="S1283" i="8"/>
  <c r="S1276" i="8"/>
  <c r="P882" i="8"/>
  <c r="Q882" i="8"/>
  <c r="S886" i="8"/>
  <c r="S770" i="8"/>
  <c r="S766" i="8"/>
  <c r="H779" i="8"/>
  <c r="H778" i="8"/>
  <c r="J780" i="8"/>
  <c r="L780" i="8" s="1"/>
  <c r="L785" i="8"/>
  <c r="H786" i="8"/>
  <c r="S795" i="8"/>
  <c r="S797" i="8"/>
  <c r="H757" i="8"/>
  <c r="H752" i="8"/>
  <c r="J1093" i="8"/>
  <c r="L1093" i="8" s="1"/>
  <c r="H1088" i="8"/>
  <c r="H1084" i="8"/>
  <c r="Q1083" i="8"/>
  <c r="H1086" i="8"/>
  <c r="S1086" i="8"/>
  <c r="P1052" i="8"/>
  <c r="H1053" i="8"/>
  <c r="S1053" i="8"/>
  <c r="P643" i="8"/>
  <c r="H646" i="8"/>
  <c r="S646" i="8"/>
  <c r="H653" i="8"/>
  <c r="S653" i="8"/>
  <c r="J661" i="8"/>
  <c r="L661" i="8" s="1"/>
  <c r="J651" i="8"/>
  <c r="L651" i="8" s="1"/>
  <c r="J638" i="8"/>
  <c r="L638" i="8" s="1"/>
  <c r="H633" i="8"/>
  <c r="H599" i="8"/>
  <c r="J624" i="8"/>
  <c r="L624" i="8" s="1"/>
  <c r="H622" i="8"/>
  <c r="J1289" i="8"/>
  <c r="L1289" i="8" s="1"/>
  <c r="H1289" i="8"/>
  <c r="Q1291" i="8"/>
  <c r="S1293" i="8"/>
  <c r="Q1246" i="8"/>
  <c r="J234" i="8"/>
  <c r="L234" i="8" s="1"/>
  <c r="J235" i="8"/>
  <c r="L235" i="8" s="1"/>
  <c r="J228" i="8"/>
  <c r="L228" i="8" s="1"/>
  <c r="L231" i="8"/>
  <c r="J289" i="8"/>
  <c r="L289" i="8" s="1"/>
  <c r="J283" i="8"/>
  <c r="L283" i="8" s="1"/>
  <c r="S283" i="8"/>
  <c r="S279" i="8"/>
  <c r="H284" i="8"/>
  <c r="J286" i="8"/>
  <c r="L286" i="8" s="1"/>
  <c r="J285" i="8"/>
  <c r="L285" i="8" s="1"/>
  <c r="S303" i="8"/>
  <c r="S281" i="8"/>
  <c r="J258" i="8"/>
  <c r="L258" i="8" s="1"/>
  <c r="S259" i="8"/>
  <c r="H255" i="8"/>
  <c r="J257" i="8"/>
  <c r="L257" i="8" s="1"/>
  <c r="J263" i="8"/>
  <c r="L263" i="8" s="1"/>
  <c r="L1278" i="8"/>
  <c r="L888" i="8"/>
  <c r="H887" i="8"/>
  <c r="H771" i="8"/>
  <c r="H769" i="8"/>
  <c r="L772" i="8"/>
  <c r="H775" i="8"/>
  <c r="H774" i="8"/>
  <c r="L778" i="8"/>
  <c r="L792" i="8"/>
  <c r="H1079" i="8"/>
  <c r="Q1078" i="8"/>
  <c r="H648" i="8"/>
  <c r="S648" i="8"/>
  <c r="H645" i="8"/>
  <c r="H656" i="8"/>
  <c r="H659" i="8"/>
  <c r="S659" i="8"/>
  <c r="H655" i="8"/>
  <c r="S655" i="8"/>
  <c r="H635" i="8"/>
  <c r="H636" i="8"/>
  <c r="S636" i="8"/>
  <c r="J600" i="8"/>
  <c r="L600" i="8" s="1"/>
  <c r="J601" i="8"/>
  <c r="L601" i="8" s="1"/>
  <c r="H608" i="8"/>
  <c r="S621" i="8"/>
  <c r="H619" i="8"/>
  <c r="S618" i="8"/>
  <c r="L622" i="8"/>
  <c r="O615" i="8"/>
  <c r="J615" i="8"/>
  <c r="L615" i="8" s="1"/>
  <c r="J1287" i="8"/>
  <c r="L1287" i="8" s="1"/>
  <c r="H1287" i="8"/>
  <c r="H562" i="8"/>
  <c r="S563" i="8"/>
  <c r="J566" i="8"/>
  <c r="L566" i="8" s="1"/>
  <c r="J575" i="8"/>
  <c r="L575" i="8" s="1"/>
  <c r="S577" i="8"/>
  <c r="J576" i="8"/>
  <c r="L576" i="8" s="1"/>
  <c r="S570" i="8"/>
  <c r="J572" i="8"/>
  <c r="L572" i="8" s="1"/>
  <c r="L590" i="8"/>
  <c r="H589" i="8"/>
  <c r="S591" i="8"/>
  <c r="J582" i="8"/>
  <c r="L582" i="8" s="1"/>
  <c r="J586" i="8"/>
  <c r="L586" i="8" s="1"/>
  <c r="J226" i="8"/>
  <c r="L226" i="8" s="1"/>
  <c r="H300" i="8"/>
  <c r="J302" i="8"/>
  <c r="L302" i="8" s="1"/>
  <c r="J299" i="8"/>
  <c r="L299" i="8" s="1"/>
  <c r="J284" i="8"/>
  <c r="L284" i="8" s="1"/>
  <c r="S284" i="8"/>
  <c r="P247" i="8"/>
  <c r="J255" i="8"/>
  <c r="L255" i="8" s="1"/>
  <c r="S255" i="8"/>
  <c r="J1280" i="8"/>
  <c r="L1280" i="8" s="1"/>
  <c r="S1280" i="8"/>
  <c r="J1281" i="8"/>
  <c r="L1281" i="8" s="1"/>
  <c r="S1281" i="8"/>
  <c r="J885" i="8"/>
  <c r="L885" i="8" s="1"/>
  <c r="S885" i="8"/>
  <c r="H783" i="8"/>
  <c r="J786" i="8"/>
  <c r="L786" i="8" s="1"/>
  <c r="J799" i="8"/>
  <c r="L799" i="8" s="1"/>
  <c r="S799" i="8"/>
  <c r="J757" i="8"/>
  <c r="L757" i="8" s="1"/>
  <c r="J758" i="8"/>
  <c r="L758" i="8" s="1"/>
  <c r="J752" i="8"/>
  <c r="L752" i="8" s="1"/>
  <c r="J749" i="8"/>
  <c r="L749" i="8" s="1"/>
  <c r="J1088" i="8"/>
  <c r="L1088" i="8" s="1"/>
  <c r="P632" i="8"/>
  <c r="P595" i="8"/>
  <c r="S602" i="8"/>
  <c r="O630" i="8"/>
  <c r="J630" i="8"/>
  <c r="L630" i="8" s="1"/>
  <c r="O631" i="8"/>
  <c r="H629" i="8"/>
  <c r="S629" i="8"/>
  <c r="S605" i="8"/>
  <c r="O619" i="8"/>
  <c r="J619" i="8"/>
  <c r="L619" i="8" s="1"/>
  <c r="S593" i="8"/>
  <c r="H568" i="8"/>
  <c r="P561" i="8"/>
  <c r="S562" i="8"/>
  <c r="H588" i="8"/>
  <c r="S589" i="8"/>
  <c r="S585" i="8"/>
  <c r="L584" i="8"/>
  <c r="Q223" i="8"/>
  <c r="H235" i="8"/>
  <c r="H236" i="8"/>
  <c r="H229" i="8"/>
  <c r="S229" i="8"/>
  <c r="H231" i="8"/>
  <c r="J243" i="8"/>
  <c r="L243" i="8" s="1"/>
  <c r="J240" i="8"/>
  <c r="L240" i="8" s="1"/>
  <c r="O287" i="8"/>
  <c r="S276" i="8"/>
  <c r="H280" i="8"/>
  <c r="J298" i="8"/>
  <c r="L298" i="8" s="1"/>
  <c r="J300" i="8"/>
  <c r="L300" i="8" s="1"/>
  <c r="S300" i="8"/>
  <c r="S288" i="8"/>
  <c r="H286" i="8"/>
  <c r="J296" i="8"/>
  <c r="L296" i="8" s="1"/>
  <c r="J297" i="8"/>
  <c r="L297" i="8" s="1"/>
  <c r="L294" i="8"/>
  <c r="S294" i="8"/>
  <c r="H282" i="8"/>
  <c r="J290" i="8"/>
  <c r="L290" i="8" s="1"/>
  <c r="J295" i="8"/>
  <c r="L295" i="8" s="1"/>
  <c r="J245" i="8"/>
  <c r="L245" i="8" s="1"/>
  <c r="L246" i="8"/>
  <c r="H253" i="8"/>
  <c r="J248" i="8"/>
  <c r="L248" i="8" s="1"/>
  <c r="L249" i="8"/>
  <c r="S249" i="8"/>
  <c r="H250" i="8"/>
  <c r="J251" i="8"/>
  <c r="L251" i="8" s="1"/>
  <c r="J256" i="8"/>
  <c r="L256" i="8" s="1"/>
  <c r="L254" i="8"/>
  <c r="S254" i="8"/>
  <c r="H257" i="8"/>
  <c r="H263" i="8"/>
  <c r="L1284" i="8"/>
  <c r="H1276" i="8"/>
  <c r="J1282" i="8"/>
  <c r="L1282" i="8" s="1"/>
  <c r="J1277" i="8"/>
  <c r="L1277" i="8" s="1"/>
  <c r="L1275" i="8"/>
  <c r="S1275" i="8"/>
  <c r="H886" i="8"/>
  <c r="J887" i="8"/>
  <c r="L887" i="8" s="1"/>
  <c r="J771" i="8"/>
  <c r="L771" i="8" s="1"/>
  <c r="J769" i="8"/>
  <c r="L769" i="8" s="1"/>
  <c r="L768" i="8"/>
  <c r="S768" i="8"/>
  <c r="H766" i="8"/>
  <c r="J775" i="8"/>
  <c r="L775" i="8" s="1"/>
  <c r="J774" i="8"/>
  <c r="L774" i="8" s="1"/>
  <c r="P776" i="8"/>
  <c r="S784" i="8"/>
  <c r="J783" i="8"/>
  <c r="L783" i="8" s="1"/>
  <c r="S783" i="8"/>
  <c r="H795" i="8"/>
  <c r="J793" i="8"/>
  <c r="L793" i="8" s="1"/>
  <c r="J800" i="8"/>
  <c r="L800" i="8" s="1"/>
  <c r="J798" i="8"/>
  <c r="L798" i="8" s="1"/>
  <c r="H797" i="8"/>
  <c r="H761" i="8"/>
  <c r="S761" i="8"/>
  <c r="H760" i="8"/>
  <c r="S760" i="8"/>
  <c r="L756" i="8"/>
  <c r="H744" i="8"/>
  <c r="S744" i="8"/>
  <c r="H742" i="8"/>
  <c r="S742" i="8"/>
  <c r="L748" i="8"/>
  <c r="P1089" i="8"/>
  <c r="L648" i="8"/>
  <c r="J645" i="8"/>
  <c r="L645" i="8" s="1"/>
  <c r="J656" i="8"/>
  <c r="L656" i="8" s="1"/>
  <c r="L655" i="8"/>
  <c r="J635" i="8"/>
  <c r="L635" i="8" s="1"/>
  <c r="J642" i="8"/>
  <c r="L642" i="8" s="1"/>
  <c r="L636" i="8"/>
  <c r="H631" i="8"/>
  <c r="O629" i="8"/>
  <c r="J629" i="8"/>
  <c r="L629" i="8" s="1"/>
  <c r="O600" i="8"/>
  <c r="H601" i="8"/>
  <c r="S617" i="8"/>
  <c r="S610" i="8"/>
  <c r="J611" i="8"/>
  <c r="L611" i="8" s="1"/>
  <c r="O616" i="8"/>
  <c r="J616" i="8"/>
  <c r="L616" i="8" s="1"/>
  <c r="J620" i="8"/>
  <c r="L620" i="8" s="1"/>
  <c r="Q1285" i="8"/>
  <c r="O1286" i="8"/>
  <c r="J1286" i="8"/>
  <c r="L1286" i="8" s="1"/>
  <c r="O1243" i="8"/>
  <c r="J1243" i="8"/>
  <c r="L1243" i="8" s="1"/>
  <c r="P1285" i="8"/>
  <c r="P1295" i="8"/>
  <c r="S1248" i="8"/>
  <c r="S1258" i="8"/>
  <c r="S1256" i="8"/>
  <c r="S1250" i="8"/>
  <c r="P1233" i="8"/>
  <c r="Q1233" i="8"/>
  <c r="J1238" i="8"/>
  <c r="L1238" i="8" s="1"/>
  <c r="J1241" i="8"/>
  <c r="L1241" i="8" s="1"/>
  <c r="S1228" i="8"/>
  <c r="J1143" i="8"/>
  <c r="L1143" i="8" s="1"/>
  <c r="J1172" i="8"/>
  <c r="L1172" i="8" s="1"/>
  <c r="J1166" i="8"/>
  <c r="L1166" i="8" s="1"/>
  <c r="J1141" i="8"/>
  <c r="L1141" i="8" s="1"/>
  <c r="J1150" i="8"/>
  <c r="L1150" i="8" s="1"/>
  <c r="J1175" i="8"/>
  <c r="L1175" i="8" s="1"/>
  <c r="J1146" i="8"/>
  <c r="L1146" i="8" s="1"/>
  <c r="P1182" i="8"/>
  <c r="J1190" i="8"/>
  <c r="L1190" i="8" s="1"/>
  <c r="J1185" i="8"/>
  <c r="L1185" i="8" s="1"/>
  <c r="L1186" i="8"/>
  <c r="J1199" i="8"/>
  <c r="L1199" i="8" s="1"/>
  <c r="L1207" i="8"/>
  <c r="J1217" i="8"/>
  <c r="L1217" i="8" s="1"/>
  <c r="J1211" i="8"/>
  <c r="L1211" i="8" s="1"/>
  <c r="O1211" i="8"/>
  <c r="J1206" i="8"/>
  <c r="L1206" i="8" s="1"/>
  <c r="L1219" i="8"/>
  <c r="L626" i="8"/>
  <c r="S631" i="8"/>
  <c r="S600" i="8"/>
  <c r="H617" i="8"/>
  <c r="S609" i="8"/>
  <c r="H611" i="8"/>
  <c r="S604" i="8"/>
  <c r="S625" i="8"/>
  <c r="S623" i="8"/>
  <c r="H620" i="8"/>
  <c r="S613" i="8"/>
  <c r="H614" i="8"/>
  <c r="H594" i="8"/>
  <c r="J1288" i="8"/>
  <c r="L1288" i="8" s="1"/>
  <c r="P1291" i="8"/>
  <c r="S1292" i="8"/>
  <c r="S1297" i="8"/>
  <c r="J1298" i="8"/>
  <c r="L1298" i="8" s="1"/>
  <c r="L1253" i="8"/>
  <c r="S1253" i="8"/>
  <c r="H1257" i="8"/>
  <c r="S1249" i="8"/>
  <c r="L1255" i="8"/>
  <c r="H1251" i="8"/>
  <c r="S1247" i="8"/>
  <c r="L1260" i="8"/>
  <c r="H1259" i="8"/>
  <c r="S1252" i="8"/>
  <c r="L1254" i="8"/>
  <c r="J1235" i="8"/>
  <c r="L1235" i="8" s="1"/>
  <c r="J1244" i="8"/>
  <c r="L1244" i="8" s="1"/>
  <c r="J1239" i="8"/>
  <c r="L1239" i="8" s="1"/>
  <c r="P1220" i="8"/>
  <c r="S1230" i="8"/>
  <c r="J1223" i="8"/>
  <c r="L1223" i="8" s="1"/>
  <c r="S1226" i="8"/>
  <c r="J1221" i="8"/>
  <c r="L1221" i="8" s="1"/>
  <c r="S1229" i="8"/>
  <c r="J1225" i="8"/>
  <c r="L1225" i="8" s="1"/>
  <c r="J1124" i="8"/>
  <c r="L1124" i="8" s="1"/>
  <c r="S1119" i="8"/>
  <c r="J1126" i="8"/>
  <c r="L1126" i="8" s="1"/>
  <c r="S1120" i="8"/>
  <c r="J1122" i="8"/>
  <c r="L1122" i="8" s="1"/>
  <c r="S1136" i="8"/>
  <c r="J1135" i="8"/>
  <c r="L1135" i="8" s="1"/>
  <c r="S1123" i="8"/>
  <c r="J1125" i="8"/>
  <c r="L1125" i="8" s="1"/>
  <c r="S1132" i="8"/>
  <c r="J1118" i="8"/>
  <c r="L1118" i="8" s="1"/>
  <c r="S1160" i="8"/>
  <c r="J1144" i="8"/>
  <c r="L1144" i="8" s="1"/>
  <c r="O1165" i="8"/>
  <c r="L1177" i="8"/>
  <c r="J1149" i="8"/>
  <c r="L1149" i="8" s="1"/>
  <c r="O1173" i="8"/>
  <c r="L1168" i="8"/>
  <c r="J1154" i="8"/>
  <c r="L1154" i="8" s="1"/>
  <c r="H1157" i="8"/>
  <c r="S1157" i="8"/>
  <c r="H1164" i="8"/>
  <c r="S1164" i="8"/>
  <c r="J1153" i="8"/>
  <c r="L1153" i="8" s="1"/>
  <c r="J1167" i="8"/>
  <c r="L1167" i="8" s="1"/>
  <c r="H1195" i="8"/>
  <c r="S1195" i="8"/>
  <c r="J1189" i="8"/>
  <c r="L1189" i="8" s="1"/>
  <c r="J1188" i="8"/>
  <c r="L1188" i="8" s="1"/>
  <c r="O1186" i="8"/>
  <c r="S1191" i="8"/>
  <c r="J1204" i="8"/>
  <c r="L1204" i="8" s="1"/>
  <c r="H1183" i="8"/>
  <c r="O1207" i="8"/>
  <c r="J1210" i="8"/>
  <c r="L1210" i="8" s="1"/>
  <c r="H615" i="8"/>
  <c r="S614" i="8"/>
  <c r="S594" i="8"/>
  <c r="L593" i="8"/>
  <c r="H1286" i="8"/>
  <c r="P1246" i="8"/>
  <c r="S1257" i="8"/>
  <c r="S1251" i="8"/>
  <c r="S1259" i="8"/>
  <c r="H1243" i="8"/>
  <c r="H1236" i="8"/>
  <c r="H1238" i="8"/>
  <c r="H1234" i="8"/>
  <c r="H1241" i="8"/>
  <c r="H1237" i="8"/>
  <c r="S1159" i="8"/>
  <c r="H1143" i="8"/>
  <c r="H1172" i="8"/>
  <c r="H1147" i="8"/>
  <c r="S1147" i="8"/>
  <c r="H1166" i="8"/>
  <c r="O1177" i="8"/>
  <c r="H1141" i="8"/>
  <c r="H1156" i="8"/>
  <c r="S1156" i="8"/>
  <c r="H1150" i="8"/>
  <c r="O1168" i="8"/>
  <c r="H1175" i="8"/>
  <c r="H1178" i="8"/>
  <c r="S1178" i="8"/>
  <c r="H1146" i="8"/>
  <c r="H1190" i="8"/>
  <c r="H1185" i="8"/>
  <c r="H1203" i="8"/>
  <c r="S1203" i="8"/>
  <c r="H1186" i="8"/>
  <c r="H1199" i="8"/>
  <c r="S1183" i="8"/>
  <c r="H1207" i="8"/>
  <c r="H1206" i="8"/>
  <c r="H1219" i="8"/>
  <c r="J952" i="8"/>
  <c r="L952" i="8" s="1"/>
  <c r="J947" i="8"/>
  <c r="L947" i="8" s="1"/>
  <c r="J966" i="8"/>
  <c r="L966" i="8" s="1"/>
  <c r="J965" i="8"/>
  <c r="L965" i="8" s="1"/>
  <c r="J970" i="8"/>
  <c r="L970" i="8" s="1"/>
  <c r="S987" i="8"/>
  <c r="S981" i="8"/>
  <c r="S988" i="8"/>
  <c r="S990" i="8"/>
  <c r="J699" i="8"/>
  <c r="L699" i="8" s="1"/>
  <c r="J716" i="8"/>
  <c r="L716" i="8" s="1"/>
  <c r="S1209" i="8"/>
  <c r="P1205" i="8"/>
  <c r="H1218" i="8"/>
  <c r="S1216" i="8"/>
  <c r="H1100" i="8"/>
  <c r="S1104" i="8"/>
  <c r="J1109" i="8"/>
  <c r="L1109" i="8" s="1"/>
  <c r="S1103" i="8"/>
  <c r="J1111" i="8"/>
  <c r="L1111" i="8" s="1"/>
  <c r="S1108" i="8"/>
  <c r="H1096" i="8"/>
  <c r="J687" i="8"/>
  <c r="L687" i="8" s="1"/>
  <c r="J694" i="8"/>
  <c r="L694" i="8" s="1"/>
  <c r="S688" i="8"/>
  <c r="H692" i="8"/>
  <c r="H951" i="8"/>
  <c r="S950" i="8"/>
  <c r="J955" i="8"/>
  <c r="L955" i="8" s="1"/>
  <c r="J948" i="8"/>
  <c r="L948" i="8" s="1"/>
  <c r="J958" i="8"/>
  <c r="L958" i="8" s="1"/>
  <c r="J960" i="8"/>
  <c r="L960" i="8" s="1"/>
  <c r="J967" i="8"/>
  <c r="L967" i="8" s="1"/>
  <c r="J963" i="8"/>
  <c r="L963" i="8" s="1"/>
  <c r="J971" i="8"/>
  <c r="L971" i="8" s="1"/>
  <c r="H979" i="8"/>
  <c r="S985" i="8"/>
  <c r="L975" i="8"/>
  <c r="H982" i="8"/>
  <c r="S989" i="8"/>
  <c r="L984" i="8"/>
  <c r="H977" i="8"/>
  <c r="S980" i="8"/>
  <c r="L978" i="8"/>
  <c r="H983" i="8"/>
  <c r="O990" i="8"/>
  <c r="J993" i="8"/>
  <c r="L993" i="8" s="1"/>
  <c r="J705" i="8"/>
  <c r="L705" i="8" s="1"/>
  <c r="S712" i="8"/>
  <c r="J717" i="8"/>
  <c r="L717" i="8" s="1"/>
  <c r="J719" i="8"/>
  <c r="L719" i="8" s="1"/>
  <c r="H725" i="8"/>
  <c r="J724" i="8"/>
  <c r="L724" i="8" s="1"/>
  <c r="H728" i="8"/>
  <c r="H1101" i="8"/>
  <c r="S1096" i="8"/>
  <c r="H691" i="8"/>
  <c r="P686" i="8"/>
  <c r="S692" i="8"/>
  <c r="S951" i="8"/>
  <c r="H952" i="8"/>
  <c r="H946" i="8"/>
  <c r="H947" i="8"/>
  <c r="H953" i="8"/>
  <c r="L949" i="8"/>
  <c r="H966" i="8"/>
  <c r="H962" i="8"/>
  <c r="L961" i="8"/>
  <c r="H965" i="8"/>
  <c r="H964" i="8"/>
  <c r="L968" i="8"/>
  <c r="H970" i="8"/>
  <c r="H972" i="8"/>
  <c r="L973" i="8"/>
  <c r="P974" i="8"/>
  <c r="S979" i="8"/>
  <c r="S982" i="8"/>
  <c r="S977" i="8"/>
  <c r="S983" i="8"/>
  <c r="H699" i="8"/>
  <c r="H703" i="8"/>
  <c r="S703" i="8"/>
  <c r="S701" i="8"/>
  <c r="H716" i="8"/>
  <c r="O715" i="8"/>
  <c r="O713" i="8" s="1"/>
  <c r="S727" i="8"/>
  <c r="O734" i="8"/>
  <c r="J734" i="8"/>
  <c r="L734" i="8" s="1"/>
  <c r="H734" i="8"/>
  <c r="S1101" i="8"/>
  <c r="H1109" i="8"/>
  <c r="H1105" i="8"/>
  <c r="H1111" i="8"/>
  <c r="H1106" i="8"/>
  <c r="H687" i="8"/>
  <c r="H689" i="8"/>
  <c r="H694" i="8"/>
  <c r="H690" i="8"/>
  <c r="S691" i="8"/>
  <c r="P723" i="8"/>
  <c r="J728" i="8"/>
  <c r="L728" i="8" s="1"/>
  <c r="P731" i="8"/>
  <c r="H733" i="8"/>
  <c r="S733" i="8"/>
  <c r="O1304" i="8"/>
  <c r="O1302" i="8"/>
  <c r="H675" i="8"/>
  <c r="P674" i="8"/>
  <c r="H676" i="8"/>
  <c r="S676" i="8"/>
  <c r="H685" i="8"/>
  <c r="H684" i="8"/>
  <c r="S684" i="8"/>
  <c r="J1008" i="8"/>
  <c r="L1008" i="8" s="1"/>
  <c r="H826" i="8"/>
  <c r="S826" i="8"/>
  <c r="S828" i="8"/>
  <c r="J833" i="8"/>
  <c r="L833" i="8" s="1"/>
  <c r="J832" i="8"/>
  <c r="L832" i="8" s="1"/>
  <c r="O1354" i="8"/>
  <c r="O1353" i="8" s="1"/>
  <c r="H1355" i="8"/>
  <c r="J1357" i="8"/>
  <c r="L1357" i="8" s="1"/>
  <c r="P994" i="8"/>
  <c r="S1000" i="8"/>
  <c r="H998" i="8"/>
  <c r="S998" i="8"/>
  <c r="J999" i="8"/>
  <c r="L999" i="8" s="1"/>
  <c r="J1016" i="8"/>
  <c r="L1016" i="8" s="1"/>
  <c r="S922" i="8"/>
  <c r="J920" i="8"/>
  <c r="L920" i="8" s="1"/>
  <c r="O927" i="8"/>
  <c r="O926" i="8"/>
  <c r="H937" i="8"/>
  <c r="J932" i="8"/>
  <c r="L932" i="8" s="1"/>
  <c r="H908" i="8"/>
  <c r="J905" i="8"/>
  <c r="L905" i="8" s="1"/>
  <c r="Q913" i="8"/>
  <c r="S914" i="8"/>
  <c r="H1314" i="8"/>
  <c r="S1318" i="8"/>
  <c r="J1317" i="8"/>
  <c r="L1317" i="8" s="1"/>
  <c r="L1344" i="8"/>
  <c r="S1344" i="8"/>
  <c r="L1345" i="8"/>
  <c r="J939" i="8"/>
  <c r="L939" i="8" s="1"/>
  <c r="J942" i="8"/>
  <c r="L942" i="8" s="1"/>
  <c r="J1067" i="8"/>
  <c r="L1067" i="8" s="1"/>
  <c r="J1334" i="8"/>
  <c r="L1334" i="8" s="1"/>
  <c r="O1326" i="8"/>
  <c r="J1326" i="8"/>
  <c r="L1326" i="8" s="1"/>
  <c r="O1007" i="8"/>
  <c r="O1003" i="8" s="1"/>
  <c r="H1015" i="8"/>
  <c r="P925" i="8"/>
  <c r="P901" i="8"/>
  <c r="S908" i="8"/>
  <c r="H907" i="8"/>
  <c r="H903" i="8"/>
  <c r="P913" i="8"/>
  <c r="H1315" i="8"/>
  <c r="P1342" i="8"/>
  <c r="S1346" i="8"/>
  <c r="J1343" i="8"/>
  <c r="L1343" i="8" s="1"/>
  <c r="S1350" i="8"/>
  <c r="J1351" i="8"/>
  <c r="L1351" i="8" s="1"/>
  <c r="L940" i="8"/>
  <c r="H941" i="8"/>
  <c r="L943" i="8"/>
  <c r="S943" i="8"/>
  <c r="H1066" i="8"/>
  <c r="S1071" i="8"/>
  <c r="H718" i="8"/>
  <c r="S718" i="8"/>
  <c r="O855" i="8"/>
  <c r="J1306" i="8"/>
  <c r="L1306" i="8" s="1"/>
  <c r="J1303" i="8"/>
  <c r="L1303" i="8" s="1"/>
  <c r="L675" i="8"/>
  <c r="J677" i="8"/>
  <c r="L677" i="8" s="1"/>
  <c r="L685" i="8"/>
  <c r="J825" i="8"/>
  <c r="L825" i="8" s="1"/>
  <c r="J1355" i="8"/>
  <c r="L1355" i="8" s="1"/>
  <c r="S926" i="8"/>
  <c r="S936" i="8"/>
  <c r="J937" i="8"/>
  <c r="L937" i="8" s="1"/>
  <c r="O929" i="8"/>
  <c r="H932" i="8"/>
  <c r="L912" i="8"/>
  <c r="L903" i="8"/>
  <c r="H915" i="8"/>
  <c r="S916" i="8"/>
  <c r="S1315" i="8"/>
  <c r="H1317" i="8"/>
  <c r="H1313" i="8"/>
  <c r="H1352" i="8"/>
  <c r="S1352" i="8"/>
  <c r="H939" i="8"/>
  <c r="S941" i="8"/>
  <c r="L944" i="8"/>
  <c r="H942" i="8"/>
  <c r="H1067" i="8"/>
  <c r="P1065" i="8"/>
  <c r="S1066" i="8"/>
  <c r="S730" i="8"/>
  <c r="H854" i="8"/>
  <c r="S854" i="8"/>
  <c r="J1308" i="8"/>
  <c r="L1308" i="8" s="1"/>
  <c r="L1304" i="8"/>
  <c r="J1309" i="8"/>
  <c r="L1309" i="8" s="1"/>
  <c r="O675" i="8"/>
  <c r="L1354" i="8"/>
  <c r="J995" i="8"/>
  <c r="L995" i="8" s="1"/>
  <c r="J1015" i="8"/>
  <c r="L1015" i="8" s="1"/>
  <c r="J923" i="8"/>
  <c r="L923" i="8" s="1"/>
  <c r="L927" i="8"/>
  <c r="J928" i="8"/>
  <c r="L928" i="8" s="1"/>
  <c r="J907" i="8"/>
  <c r="L907" i="8" s="1"/>
  <c r="H1071" i="8"/>
  <c r="S1070" i="8"/>
  <c r="J1077" i="8"/>
  <c r="L1077" i="8" s="1"/>
  <c r="H1334" i="8"/>
  <c r="J1331" i="8"/>
  <c r="L1331" i="8" s="1"/>
  <c r="H1326" i="8"/>
  <c r="H1324" i="8"/>
  <c r="H1341" i="8"/>
  <c r="S1341" i="8"/>
  <c r="J1340" i="8"/>
  <c r="L1340" i="8" s="1"/>
  <c r="J1020" i="8"/>
  <c r="L1020" i="8" s="1"/>
  <c r="S1028" i="8"/>
  <c r="H1024" i="8"/>
  <c r="J1030" i="8"/>
  <c r="L1030" i="8" s="1"/>
  <c r="Q1035" i="8"/>
  <c r="J1038" i="8"/>
  <c r="L1038" i="8" s="1"/>
  <c r="J1037" i="8"/>
  <c r="L1037" i="8" s="1"/>
  <c r="L1039" i="8"/>
  <c r="H1041" i="8"/>
  <c r="H721" i="8"/>
  <c r="J837" i="8"/>
  <c r="L837" i="8" s="1"/>
  <c r="H864" i="8"/>
  <c r="H865" i="8"/>
  <c r="H867" i="8"/>
  <c r="J866" i="8"/>
  <c r="L866" i="8" s="1"/>
  <c r="J868" i="8"/>
  <c r="L868" i="8" s="1"/>
  <c r="H871" i="8"/>
  <c r="H872" i="8"/>
  <c r="J876" i="8"/>
  <c r="L876" i="8" s="1"/>
  <c r="J877" i="8"/>
  <c r="L877" i="8" s="1"/>
  <c r="H879" i="8"/>
  <c r="H1044" i="8"/>
  <c r="J1045" i="8"/>
  <c r="L1045" i="8" s="1"/>
  <c r="J1046" i="8"/>
  <c r="L1046" i="8" s="1"/>
  <c r="H1049" i="8"/>
  <c r="S860" i="8"/>
  <c r="H891" i="8"/>
  <c r="S891" i="8"/>
  <c r="S892" i="8"/>
  <c r="H896" i="8"/>
  <c r="H898" i="8"/>
  <c r="J899" i="8"/>
  <c r="L899" i="8" s="1"/>
  <c r="J900" i="8"/>
  <c r="L900" i="8" s="1"/>
  <c r="J1324" i="8"/>
  <c r="L1324" i="8" s="1"/>
  <c r="L1341" i="8"/>
  <c r="P1019" i="8"/>
  <c r="J1025" i="8"/>
  <c r="L1025" i="8" s="1"/>
  <c r="J1024" i="8"/>
  <c r="L1024" i="8" s="1"/>
  <c r="P1029" i="8"/>
  <c r="J1034" i="8"/>
  <c r="L1034" i="8" s="1"/>
  <c r="J1041" i="8"/>
  <c r="L1041" i="8" s="1"/>
  <c r="J864" i="8"/>
  <c r="L864" i="8" s="1"/>
  <c r="J865" i="8"/>
  <c r="L865" i="8" s="1"/>
  <c r="H875" i="8"/>
  <c r="J871" i="8"/>
  <c r="L871" i="8" s="1"/>
  <c r="J874" i="8"/>
  <c r="L874" i="8" s="1"/>
  <c r="J879" i="8"/>
  <c r="L879" i="8" s="1"/>
  <c r="J880" i="8"/>
  <c r="L880" i="8" s="1"/>
  <c r="H1048" i="8"/>
  <c r="J1049" i="8"/>
  <c r="L1049" i="8" s="1"/>
  <c r="J1050" i="8"/>
  <c r="L1050" i="8" s="1"/>
  <c r="P858" i="8"/>
  <c r="J1262" i="8"/>
  <c r="L1262" i="8" s="1"/>
  <c r="L891" i="8"/>
  <c r="P889" i="8"/>
  <c r="Q895" i="8"/>
  <c r="J896" i="8"/>
  <c r="L896" i="8" s="1"/>
  <c r="H899" i="8"/>
  <c r="L1069" i="8"/>
  <c r="S1069" i="8"/>
  <c r="H1070" i="8"/>
  <c r="J1027" i="8"/>
  <c r="L1027" i="8" s="1"/>
  <c r="Q1029" i="8"/>
  <c r="J1033" i="8"/>
  <c r="L1033" i="8" s="1"/>
  <c r="L1031" i="8"/>
  <c r="P1035" i="8"/>
  <c r="S1042" i="8"/>
  <c r="J1040" i="8"/>
  <c r="L1040" i="8" s="1"/>
  <c r="O720" i="8"/>
  <c r="J838" i="8"/>
  <c r="L838" i="8" s="1"/>
  <c r="J839" i="8"/>
  <c r="L839" i="8" s="1"/>
  <c r="J841" i="8"/>
  <c r="L841" i="8" s="1"/>
  <c r="J875" i="8"/>
  <c r="L875" i="8" s="1"/>
  <c r="S875" i="8"/>
  <c r="P1043" i="8"/>
  <c r="Q1043" i="8"/>
  <c r="J1048" i="8"/>
  <c r="L1048" i="8" s="1"/>
  <c r="S1048" i="8"/>
  <c r="H860" i="8"/>
  <c r="H892" i="8"/>
  <c r="J893" i="8"/>
  <c r="L893" i="8" s="1"/>
  <c r="P895" i="8"/>
  <c r="L127" i="8"/>
  <c r="L81" i="8"/>
  <c r="L94" i="8"/>
  <c r="L159" i="8"/>
  <c r="L160" i="8"/>
  <c r="L124" i="8"/>
  <c r="L113" i="8"/>
  <c r="L156" i="8"/>
  <c r="L123" i="8"/>
  <c r="L133" i="8"/>
  <c r="L138" i="8"/>
  <c r="L339" i="8"/>
  <c r="L131" i="8"/>
  <c r="L89" i="8"/>
  <c r="L93" i="8"/>
  <c r="L167" i="8"/>
  <c r="L162" i="8"/>
  <c r="L111" i="8"/>
  <c r="L177" i="8"/>
  <c r="L173" i="8"/>
  <c r="L150" i="8"/>
  <c r="L121" i="8"/>
  <c r="L194" i="8"/>
  <c r="L184" i="8"/>
  <c r="L188" i="8"/>
  <c r="L206" i="8"/>
  <c r="L212" i="8"/>
  <c r="L220" i="8"/>
  <c r="L216" i="8"/>
  <c r="L70" i="8"/>
  <c r="L65" i="8"/>
  <c r="L46" i="8"/>
  <c r="L79" i="8"/>
  <c r="L56" i="8"/>
  <c r="L59" i="8"/>
  <c r="L182" i="8"/>
  <c r="L19" i="8"/>
  <c r="L8" i="8"/>
  <c r="L267" i="8"/>
  <c r="L269" i="8"/>
  <c r="L356" i="8"/>
  <c r="L359" i="8"/>
  <c r="L328" i="8"/>
  <c r="L324" i="8"/>
  <c r="L331" i="8"/>
  <c r="L309" i="8"/>
  <c r="L337" i="8"/>
  <c r="L329" i="8"/>
  <c r="L147" i="8"/>
  <c r="L86" i="8"/>
  <c r="L90" i="8"/>
  <c r="L166" i="8"/>
  <c r="L125" i="8"/>
  <c r="L109" i="8"/>
  <c r="L140" i="8"/>
  <c r="L114" i="8"/>
  <c r="L98" i="8"/>
  <c r="L152" i="8"/>
  <c r="L186" i="8"/>
  <c r="L199" i="8"/>
  <c r="L42" i="8"/>
  <c r="L44" i="8"/>
  <c r="L62" i="8"/>
  <c r="L63" i="8"/>
  <c r="O85" i="8"/>
  <c r="O89" i="8"/>
  <c r="O94" i="8"/>
  <c r="O90" i="8"/>
  <c r="O163" i="8"/>
  <c r="O167" i="8"/>
  <c r="O160" i="8"/>
  <c r="O125" i="8"/>
  <c r="O108" i="8"/>
  <c r="O111" i="8"/>
  <c r="O113" i="8"/>
  <c r="O158" i="8"/>
  <c r="O173" i="8"/>
  <c r="O123" i="8"/>
  <c r="O114" i="8"/>
  <c r="O101" i="8"/>
  <c r="O150" i="8"/>
  <c r="O138" i="8"/>
  <c r="O152" i="8"/>
  <c r="O194" i="8"/>
  <c r="O192" i="8"/>
  <c r="O186" i="8"/>
  <c r="O190" i="8"/>
  <c r="O188" i="8"/>
  <c r="O204" i="8"/>
  <c r="O212" i="8"/>
  <c r="O216" i="8"/>
  <c r="O217" i="8"/>
  <c r="O68" i="8"/>
  <c r="O65" i="8"/>
  <c r="O40" i="8"/>
  <c r="O44" i="8"/>
  <c r="O51" i="8"/>
  <c r="O79" i="8"/>
  <c r="O45" i="8"/>
  <c r="O63" i="8"/>
  <c r="O58" i="8"/>
  <c r="O59" i="8"/>
  <c r="O66" i="8"/>
  <c r="O181" i="8"/>
  <c r="O4" i="8"/>
  <c r="O19" i="8"/>
  <c r="O272" i="8"/>
  <c r="O269" i="8"/>
  <c r="O339" i="8"/>
  <c r="O305" i="8"/>
  <c r="O309" i="8"/>
  <c r="O359" i="8"/>
  <c r="O361" i="8"/>
  <c r="O336" i="8"/>
  <c r="O329" i="8"/>
  <c r="O324" i="8"/>
  <c r="O127" i="8"/>
  <c r="O103" i="8"/>
  <c r="O122" i="8"/>
  <c r="J128" i="8"/>
  <c r="L128" i="8" s="1"/>
  <c r="O84" i="8"/>
  <c r="O88" i="8"/>
  <c r="O92" i="8"/>
  <c r="O96" i="8"/>
  <c r="O141" i="8"/>
  <c r="O164" i="8"/>
  <c r="O168" i="8"/>
  <c r="O169" i="8"/>
  <c r="O126" i="8"/>
  <c r="O110" i="8"/>
  <c r="O104" i="8"/>
  <c r="O157" i="8"/>
  <c r="O148" i="8"/>
  <c r="O149" i="8"/>
  <c r="O100" i="8"/>
  <c r="O99" i="8"/>
  <c r="O135" i="8"/>
  <c r="O134" i="8"/>
  <c r="O191" i="8"/>
  <c r="O185" i="8"/>
  <c r="O201" i="8"/>
  <c r="O197" i="8"/>
  <c r="O203" i="8"/>
  <c r="Q215" i="8"/>
  <c r="Q3" i="8"/>
  <c r="S346" i="8"/>
  <c r="S330" i="8"/>
  <c r="S354" i="8"/>
  <c r="S349" i="8"/>
  <c r="O131" i="8"/>
  <c r="J144" i="8"/>
  <c r="L144" i="8" s="1"/>
  <c r="O130" i="8"/>
  <c r="O81" i="8"/>
  <c r="O86" i="8"/>
  <c r="O117" i="8"/>
  <c r="O93" i="8"/>
  <c r="O159" i="8"/>
  <c r="O166" i="8"/>
  <c r="O161" i="8"/>
  <c r="O162" i="8"/>
  <c r="O124" i="8"/>
  <c r="O109" i="8"/>
  <c r="O107" i="8"/>
  <c r="O177" i="8"/>
  <c r="O156" i="8"/>
  <c r="O140" i="8"/>
  <c r="O172" i="8"/>
  <c r="O133" i="8"/>
  <c r="O98" i="8"/>
  <c r="O137" i="8"/>
  <c r="O121" i="8"/>
  <c r="S195" i="8"/>
  <c r="O193" i="8"/>
  <c r="O184" i="8"/>
  <c r="O200" i="8"/>
  <c r="O199" i="8"/>
  <c r="Q202" i="8"/>
  <c r="O207" i="8"/>
  <c r="O206" i="8"/>
  <c r="O205" i="8"/>
  <c r="O220" i="8"/>
  <c r="O218" i="8"/>
  <c r="O70" i="8"/>
  <c r="O38" i="8"/>
  <c r="O42" i="8"/>
  <c r="O76" i="8"/>
  <c r="O46" i="8"/>
  <c r="O75" i="8"/>
  <c r="O62" i="8"/>
  <c r="O53" i="8"/>
  <c r="O56" i="8"/>
  <c r="O67" i="8"/>
  <c r="O182" i="8"/>
  <c r="O14" i="8"/>
  <c r="O11" i="8"/>
  <c r="O8" i="8"/>
  <c r="O267" i="8"/>
  <c r="O346" i="8"/>
  <c r="O338" i="8"/>
  <c r="O331" i="8"/>
  <c r="O356" i="8"/>
  <c r="O363" i="8"/>
  <c r="O358" i="8"/>
  <c r="O337" i="8"/>
  <c r="O328" i="8"/>
  <c r="L322" i="8"/>
  <c r="L348" i="8"/>
  <c r="L318" i="8"/>
  <c r="L321" i="8"/>
  <c r="L398" i="8"/>
  <c r="O143" i="8"/>
  <c r="O147" i="8"/>
  <c r="Q36" i="8"/>
  <c r="Q178" i="8"/>
  <c r="O354" i="8"/>
  <c r="O349" i="8"/>
  <c r="O348" i="8"/>
  <c r="O352" i="8"/>
  <c r="O322" i="8"/>
  <c r="O318" i="8"/>
  <c r="O310" i="8"/>
  <c r="O341" i="8"/>
  <c r="O398" i="8"/>
  <c r="H399" i="8"/>
  <c r="H385" i="8"/>
  <c r="H404" i="8"/>
  <c r="H374" i="8"/>
  <c r="H378" i="8"/>
  <c r="H373" i="8"/>
  <c r="H435" i="8"/>
  <c r="H433" i="8"/>
  <c r="H432" i="8"/>
  <c r="J535" i="8"/>
  <c r="L535" i="8" s="1"/>
  <c r="J528" i="8"/>
  <c r="L528" i="8" s="1"/>
  <c r="J533" i="8"/>
  <c r="L533" i="8" s="1"/>
  <c r="Q561" i="8"/>
  <c r="J578" i="8"/>
  <c r="L578" i="8" s="1"/>
  <c r="J580" i="8"/>
  <c r="L580" i="8" s="1"/>
  <c r="J571" i="8"/>
  <c r="L571" i="8" s="1"/>
  <c r="J587" i="8"/>
  <c r="L587" i="8" s="1"/>
  <c r="H591" i="8"/>
  <c r="H238" i="8"/>
  <c r="O238" i="8"/>
  <c r="J239" i="8"/>
  <c r="L239" i="8" s="1"/>
  <c r="H234" i="8"/>
  <c r="O227" i="8"/>
  <c r="J291" i="8"/>
  <c r="L291" i="8" s="1"/>
  <c r="H291" i="8"/>
  <c r="H395" i="8"/>
  <c r="H400" i="8"/>
  <c r="H405" i="8"/>
  <c r="H390" i="8"/>
  <c r="H389" i="8"/>
  <c r="H377" i="8"/>
  <c r="H372" i="8"/>
  <c r="Q429" i="8"/>
  <c r="H436" i="8"/>
  <c r="S436" i="8"/>
  <c r="H441" i="8"/>
  <c r="H437" i="8"/>
  <c r="H444" i="8"/>
  <c r="H448" i="8"/>
  <c r="Q451" i="8"/>
  <c r="H499" i="8"/>
  <c r="S499" i="8"/>
  <c r="H466" i="8"/>
  <c r="H452" i="8"/>
  <c r="H478" i="8"/>
  <c r="H455" i="8"/>
  <c r="H514" i="8"/>
  <c r="H512" i="8"/>
  <c r="H518" i="8"/>
  <c r="H489" i="8"/>
  <c r="H473" i="8"/>
  <c r="H467" i="8"/>
  <c r="H509" i="8"/>
  <c r="H503" i="8"/>
  <c r="H490" i="8"/>
  <c r="H482" i="8"/>
  <c r="H505" i="8"/>
  <c r="H462" i="8"/>
  <c r="H504" i="8"/>
  <c r="H532" i="8"/>
  <c r="H529" i="8"/>
  <c r="H531" i="8"/>
  <c r="H567" i="8"/>
  <c r="H574" i="8"/>
  <c r="H579" i="8"/>
  <c r="H573" i="8"/>
  <c r="Q581" i="8"/>
  <c r="H590" i="8"/>
  <c r="S590" i="8"/>
  <c r="H584" i="8"/>
  <c r="S582" i="8"/>
  <c r="S237" i="8"/>
  <c r="H224" i="8"/>
  <c r="J225" i="8"/>
  <c r="L225" i="8" s="1"/>
  <c r="S225" i="8"/>
  <c r="H227" i="8"/>
  <c r="O231" i="8"/>
  <c r="S292" i="8"/>
  <c r="Q275" i="8"/>
  <c r="H287" i="8"/>
  <c r="J279" i="8"/>
  <c r="L279" i="8" s="1"/>
  <c r="H279" i="8"/>
  <c r="L647" i="8"/>
  <c r="L634" i="8"/>
  <c r="O321" i="8"/>
  <c r="O313" i="8"/>
  <c r="O388" i="8"/>
  <c r="O395" i="8"/>
  <c r="O400" i="8"/>
  <c r="O405" i="8"/>
  <c r="O390" i="8"/>
  <c r="O389" i="8"/>
  <c r="O377" i="8"/>
  <c r="O372" i="8"/>
  <c r="O436" i="8"/>
  <c r="O441" i="8"/>
  <c r="O437" i="8"/>
  <c r="O444" i="8"/>
  <c r="O448" i="8"/>
  <c r="O499" i="8"/>
  <c r="O466" i="8"/>
  <c r="O452" i="8"/>
  <c r="O478" i="8"/>
  <c r="O455" i="8"/>
  <c r="O514" i="8"/>
  <c r="O512" i="8"/>
  <c r="O518" i="8"/>
  <c r="O489" i="8"/>
  <c r="O473" i="8"/>
  <c r="O467" i="8"/>
  <c r="O509" i="8"/>
  <c r="O503" i="8"/>
  <c r="O490" i="8"/>
  <c r="O482" i="8"/>
  <c r="O505" i="8"/>
  <c r="O462" i="8"/>
  <c r="O504" i="8"/>
  <c r="O532" i="8"/>
  <c r="O529" i="8"/>
  <c r="O531" i="8"/>
  <c r="O567" i="8"/>
  <c r="O574" i="8"/>
  <c r="O579" i="8"/>
  <c r="O573" i="8"/>
  <c r="O590" i="8"/>
  <c r="O584" i="8"/>
  <c r="O224" i="8"/>
  <c r="L760" i="8"/>
  <c r="L742" i="8"/>
  <c r="L1090" i="8"/>
  <c r="L658" i="8"/>
  <c r="L639" i="8"/>
  <c r="L607" i="8"/>
  <c r="Q443" i="8"/>
  <c r="Q569" i="8"/>
  <c r="H582" i="8"/>
  <c r="O236" i="8"/>
  <c r="H225" i="8"/>
  <c r="L227" i="8"/>
  <c r="O229" i="8"/>
  <c r="J229" i="8"/>
  <c r="L229" i="8" s="1"/>
  <c r="S231" i="8"/>
  <c r="L287" i="8"/>
  <c r="J288" i="8"/>
  <c r="L288" i="8" s="1"/>
  <c r="H288" i="8"/>
  <c r="L1086" i="8"/>
  <c r="O1078" i="8"/>
  <c r="L1053" i="8"/>
  <c r="L653" i="8"/>
  <c r="J233" i="8"/>
  <c r="L233" i="8" s="1"/>
  <c r="J230" i="8"/>
  <c r="L230" i="8" s="1"/>
  <c r="J292" i="8"/>
  <c r="L292" i="8" s="1"/>
  <c r="O283" i="8"/>
  <c r="O280" i="8"/>
  <c r="O300" i="8"/>
  <c r="O284" i="8"/>
  <c r="H303" i="8"/>
  <c r="H294" i="8"/>
  <c r="H281" i="8"/>
  <c r="O282" i="8"/>
  <c r="H246" i="8"/>
  <c r="S246" i="8"/>
  <c r="Q247" i="8"/>
  <c r="H252" i="8"/>
  <c r="S252" i="8"/>
  <c r="O253" i="8"/>
  <c r="H249" i="8"/>
  <c r="H259" i="8"/>
  <c r="O250" i="8"/>
  <c r="H254" i="8"/>
  <c r="O255" i="8"/>
  <c r="H261" i="8"/>
  <c r="H35" i="8"/>
  <c r="S35" i="8"/>
  <c r="Q1274" i="8"/>
  <c r="H1284" i="8"/>
  <c r="S1284" i="8"/>
  <c r="O1280" i="8"/>
  <c r="H1278" i="8"/>
  <c r="O1276" i="8"/>
  <c r="H1275" i="8"/>
  <c r="O1281" i="8"/>
  <c r="O885" i="8"/>
  <c r="H888" i="8"/>
  <c r="O886" i="8"/>
  <c r="H768" i="8"/>
  <c r="O773" i="8"/>
  <c r="H772" i="8"/>
  <c r="O766" i="8"/>
  <c r="H777" i="8"/>
  <c r="S777" i="8"/>
  <c r="O778" i="8"/>
  <c r="H785" i="8"/>
  <c r="O783" i="8"/>
  <c r="H792" i="8"/>
  <c r="S792" i="8"/>
  <c r="O795" i="8"/>
  <c r="O799" i="8"/>
  <c r="J761" i="8"/>
  <c r="L761" i="8" s="1"/>
  <c r="J764" i="8"/>
  <c r="L764" i="8" s="1"/>
  <c r="J755" i="8"/>
  <c r="L755" i="8" s="1"/>
  <c r="J754" i="8"/>
  <c r="L754" i="8" s="1"/>
  <c r="J744" i="8"/>
  <c r="L744" i="8" s="1"/>
  <c r="J741" i="8"/>
  <c r="L741" i="8" s="1"/>
  <c r="J751" i="8"/>
  <c r="L751" i="8" s="1"/>
  <c r="J747" i="8"/>
  <c r="L747" i="8" s="1"/>
  <c r="J1084" i="8"/>
  <c r="L1084" i="8" s="1"/>
  <c r="J1079" i="8"/>
  <c r="L1079" i="8" s="1"/>
  <c r="J1056" i="8"/>
  <c r="L1056" i="8" s="1"/>
  <c r="Q643" i="8"/>
  <c r="J646" i="8"/>
  <c r="L646" i="8" s="1"/>
  <c r="J660" i="8"/>
  <c r="L660" i="8" s="1"/>
  <c r="J652" i="8"/>
  <c r="L652" i="8" s="1"/>
  <c r="J659" i="8"/>
  <c r="L659" i="8" s="1"/>
  <c r="Q632" i="8"/>
  <c r="J640" i="8"/>
  <c r="L640" i="8" s="1"/>
  <c r="J641" i="8"/>
  <c r="L641" i="8" s="1"/>
  <c r="Q595" i="8"/>
  <c r="H602" i="8"/>
  <c r="J612" i="8"/>
  <c r="L612" i="8" s="1"/>
  <c r="S612" i="8"/>
  <c r="L631" i="8"/>
  <c r="H628" i="8"/>
  <c r="O628" i="8"/>
  <c r="O303" i="8"/>
  <c r="O294" i="8"/>
  <c r="O281" i="8"/>
  <c r="O246" i="8"/>
  <c r="O244" i="8" s="1"/>
  <c r="O252" i="8"/>
  <c r="O249" i="8"/>
  <c r="O259" i="8"/>
  <c r="O254" i="8"/>
  <c r="O261" i="8"/>
  <c r="O260" i="8" s="1"/>
  <c r="O35" i="8"/>
  <c r="O34" i="8" s="1"/>
  <c r="O1284" i="8"/>
  <c r="O1278" i="8"/>
  <c r="O1275" i="8"/>
  <c r="O888" i="8"/>
  <c r="O768" i="8"/>
  <c r="O772" i="8"/>
  <c r="O777" i="8"/>
  <c r="O785" i="8"/>
  <c r="O792" i="8"/>
  <c r="O801" i="8"/>
  <c r="O760" i="8"/>
  <c r="O759" i="8" s="1"/>
  <c r="O756" i="8"/>
  <c r="O753" i="8" s="1"/>
  <c r="O742" i="8"/>
  <c r="O740" i="8" s="1"/>
  <c r="O748" i="8"/>
  <c r="O746" i="8" s="1"/>
  <c r="O1090" i="8"/>
  <c r="O1089" i="8" s="1"/>
  <c r="O1086" i="8"/>
  <c r="O1083" i="8" s="1"/>
  <c r="O1053" i="8"/>
  <c r="O648" i="8"/>
  <c r="O653" i="8"/>
  <c r="O658" i="8"/>
  <c r="O647" i="8"/>
  <c r="O655" i="8"/>
  <c r="O639" i="8"/>
  <c r="O634" i="8"/>
  <c r="O636" i="8"/>
  <c r="O607" i="8"/>
  <c r="O602" i="8"/>
  <c r="H609" i="8"/>
  <c r="J609" i="8"/>
  <c r="L609" i="8" s="1"/>
  <c r="H621" i="8"/>
  <c r="J621" i="8"/>
  <c r="L621" i="8" s="1"/>
  <c r="H613" i="8"/>
  <c r="J613" i="8"/>
  <c r="L613" i="8" s="1"/>
  <c r="Q260" i="8"/>
  <c r="S883" i="8"/>
  <c r="Q765" i="8"/>
  <c r="Q781" i="8"/>
  <c r="Q796" i="8"/>
  <c r="Q759" i="8"/>
  <c r="Q753" i="8"/>
  <c r="Q740" i="8"/>
  <c r="Q746" i="8"/>
  <c r="S1084" i="8"/>
  <c r="S1079" i="8"/>
  <c r="O596" i="8"/>
  <c r="H612" i="8"/>
  <c r="O609" i="8"/>
  <c r="H605" i="8"/>
  <c r="J605" i="8"/>
  <c r="L605" i="8" s="1"/>
  <c r="O621" i="8"/>
  <c r="H623" i="8"/>
  <c r="J623" i="8"/>
  <c r="L623" i="8" s="1"/>
  <c r="O613" i="8"/>
  <c r="O608" i="8"/>
  <c r="O599" i="8"/>
  <c r="O597" i="8"/>
  <c r="O618" i="8"/>
  <c r="O622" i="8"/>
  <c r="Q592" i="8"/>
  <c r="O593" i="8"/>
  <c r="O592" i="8" s="1"/>
  <c r="O1289" i="8"/>
  <c r="J1290" i="8"/>
  <c r="L1290" i="8" s="1"/>
  <c r="O1287" i="8"/>
  <c r="O1293" i="8"/>
  <c r="J1294" i="8"/>
  <c r="L1294" i="8" s="1"/>
  <c r="O1296" i="8"/>
  <c r="O1253" i="8"/>
  <c r="J1248" i="8"/>
  <c r="L1248" i="8" s="1"/>
  <c r="O1255" i="8"/>
  <c r="J1258" i="8"/>
  <c r="L1258" i="8" s="1"/>
  <c r="O1260" i="8"/>
  <c r="J1256" i="8"/>
  <c r="L1256" i="8" s="1"/>
  <c r="O1254" i="8"/>
  <c r="J1250" i="8"/>
  <c r="L1250" i="8" s="1"/>
  <c r="J1240" i="8"/>
  <c r="L1240" i="8" s="1"/>
  <c r="O1236" i="8"/>
  <c r="J1242" i="8"/>
  <c r="L1242" i="8" s="1"/>
  <c r="O1234" i="8"/>
  <c r="J1245" i="8"/>
  <c r="L1245" i="8" s="1"/>
  <c r="O1237" i="8"/>
  <c r="O1228" i="8"/>
  <c r="J1222" i="8"/>
  <c r="L1222" i="8" s="1"/>
  <c r="O1231" i="8"/>
  <c r="J1224" i="8"/>
  <c r="L1224" i="8" s="1"/>
  <c r="O1232" i="8"/>
  <c r="J1227" i="8"/>
  <c r="L1227" i="8" s="1"/>
  <c r="Q1112" i="8"/>
  <c r="O1116" i="8"/>
  <c r="J1129" i="8"/>
  <c r="L1129" i="8" s="1"/>
  <c r="O1117" i="8"/>
  <c r="J1133" i="8"/>
  <c r="L1133" i="8" s="1"/>
  <c r="O1114" i="8"/>
  <c r="J1130" i="8"/>
  <c r="L1130" i="8" s="1"/>
  <c r="O1113" i="8"/>
  <c r="J1134" i="8"/>
  <c r="L1134" i="8" s="1"/>
  <c r="O1121" i="8"/>
  <c r="J1128" i="8"/>
  <c r="L1128" i="8" s="1"/>
  <c r="Q1137" i="8"/>
  <c r="J1160" i="8"/>
  <c r="L1160" i="8" s="1"/>
  <c r="L1171" i="8"/>
  <c r="H1165" i="8"/>
  <c r="L1155" i="8"/>
  <c r="H1173" i="8"/>
  <c r="L1161" i="8"/>
  <c r="J1216" i="8"/>
  <c r="L1216" i="8" s="1"/>
  <c r="O1216" i="8"/>
  <c r="J1099" i="8"/>
  <c r="L1099" i="8" s="1"/>
  <c r="H1099" i="8"/>
  <c r="O1099" i="8"/>
  <c r="S687" i="8"/>
  <c r="Q686" i="8"/>
  <c r="Q1295" i="8"/>
  <c r="S1235" i="8"/>
  <c r="O1171" i="8"/>
  <c r="L1147" i="8"/>
  <c r="H1177" i="8"/>
  <c r="O1155" i="8"/>
  <c r="L1156" i="8"/>
  <c r="H1168" i="8"/>
  <c r="O1161" i="8"/>
  <c r="L1178" i="8"/>
  <c r="L1157" i="8"/>
  <c r="L1164" i="8"/>
  <c r="L1176" i="8"/>
  <c r="L1138" i="8"/>
  <c r="L1170" i="8"/>
  <c r="L1140" i="8"/>
  <c r="L1195" i="8"/>
  <c r="L1198" i="8"/>
  <c r="L1197" i="8"/>
  <c r="L1200" i="8"/>
  <c r="L1192" i="8"/>
  <c r="L1203" i="8"/>
  <c r="J1194" i="8"/>
  <c r="L1194" i="8" s="1"/>
  <c r="H1194" i="8"/>
  <c r="Q1205" i="8"/>
  <c r="S1095" i="8"/>
  <c r="Q1094" i="8"/>
  <c r="H1290" i="8"/>
  <c r="H1294" i="8"/>
  <c r="H1248" i="8"/>
  <c r="H1258" i="8"/>
  <c r="H1256" i="8"/>
  <c r="H1250" i="8"/>
  <c r="H1240" i="8"/>
  <c r="H1242" i="8"/>
  <c r="H1245" i="8"/>
  <c r="H1222" i="8"/>
  <c r="H1224" i="8"/>
  <c r="H1227" i="8"/>
  <c r="H1129" i="8"/>
  <c r="H1133" i="8"/>
  <c r="H1130" i="8"/>
  <c r="H1134" i="8"/>
  <c r="H1128" i="8"/>
  <c r="H1160" i="8"/>
  <c r="S1143" i="8"/>
  <c r="H1171" i="8"/>
  <c r="O1147" i="8"/>
  <c r="L1165" i="8"/>
  <c r="S1177" i="8"/>
  <c r="H1155" i="8"/>
  <c r="O1156" i="8"/>
  <c r="L1173" i="8"/>
  <c r="S1168" i="8"/>
  <c r="H1161" i="8"/>
  <c r="O1178" i="8"/>
  <c r="O1164" i="8"/>
  <c r="O1138" i="8"/>
  <c r="O1140" i="8"/>
  <c r="O1195" i="8"/>
  <c r="O1197" i="8"/>
  <c r="O1192" i="8"/>
  <c r="J1110" i="8"/>
  <c r="L1110" i="8" s="1"/>
  <c r="H1110" i="8"/>
  <c r="O1110" i="8"/>
  <c r="J693" i="8"/>
  <c r="L693" i="8" s="1"/>
  <c r="H693" i="8"/>
  <c r="O693" i="8"/>
  <c r="J957" i="8"/>
  <c r="L957" i="8" s="1"/>
  <c r="H957" i="8"/>
  <c r="O957" i="8"/>
  <c r="O1157" i="8"/>
  <c r="O1176" i="8"/>
  <c r="O1170" i="8"/>
  <c r="O1198" i="8"/>
  <c r="O1200" i="8"/>
  <c r="O1203" i="8"/>
  <c r="S1100" i="8"/>
  <c r="Q1098" i="8"/>
  <c r="J1107" i="8"/>
  <c r="L1107" i="8" s="1"/>
  <c r="H1107" i="8"/>
  <c r="J1108" i="8"/>
  <c r="L1108" i="8" s="1"/>
  <c r="H1108" i="8"/>
  <c r="J1097" i="8"/>
  <c r="L1097" i="8" s="1"/>
  <c r="H1097" i="8"/>
  <c r="J688" i="8"/>
  <c r="L688" i="8" s="1"/>
  <c r="H688" i="8"/>
  <c r="J696" i="8"/>
  <c r="L696" i="8" s="1"/>
  <c r="H696" i="8"/>
  <c r="P945" i="8"/>
  <c r="J954" i="8"/>
  <c r="L954" i="8" s="1"/>
  <c r="H954" i="8"/>
  <c r="Q1182" i="8"/>
  <c r="J1196" i="8"/>
  <c r="L1196" i="8" s="1"/>
  <c r="S1196" i="8"/>
  <c r="S1213" i="8"/>
  <c r="S1219" i="8"/>
  <c r="H1216" i="8"/>
  <c r="P1098" i="8"/>
  <c r="S1097" i="8"/>
  <c r="L1191" i="8"/>
  <c r="O1201" i="8"/>
  <c r="H1196" i="8"/>
  <c r="L1209" i="8"/>
  <c r="S1218" i="8"/>
  <c r="H1211" i="8"/>
  <c r="O1219" i="8"/>
  <c r="S1099" i="8"/>
  <c r="P1094" i="8"/>
  <c r="S693" i="8"/>
  <c r="H949" i="8"/>
  <c r="H961" i="8"/>
  <c r="H968" i="8"/>
  <c r="H973" i="8"/>
  <c r="Q974" i="8"/>
  <c r="H986" i="8"/>
  <c r="S986" i="8"/>
  <c r="H987" i="8"/>
  <c r="H981" i="8"/>
  <c r="H988" i="8"/>
  <c r="O976" i="8"/>
  <c r="H992" i="8"/>
  <c r="O992" i="8"/>
  <c r="O991" i="8" s="1"/>
  <c r="S709" i="8"/>
  <c r="H698" i="8"/>
  <c r="H701" i="8"/>
  <c r="H712" i="8"/>
  <c r="S725" i="8"/>
  <c r="Q723" i="8"/>
  <c r="H726" i="8"/>
  <c r="H730" i="8"/>
  <c r="H732" i="8"/>
  <c r="S855" i="8"/>
  <c r="S851" i="8"/>
  <c r="H821" i="8"/>
  <c r="H828" i="8"/>
  <c r="H834" i="8"/>
  <c r="S1354" i="8"/>
  <c r="O1001" i="8"/>
  <c r="S1002" i="8"/>
  <c r="O998" i="8"/>
  <c r="L922" i="8"/>
  <c r="H918" i="8"/>
  <c r="O949" i="8"/>
  <c r="O961" i="8"/>
  <c r="O968" i="8"/>
  <c r="O973" i="8"/>
  <c r="O986" i="8"/>
  <c r="O987" i="8"/>
  <c r="O981" i="8"/>
  <c r="O988" i="8"/>
  <c r="Q713" i="8"/>
  <c r="S714" i="8"/>
  <c r="J918" i="8"/>
  <c r="L918" i="8" s="1"/>
  <c r="O918" i="8"/>
  <c r="O1102" i="8"/>
  <c r="O1105" i="8"/>
  <c r="O1106" i="8"/>
  <c r="O689" i="8"/>
  <c r="O690" i="8"/>
  <c r="O695" i="8"/>
  <c r="O956" i="8"/>
  <c r="O946" i="8"/>
  <c r="O953" i="8"/>
  <c r="O962" i="8"/>
  <c r="O964" i="8"/>
  <c r="O972" i="8"/>
  <c r="O975" i="8"/>
  <c r="O984" i="8"/>
  <c r="O978" i="8"/>
  <c r="O709" i="8"/>
  <c r="L698" i="8"/>
  <c r="L701" i="8"/>
  <c r="L712" i="8"/>
  <c r="L726" i="8"/>
  <c r="L730" i="8"/>
  <c r="L732" i="8"/>
  <c r="Q1299" i="8"/>
  <c r="S1307" i="8"/>
  <c r="Q1003" i="8"/>
  <c r="L821" i="8"/>
  <c r="L828" i="8"/>
  <c r="L834" i="8"/>
  <c r="Q1014" i="8"/>
  <c r="S1018" i="8"/>
  <c r="P917" i="8"/>
  <c r="H922" i="8"/>
  <c r="S927" i="8"/>
  <c r="S930" i="8"/>
  <c r="J1312" i="8"/>
  <c r="L1312" i="8" s="1"/>
  <c r="H1312" i="8"/>
  <c r="O1312" i="8"/>
  <c r="Q945" i="8"/>
  <c r="Q959" i="8"/>
  <c r="Q969" i="8"/>
  <c r="L992" i="8"/>
  <c r="Q697" i="8"/>
  <c r="P697" i="8"/>
  <c r="H709" i="8"/>
  <c r="O698" i="8"/>
  <c r="O701" i="8"/>
  <c r="O712" i="8"/>
  <c r="L715" i="8"/>
  <c r="O726" i="8"/>
  <c r="O730" i="8"/>
  <c r="O732" i="8"/>
  <c r="S856" i="8"/>
  <c r="Q849" i="8"/>
  <c r="H855" i="8"/>
  <c r="H851" i="8"/>
  <c r="S1304" i="8"/>
  <c r="S1302" i="8"/>
  <c r="S675" i="8"/>
  <c r="S685" i="8"/>
  <c r="L1007" i="8"/>
  <c r="O821" i="8"/>
  <c r="O828" i="8"/>
  <c r="O834" i="8"/>
  <c r="Q1353" i="8"/>
  <c r="H1354" i="8"/>
  <c r="L1001" i="8"/>
  <c r="H1002" i="8"/>
  <c r="L998" i="8"/>
  <c r="S934" i="8"/>
  <c r="J703" i="8"/>
  <c r="L703" i="8" s="1"/>
  <c r="J706" i="8"/>
  <c r="L706" i="8" s="1"/>
  <c r="J714" i="8"/>
  <c r="L714" i="8" s="1"/>
  <c r="J718" i="8"/>
  <c r="L718" i="8" s="1"/>
  <c r="J725" i="8"/>
  <c r="L725" i="8" s="1"/>
  <c r="J729" i="8"/>
  <c r="L729" i="8" s="1"/>
  <c r="Q731" i="8"/>
  <c r="J733" i="8"/>
  <c r="L733" i="8" s="1"/>
  <c r="J856" i="8"/>
  <c r="L856" i="8" s="1"/>
  <c r="J854" i="8"/>
  <c r="L854" i="8" s="1"/>
  <c r="J1307" i="8"/>
  <c r="L1307" i="8" s="1"/>
  <c r="J1300" i="8"/>
  <c r="L1300" i="8" s="1"/>
  <c r="Q674" i="8"/>
  <c r="J676" i="8"/>
  <c r="L676" i="8" s="1"/>
  <c r="J684" i="8"/>
  <c r="L684" i="8" s="1"/>
  <c r="J826" i="8"/>
  <c r="L826" i="8" s="1"/>
  <c r="J831" i="8"/>
  <c r="L831" i="8" s="1"/>
  <c r="J1356" i="8"/>
  <c r="L1356" i="8" s="1"/>
  <c r="Q994" i="8"/>
  <c r="J996" i="8"/>
  <c r="L996" i="8" s="1"/>
  <c r="J1017" i="8"/>
  <c r="L1017" i="8" s="1"/>
  <c r="L926" i="8"/>
  <c r="J934" i="8"/>
  <c r="L934" i="8" s="1"/>
  <c r="H934" i="8"/>
  <c r="J930" i="8"/>
  <c r="L930" i="8" s="1"/>
  <c r="H930" i="8"/>
  <c r="S909" i="8"/>
  <c r="Q901" i="8"/>
  <c r="J902" i="8"/>
  <c r="L902" i="8" s="1"/>
  <c r="H902" i="8"/>
  <c r="J914" i="8"/>
  <c r="L914" i="8" s="1"/>
  <c r="H914" i="8"/>
  <c r="P1310" i="8"/>
  <c r="O921" i="8"/>
  <c r="S931" i="8"/>
  <c r="Q929" i="8"/>
  <c r="S911" i="8"/>
  <c r="Q910" i="8"/>
  <c r="J906" i="8"/>
  <c r="L906" i="8" s="1"/>
  <c r="H906" i="8"/>
  <c r="S1312" i="8"/>
  <c r="L1352" i="8"/>
  <c r="P929" i="8"/>
  <c r="S906" i="8"/>
  <c r="P665" i="8"/>
  <c r="S1314" i="8"/>
  <c r="Q1310" i="8"/>
  <c r="J1316" i="8"/>
  <c r="L1316" i="8" s="1"/>
  <c r="H1316" i="8"/>
  <c r="H1349" i="8"/>
  <c r="H1347" i="8"/>
  <c r="Q938" i="8"/>
  <c r="H940" i="8"/>
  <c r="S940" i="8"/>
  <c r="H943" i="8"/>
  <c r="H1069" i="8"/>
  <c r="H1076" i="8"/>
  <c r="O1076" i="8"/>
  <c r="L1320" i="8"/>
  <c r="L1338" i="8"/>
  <c r="L1026" i="8"/>
  <c r="L1023" i="8"/>
  <c r="L1032" i="8"/>
  <c r="O1349" i="8"/>
  <c r="O1347" i="8"/>
  <c r="O1352" i="8"/>
  <c r="O940" i="8"/>
  <c r="O943" i="8"/>
  <c r="O1069" i="8"/>
  <c r="S1334" i="8"/>
  <c r="L1036" i="8"/>
  <c r="O935" i="8"/>
  <c r="O933" i="8" s="1"/>
  <c r="O912" i="8"/>
  <c r="O910" i="8" s="1"/>
  <c r="O904" i="8"/>
  <c r="O903" i="8"/>
  <c r="O915" i="8"/>
  <c r="O913" i="8" s="1"/>
  <c r="O1311" i="8"/>
  <c r="O1313" i="8"/>
  <c r="O1344" i="8"/>
  <c r="O1345" i="8"/>
  <c r="O1348" i="8"/>
  <c r="O944" i="8"/>
  <c r="O1068" i="8"/>
  <c r="S1076" i="8"/>
  <c r="Q1072" i="8"/>
  <c r="H1073" i="8"/>
  <c r="Q933" i="8"/>
  <c r="Q665" i="8"/>
  <c r="Q1065" i="8"/>
  <c r="L1076" i="8"/>
  <c r="S1073" i="8"/>
  <c r="L1329" i="8"/>
  <c r="L1022" i="8"/>
  <c r="L1021" i="8"/>
  <c r="H1332" i="8"/>
  <c r="O1338" i="8"/>
  <c r="J1339" i="8"/>
  <c r="L1339" i="8" s="1"/>
  <c r="Q1019" i="8"/>
  <c r="O1022" i="8"/>
  <c r="O1026" i="8"/>
  <c r="O1032" i="8"/>
  <c r="O1036" i="8"/>
  <c r="S836" i="8"/>
  <c r="Q1319" i="8"/>
  <c r="H1042" i="8"/>
  <c r="O1329" i="8"/>
  <c r="O1320" i="8"/>
  <c r="O1341" i="8"/>
  <c r="O1021" i="8"/>
  <c r="O1023" i="8"/>
  <c r="O1031" i="8"/>
  <c r="O1039" i="8"/>
  <c r="H840" i="8"/>
  <c r="Q1337" i="8"/>
  <c r="L1042" i="8"/>
  <c r="S721" i="8"/>
  <c r="Q720" i="8"/>
  <c r="H836" i="8"/>
  <c r="P835" i="8"/>
  <c r="S840" i="8"/>
  <c r="L873" i="8"/>
  <c r="L881" i="8"/>
  <c r="L1051" i="8"/>
  <c r="L897" i="8"/>
  <c r="J721" i="8"/>
  <c r="L721" i="8" s="1"/>
  <c r="Q835" i="8"/>
  <c r="O867" i="8"/>
  <c r="O875" i="8"/>
  <c r="O872" i="8"/>
  <c r="O1044" i="8"/>
  <c r="O1048" i="8"/>
  <c r="H859" i="8"/>
  <c r="S859" i="8"/>
  <c r="O860" i="8"/>
  <c r="O892" i="8"/>
  <c r="O898" i="8"/>
  <c r="O869" i="8"/>
  <c r="O870" i="8"/>
  <c r="O873" i="8"/>
  <c r="O878" i="8"/>
  <c r="O881" i="8"/>
  <c r="O1047" i="8"/>
  <c r="O1051" i="8"/>
  <c r="O859" i="8"/>
  <c r="O891" i="8"/>
  <c r="O897" i="8"/>
  <c r="S864" i="8"/>
  <c r="S1045" i="8"/>
  <c r="S34" i="8" l="1"/>
  <c r="S1261" i="8"/>
  <c r="S1325" i="8"/>
  <c r="O1325" i="8"/>
  <c r="O80" i="8"/>
  <c r="S183" i="8"/>
  <c r="O183" i="8"/>
  <c r="S80" i="8"/>
  <c r="O818" i="8"/>
  <c r="O791" i="8"/>
  <c r="S592" i="8"/>
  <c r="S925" i="8"/>
  <c r="S776" i="8"/>
  <c r="S1089" i="8"/>
  <c r="O1072" i="8"/>
  <c r="S244" i="8"/>
  <c r="O849" i="8"/>
  <c r="O731" i="8"/>
  <c r="O835" i="8"/>
  <c r="S1319" i="8"/>
  <c r="S991" i="8"/>
  <c r="S895" i="8"/>
  <c r="O917" i="8"/>
  <c r="S1014" i="8"/>
  <c r="S753" i="8"/>
  <c r="S368" i="8"/>
  <c r="S796" i="8"/>
  <c r="S1078" i="8"/>
  <c r="S215" i="8"/>
  <c r="S858" i="8"/>
  <c r="S723" i="8"/>
  <c r="O1205" i="8"/>
  <c r="S1083" i="8"/>
  <c r="O674" i="8"/>
  <c r="S1342" i="8"/>
  <c r="S1003" i="8"/>
  <c r="S1029" i="8"/>
  <c r="S260" i="8"/>
  <c r="S746" i="8"/>
  <c r="S443" i="8"/>
  <c r="S1285" i="8"/>
  <c r="S275" i="8"/>
  <c r="S1065" i="8"/>
  <c r="S969" i="8"/>
  <c r="S933" i="8"/>
  <c r="S697" i="8"/>
  <c r="S1274" i="8"/>
  <c r="S1035" i="8"/>
  <c r="S731" i="8"/>
  <c r="O1291" i="8"/>
  <c r="O858" i="8"/>
  <c r="S1094" i="8"/>
  <c r="O1299" i="8"/>
  <c r="O925" i="8"/>
  <c r="S643" i="8"/>
  <c r="O1065" i="8"/>
  <c r="O781" i="8"/>
  <c r="S1295" i="8"/>
  <c r="S665" i="8"/>
  <c r="S1246" i="8"/>
  <c r="S959" i="8"/>
  <c r="S945" i="8"/>
  <c r="S1052" i="8"/>
  <c r="S569" i="8"/>
  <c r="S632" i="8"/>
  <c r="S765" i="8"/>
  <c r="S781" i="8"/>
  <c r="S713" i="8"/>
  <c r="S525" i="8"/>
  <c r="S1019" i="8"/>
  <c r="S1337" i="8"/>
  <c r="S917" i="8"/>
  <c r="S818" i="8"/>
  <c r="S861" i="8"/>
  <c r="S720" i="8"/>
  <c r="O969" i="8"/>
  <c r="S1233" i="8"/>
  <c r="O1295" i="8"/>
  <c r="S882" i="8"/>
  <c r="S595" i="8"/>
  <c r="S247" i="8"/>
  <c r="S994" i="8"/>
  <c r="S974" i="8"/>
  <c r="S1098" i="8"/>
  <c r="S1182" i="8"/>
  <c r="O776" i="8"/>
  <c r="S791" i="8"/>
  <c r="S913" i="8"/>
  <c r="S1043" i="8"/>
  <c r="S938" i="8"/>
  <c r="S901" i="8"/>
  <c r="S849" i="8"/>
  <c r="O1052" i="8"/>
  <c r="O765" i="8"/>
  <c r="O581" i="8"/>
  <c r="O561" i="8"/>
  <c r="O525" i="8"/>
  <c r="S451" i="8"/>
  <c r="S429" i="8"/>
  <c r="O215" i="8"/>
  <c r="O1019" i="8"/>
  <c r="S740" i="8"/>
  <c r="O443" i="8"/>
  <c r="S889" i="8"/>
  <c r="S1112" i="8"/>
  <c r="S561" i="8"/>
  <c r="S265" i="8"/>
  <c r="O889" i="8"/>
  <c r="O1029" i="8"/>
  <c r="O901" i="8"/>
  <c r="S1353" i="8"/>
  <c r="O723" i="8"/>
  <c r="S1299" i="8"/>
  <c r="O959" i="8"/>
  <c r="O994" i="8"/>
  <c r="S1137" i="8"/>
  <c r="O1112" i="8"/>
  <c r="O1233" i="8"/>
  <c r="O1285" i="8"/>
  <c r="O368" i="8"/>
  <c r="O223" i="8"/>
  <c r="O304" i="8"/>
  <c r="O265" i="8"/>
  <c r="S759" i="8"/>
  <c r="S3" i="8"/>
  <c r="O895" i="8"/>
  <c r="O1035" i="8"/>
  <c r="O796" i="8"/>
  <c r="O275" i="8"/>
  <c r="O569" i="8"/>
  <c r="O202" i="8"/>
  <c r="S304" i="8"/>
  <c r="S1220" i="8"/>
  <c r="O1137" i="8"/>
  <c r="S178" i="8"/>
  <c r="S36" i="8"/>
  <c r="S202" i="8"/>
  <c r="O1319" i="8"/>
  <c r="S674" i="8"/>
  <c r="O686" i="8"/>
  <c r="S1291" i="8"/>
  <c r="O1043" i="8"/>
  <c r="O1337" i="8"/>
  <c r="O1342" i="8"/>
  <c r="O665" i="8"/>
  <c r="S929" i="8"/>
  <c r="O945" i="8"/>
  <c r="S1205" i="8"/>
  <c r="O1182" i="8"/>
  <c r="O1220" i="8"/>
  <c r="O632" i="8"/>
  <c r="O429" i="8"/>
  <c r="S223" i="8"/>
  <c r="O36" i="8"/>
  <c r="O1310" i="8"/>
  <c r="S686" i="8"/>
  <c r="O595" i="8"/>
  <c r="O643" i="8"/>
  <c r="O247" i="8"/>
  <c r="O882" i="8"/>
  <c r="O3" i="8"/>
  <c r="O178" i="8"/>
  <c r="O861" i="8"/>
  <c r="S835" i="8"/>
  <c r="S1310" i="8"/>
  <c r="O974" i="8"/>
  <c r="S1072" i="8"/>
  <c r="O938" i="8"/>
  <c r="S910" i="8"/>
  <c r="O697" i="8"/>
  <c r="O1098" i="8"/>
  <c r="O1246" i="8"/>
  <c r="O1274" i="8"/>
  <c r="O451" i="8"/>
  <c r="S581" i="8"/>
  <c r="I108" i="2"/>
  <c r="C108" i="2"/>
  <c r="D37" i="2"/>
  <c r="I170" i="2"/>
  <c r="C170" i="2"/>
  <c r="N170" i="2"/>
  <c r="D170" i="2"/>
  <c r="N177" i="2"/>
  <c r="I177" i="2"/>
  <c r="D177" i="2"/>
  <c r="C177" i="2"/>
  <c r="N95" i="2"/>
  <c r="I95" i="2"/>
  <c r="D95" i="2"/>
  <c r="C95" i="2"/>
  <c r="N94" i="2"/>
  <c r="I94" i="2"/>
  <c r="D94" i="2"/>
  <c r="C94" i="2"/>
  <c r="I36" i="2"/>
  <c r="C36" i="2"/>
  <c r="N36" i="2"/>
  <c r="D36" i="2"/>
  <c r="I198" i="2"/>
  <c r="C198" i="2"/>
  <c r="N192" i="2"/>
  <c r="I192" i="2"/>
  <c r="D192" i="2"/>
  <c r="C192" i="2"/>
  <c r="C163" i="2"/>
  <c r="C162" i="2"/>
  <c r="I191" i="2"/>
  <c r="C191" i="2"/>
  <c r="I100" i="2"/>
  <c r="C100" i="2"/>
  <c r="N99" i="2"/>
  <c r="I99" i="2"/>
  <c r="D99" i="2"/>
  <c r="C99" i="2"/>
  <c r="N190" i="2"/>
  <c r="I190" i="2"/>
  <c r="D190" i="2"/>
  <c r="C190" i="2"/>
  <c r="N191" i="2"/>
  <c r="D191" i="2"/>
  <c r="N186" i="2"/>
  <c r="I186" i="2"/>
  <c r="D186" i="2"/>
  <c r="C186" i="2"/>
  <c r="I187" i="2"/>
  <c r="C187" i="2"/>
  <c r="N187" i="2"/>
  <c r="D187" i="2"/>
  <c r="N184" i="2"/>
  <c r="I184" i="2"/>
  <c r="D184" i="2"/>
  <c r="C184" i="2"/>
  <c r="I185" i="2"/>
  <c r="C185" i="2"/>
  <c r="N65" i="2"/>
  <c r="I65" i="2"/>
  <c r="D65" i="2"/>
  <c r="C65" i="2"/>
  <c r="N182" i="2"/>
  <c r="I182" i="2"/>
  <c r="D182" i="2"/>
  <c r="C182" i="2"/>
  <c r="N180" i="2"/>
  <c r="I180" i="2"/>
  <c r="D180" i="2"/>
  <c r="C180" i="2"/>
  <c r="I181" i="2"/>
  <c r="C181" i="2"/>
  <c r="N181" i="2"/>
  <c r="D181" i="2"/>
  <c r="N183" i="2"/>
  <c r="I183" i="2"/>
  <c r="D183" i="2"/>
  <c r="C183" i="2"/>
  <c r="N185" i="2"/>
  <c r="D185" i="2"/>
  <c r="I157" i="2"/>
  <c r="C157" i="2"/>
  <c r="N156" i="2"/>
  <c r="I156" i="2"/>
  <c r="D156" i="2"/>
  <c r="C156" i="2"/>
  <c r="N155" i="2"/>
  <c r="I155" i="2"/>
  <c r="D155" i="2"/>
  <c r="C155" i="2"/>
  <c r="N157" i="2"/>
  <c r="D157" i="2"/>
  <c r="N178" i="2"/>
  <c r="I178" i="2"/>
  <c r="D178" i="2"/>
  <c r="C178" i="2"/>
  <c r="D175" i="2"/>
  <c r="N175" i="2"/>
  <c r="I175" i="2"/>
  <c r="C175" i="2"/>
  <c r="I176" i="2"/>
  <c r="C176" i="2"/>
  <c r="N174" i="2"/>
  <c r="I174" i="2"/>
  <c r="D174" i="2"/>
  <c r="C174" i="2"/>
  <c r="N172" i="2"/>
  <c r="I172" i="2"/>
  <c r="D172" i="2"/>
  <c r="C172" i="2"/>
  <c r="N171" i="2"/>
  <c r="I171" i="2"/>
  <c r="D171" i="2"/>
  <c r="C171" i="2"/>
  <c r="C167" i="2"/>
  <c r="C166" i="2"/>
  <c r="C161" i="2"/>
  <c r="C160" i="2"/>
  <c r="I139" i="2"/>
  <c r="I121" i="2"/>
  <c r="C121" i="2"/>
  <c r="I120" i="2"/>
  <c r="C120" i="2"/>
  <c r="I119" i="2"/>
  <c r="C119" i="2"/>
  <c r="N119" i="2"/>
  <c r="D119" i="2"/>
  <c r="N120" i="2"/>
  <c r="D120" i="2"/>
  <c r="N121" i="2"/>
  <c r="D121" i="2"/>
  <c r="I123" i="2"/>
  <c r="C123" i="2"/>
  <c r="N124" i="2"/>
  <c r="I124" i="2"/>
  <c r="D124" i="2"/>
  <c r="C124" i="2"/>
  <c r="I116" i="2"/>
  <c r="C116" i="2"/>
  <c r="N115" i="2"/>
  <c r="I115" i="2"/>
  <c r="D115" i="2"/>
  <c r="C115" i="2"/>
  <c r="N116" i="2"/>
  <c r="D116" i="2"/>
  <c r="I107" i="2"/>
  <c r="C107" i="2"/>
  <c r="I111" i="2"/>
  <c r="C111" i="2"/>
  <c r="I110" i="2"/>
  <c r="C110" i="2"/>
  <c r="N110" i="2"/>
  <c r="D110" i="2"/>
  <c r="N111" i="2"/>
  <c r="D111" i="2"/>
  <c r="N109" i="2"/>
  <c r="I109" i="2"/>
  <c r="D109" i="2"/>
  <c r="C109" i="2"/>
  <c r="N107" i="2"/>
  <c r="D107" i="2"/>
  <c r="N106" i="2"/>
  <c r="I106" i="2"/>
  <c r="D106" i="2"/>
  <c r="C106" i="2"/>
  <c r="I104" i="2"/>
  <c r="C104" i="2"/>
  <c r="N104" i="2"/>
  <c r="D104" i="2"/>
  <c r="N103" i="2"/>
  <c r="I103" i="2"/>
  <c r="D103" i="2"/>
  <c r="C103" i="2"/>
  <c r="N102" i="2"/>
  <c r="I102" i="2"/>
  <c r="D102" i="2"/>
  <c r="C102" i="2"/>
  <c r="N101" i="2"/>
  <c r="I101" i="2"/>
  <c r="D101" i="2"/>
  <c r="C101" i="2"/>
  <c r="N100" i="2"/>
  <c r="D100" i="2"/>
  <c r="N98" i="2"/>
  <c r="I98" i="2"/>
  <c r="D98" i="2"/>
  <c r="C98" i="2"/>
  <c r="N97" i="2"/>
  <c r="I97" i="2"/>
  <c r="D97" i="2"/>
  <c r="C97" i="2"/>
  <c r="N96" i="2"/>
  <c r="I96" i="2"/>
  <c r="D96" i="2"/>
  <c r="C96" i="2"/>
  <c r="N86" i="2"/>
  <c r="I86" i="2"/>
  <c r="D86" i="2"/>
  <c r="C86" i="2"/>
  <c r="I90" i="2"/>
  <c r="C90" i="2"/>
  <c r="N89" i="2"/>
  <c r="I89" i="2"/>
  <c r="D89" i="2"/>
  <c r="C89" i="2"/>
  <c r="I88" i="2"/>
  <c r="C88" i="2"/>
  <c r="N87" i="2"/>
  <c r="I87" i="2"/>
  <c r="D87" i="2"/>
  <c r="C87" i="2"/>
  <c r="I91" i="2"/>
  <c r="C91" i="2"/>
  <c r="N91" i="2"/>
  <c r="D91" i="2"/>
  <c r="N14" i="2"/>
  <c r="N43" i="2"/>
  <c r="I43" i="2"/>
  <c r="D43" i="2"/>
  <c r="C43" i="2"/>
  <c r="N42" i="2"/>
  <c r="I42" i="2"/>
  <c r="D42" i="2"/>
  <c r="C42" i="2"/>
  <c r="I45" i="2"/>
  <c r="D45" i="2"/>
  <c r="C45" i="2"/>
  <c r="I44" i="2"/>
  <c r="C44" i="2"/>
  <c r="N45" i="2"/>
  <c r="N44" i="2"/>
  <c r="D44" i="2"/>
  <c r="N62" i="2"/>
  <c r="I62" i="2"/>
  <c r="D62" i="2"/>
  <c r="C62" i="2"/>
  <c r="N64" i="2"/>
  <c r="I64" i="2"/>
  <c r="D64" i="2"/>
  <c r="C64" i="2"/>
  <c r="N63" i="2"/>
  <c r="I63" i="2"/>
  <c r="D63" i="2"/>
  <c r="C63" i="2"/>
  <c r="N55" i="2"/>
  <c r="I55" i="2"/>
  <c r="D55" i="2"/>
  <c r="C55" i="2"/>
  <c r="I58" i="2"/>
  <c r="C58" i="2"/>
  <c r="I52" i="2"/>
  <c r="C52" i="2"/>
  <c r="N52" i="2"/>
  <c r="D52" i="2"/>
  <c r="N58" i="2"/>
  <c r="D58" i="2"/>
  <c r="I57" i="2"/>
  <c r="C57" i="2"/>
  <c r="N57" i="2"/>
  <c r="D57" i="2"/>
  <c r="D53" i="2"/>
  <c r="I53" i="2"/>
  <c r="C53" i="2"/>
  <c r="N53" i="2"/>
  <c r="I49" i="2"/>
  <c r="C49" i="2"/>
  <c r="N49" i="2"/>
  <c r="D49" i="2"/>
  <c r="N77" i="2"/>
  <c r="I77" i="2"/>
  <c r="D77" i="2"/>
  <c r="C77" i="2"/>
  <c r="I78" i="2"/>
  <c r="C78" i="2"/>
  <c r="N78" i="2"/>
  <c r="D78" i="2"/>
  <c r="I33" i="2"/>
  <c r="C33" i="2"/>
  <c r="C37" i="2"/>
  <c r="C35" i="2"/>
  <c r="C34" i="2"/>
  <c r="I37" i="2"/>
  <c r="I35" i="2"/>
  <c r="N37" i="2"/>
  <c r="N35" i="2"/>
  <c r="D35" i="2"/>
  <c r="N33" i="2"/>
  <c r="D33" i="2"/>
  <c r="C32" i="2"/>
  <c r="I32" i="2"/>
  <c r="N32" i="2"/>
  <c r="D32" i="2"/>
  <c r="I26" i="2"/>
  <c r="C26" i="2"/>
  <c r="C18" i="2"/>
  <c r="C17" i="2"/>
  <c r="I16" i="2"/>
  <c r="C16" i="2"/>
  <c r="N26" i="2"/>
  <c r="D26" i="2"/>
  <c r="N41" i="2" l="1"/>
  <c r="N40" i="2" s="1"/>
  <c r="N28" i="2"/>
  <c r="I28" i="2"/>
  <c r="D28" i="2"/>
  <c r="C28" i="2"/>
  <c r="N19" i="2"/>
  <c r="I19" i="2"/>
  <c r="D19" i="2"/>
  <c r="C19" i="2"/>
  <c r="I15" i="2"/>
  <c r="C15" i="2"/>
  <c r="N15" i="2"/>
  <c r="D15" i="2"/>
  <c r="N18" i="2"/>
  <c r="I18" i="2"/>
  <c r="D18" i="2"/>
  <c r="N17" i="2"/>
  <c r="I17" i="2"/>
  <c r="D17" i="2"/>
  <c r="O1360" i="1"/>
  <c r="O3" i="1" l="1"/>
  <c r="Q3" i="1"/>
  <c r="P3" i="1"/>
  <c r="N161" i="2"/>
  <c r="N162" i="2"/>
  <c r="N163" i="2"/>
  <c r="N164" i="2"/>
  <c r="N165" i="2"/>
  <c r="N166" i="2"/>
  <c r="N167" i="2"/>
  <c r="N173" i="2"/>
  <c r="N176" i="2"/>
  <c r="N179" i="2"/>
  <c r="N193" i="2"/>
  <c r="N194" i="2"/>
  <c r="N195" i="2"/>
  <c r="N196" i="2"/>
  <c r="N197" i="2"/>
  <c r="N198" i="2"/>
  <c r="N199" i="2"/>
  <c r="N200" i="2"/>
  <c r="N201" i="2"/>
  <c r="N202" i="2"/>
  <c r="N160" i="2"/>
  <c r="N146" i="2"/>
  <c r="N145" i="2"/>
  <c r="N148" i="2"/>
  <c r="N149" i="2"/>
  <c r="N150" i="2"/>
  <c r="N153" i="2"/>
  <c r="N154" i="2"/>
  <c r="N147" i="2"/>
  <c r="N140" i="2"/>
  <c r="N76" i="2"/>
  <c r="N141" i="2"/>
  <c r="N142" i="2"/>
  <c r="N139" i="2"/>
  <c r="N129" i="2"/>
  <c r="N130" i="2"/>
  <c r="N131" i="2"/>
  <c r="N132" i="2"/>
  <c r="N133" i="2"/>
  <c r="N134" i="2"/>
  <c r="N135" i="2"/>
  <c r="N128" i="2"/>
  <c r="N113" i="2"/>
  <c r="N112" i="2"/>
  <c r="N123" i="2"/>
  <c r="N122" i="2"/>
  <c r="N75" i="2"/>
  <c r="N114" i="2"/>
  <c r="N83" i="2"/>
  <c r="N84" i="2"/>
  <c r="N92" i="2"/>
  <c r="N88" i="2"/>
  <c r="N90" i="2"/>
  <c r="N93" i="2"/>
  <c r="N85" i="2"/>
  <c r="N71" i="2"/>
  <c r="N72" i="2"/>
  <c r="N67" i="2"/>
  <c r="N68" i="2"/>
  <c r="N74" i="2"/>
  <c r="N108" i="2"/>
  <c r="N82" i="2"/>
  <c r="N16" i="2"/>
  <c r="N13" i="2"/>
  <c r="N11" i="2"/>
  <c r="N22" i="2"/>
  <c r="N25" i="2"/>
  <c r="N27" i="2"/>
  <c r="N30" i="2"/>
  <c r="N31" i="2"/>
  <c r="N20" i="2"/>
  <c r="N21" i="2"/>
  <c r="N34" i="2"/>
  <c r="N39" i="2"/>
  <c r="N48" i="2"/>
  <c r="N50" i="2"/>
  <c r="N56" i="2"/>
  <c r="I133" i="2"/>
  <c r="D133" i="2"/>
  <c r="C133" i="2"/>
  <c r="I134" i="2"/>
  <c r="D134" i="2"/>
  <c r="C134" i="2"/>
  <c r="I75" i="2"/>
  <c r="D75" i="2"/>
  <c r="C75" i="2"/>
  <c r="C132" i="2"/>
  <c r="C131" i="2"/>
  <c r="C130" i="2"/>
  <c r="C129" i="2"/>
  <c r="C128" i="2"/>
  <c r="I132" i="2"/>
  <c r="D132" i="2"/>
  <c r="I131" i="2"/>
  <c r="D131" i="2"/>
  <c r="I141" i="2"/>
  <c r="D141" i="2"/>
  <c r="C141" i="2"/>
  <c r="I76" i="2"/>
  <c r="D76" i="2"/>
  <c r="C76" i="2"/>
  <c r="I150" i="2"/>
  <c r="D150" i="2"/>
  <c r="C150" i="2"/>
  <c r="I149" i="2"/>
  <c r="D149" i="2"/>
  <c r="C149" i="2"/>
  <c r="I142" i="2"/>
  <c r="D142" i="2"/>
  <c r="C142" i="2"/>
  <c r="I84" i="2"/>
  <c r="D84" i="2"/>
  <c r="D82" i="2"/>
  <c r="C82" i="2"/>
  <c r="C83" i="2"/>
  <c r="C84" i="2"/>
  <c r="I30" i="2"/>
  <c r="D30" i="2"/>
  <c r="C30" i="2"/>
  <c r="I31" i="2"/>
  <c r="D31" i="2"/>
  <c r="C31" i="2"/>
  <c r="I128" i="2"/>
  <c r="D128" i="2"/>
  <c r="I199" i="2"/>
  <c r="C199" i="2"/>
  <c r="D198" i="2"/>
  <c r="I201" i="2"/>
  <c r="D201" i="2"/>
  <c r="C201" i="2"/>
  <c r="I193" i="2"/>
  <c r="D193" i="2"/>
  <c r="C193" i="2"/>
  <c r="N126" i="2" l="1"/>
  <c r="N125" i="2" s="1"/>
  <c r="N118" i="2"/>
  <c r="N117" i="2" s="1"/>
  <c r="N169" i="2"/>
  <c r="N168" i="2" s="1"/>
  <c r="N10" i="2"/>
  <c r="N80" i="2"/>
  <c r="N79" i="2" s="1"/>
  <c r="N144" i="2"/>
  <c r="N143" i="2" s="1"/>
  <c r="N47" i="2"/>
  <c r="N46" i="2" s="1"/>
  <c r="N152" i="2"/>
  <c r="N151" i="2" s="1"/>
  <c r="N159" i="2"/>
  <c r="N158" i="2" s="1"/>
  <c r="N70" i="2"/>
  <c r="N69" i="2" s="1"/>
  <c r="N137" i="2"/>
  <c r="N136" i="2" s="1"/>
  <c r="S3" i="1"/>
  <c r="D160" i="2" l="1"/>
  <c r="I160" i="2"/>
  <c r="C114" i="2" l="1"/>
  <c r="D114" i="2"/>
  <c r="I114" i="2"/>
  <c r="C113" i="2"/>
  <c r="D113" i="2"/>
  <c r="I113" i="2"/>
  <c r="I161" i="2"/>
  <c r="I167" i="2"/>
  <c r="I74" i="2"/>
  <c r="I68" i="2"/>
  <c r="I67" i="2"/>
  <c r="I72" i="2"/>
  <c r="I71" i="2"/>
  <c r="I83" i="2"/>
  <c r="I82" i="2"/>
  <c r="I34" i="2"/>
  <c r="C14" i="2"/>
  <c r="D14" i="2"/>
  <c r="I14" i="2"/>
  <c r="I154" i="2" l="1"/>
  <c r="D154" i="2"/>
  <c r="C154" i="2"/>
  <c r="I153" i="2"/>
  <c r="D153" i="2"/>
  <c r="C153" i="2"/>
  <c r="D199" i="2"/>
  <c r="I197" i="2"/>
  <c r="D197" i="2"/>
  <c r="C197" i="2"/>
  <c r="I202" i="2"/>
  <c r="D202" i="2"/>
  <c r="C202" i="2"/>
  <c r="I196" i="2"/>
  <c r="D196" i="2"/>
  <c r="C196" i="2"/>
  <c r="I195" i="2"/>
  <c r="D195" i="2"/>
  <c r="C195" i="2"/>
  <c r="I200" i="2"/>
  <c r="D200" i="2"/>
  <c r="C200" i="2"/>
  <c r="I194" i="2"/>
  <c r="D194" i="2"/>
  <c r="C194" i="2"/>
  <c r="D161" i="2"/>
  <c r="I166" i="2"/>
  <c r="D166" i="2"/>
  <c r="I165" i="2"/>
  <c r="D165" i="2"/>
  <c r="C165" i="2"/>
  <c r="D167" i="2"/>
  <c r="I164" i="2"/>
  <c r="D164" i="2"/>
  <c r="C164" i="2"/>
  <c r="I163" i="2"/>
  <c r="D163" i="2"/>
  <c r="I162" i="2"/>
  <c r="D162" i="2"/>
  <c r="D176" i="2"/>
  <c r="I173" i="2"/>
  <c r="D173" i="2"/>
  <c r="C173" i="2"/>
  <c r="I179" i="2"/>
  <c r="D179" i="2"/>
  <c r="C179" i="2"/>
  <c r="I50" i="2"/>
  <c r="D50" i="2"/>
  <c r="C50" i="2"/>
  <c r="I48" i="2"/>
  <c r="D48" i="2"/>
  <c r="C48" i="2"/>
  <c r="I147" i="2"/>
  <c r="D147" i="2"/>
  <c r="C147" i="2"/>
  <c r="I148" i="2"/>
  <c r="D148" i="2"/>
  <c r="C148" i="2"/>
  <c r="I146" i="2"/>
  <c r="D146" i="2"/>
  <c r="C146" i="2"/>
  <c r="I145" i="2"/>
  <c r="D145" i="2"/>
  <c r="C145" i="2"/>
  <c r="I135" i="2"/>
  <c r="D135" i="2"/>
  <c r="C135" i="2"/>
  <c r="I140" i="2"/>
  <c r="D140" i="2"/>
  <c r="C140" i="2"/>
  <c r="D139" i="2"/>
  <c r="C139" i="2"/>
  <c r="I130" i="2"/>
  <c r="D130" i="2"/>
  <c r="I129" i="2"/>
  <c r="D129" i="2"/>
  <c r="D74" i="2"/>
  <c r="D68" i="2"/>
  <c r="D67" i="2"/>
  <c r="D72" i="2"/>
  <c r="D71" i="2"/>
  <c r="I112" i="2"/>
  <c r="D112" i="2"/>
  <c r="C112" i="2"/>
  <c r="I122" i="2"/>
  <c r="D122" i="2"/>
  <c r="C122" i="2"/>
  <c r="D123" i="2"/>
  <c r="D108" i="2"/>
  <c r="I93" i="2"/>
  <c r="D93" i="2"/>
  <c r="C93" i="2"/>
  <c r="I92" i="2"/>
  <c r="D92" i="2"/>
  <c r="C92" i="2"/>
  <c r="I85" i="2"/>
  <c r="D85" i="2"/>
  <c r="C85" i="2"/>
  <c r="D83" i="2"/>
  <c r="D88" i="2"/>
  <c r="D90" i="2"/>
  <c r="I39" i="2"/>
  <c r="D39" i="2"/>
  <c r="C39" i="2"/>
  <c r="D34" i="2"/>
  <c r="I13" i="2"/>
  <c r="D13" i="2"/>
  <c r="C13" i="2"/>
  <c r="D16" i="2"/>
  <c r="I11" i="2"/>
  <c r="D11" i="2"/>
  <c r="C11" i="2"/>
  <c r="I56" i="2"/>
  <c r="D56" i="2"/>
  <c r="C56" i="2"/>
  <c r="I25" i="2"/>
  <c r="D25" i="2"/>
  <c r="C25" i="2"/>
  <c r="I22" i="2"/>
  <c r="D22" i="2"/>
  <c r="C22" i="2"/>
  <c r="I20" i="2"/>
  <c r="D20" i="2"/>
  <c r="C20" i="2"/>
  <c r="I21" i="2"/>
  <c r="D21" i="2"/>
  <c r="C21" i="2"/>
  <c r="I27" i="2"/>
  <c r="D27" i="2"/>
  <c r="C27" i="2"/>
</calcChain>
</file>

<file path=xl/sharedStrings.xml><?xml version="1.0" encoding="utf-8"?>
<sst xmlns="http://schemas.openxmlformats.org/spreadsheetml/2006/main" count="29137" uniqueCount="4819">
  <si>
    <t>DESCRIPTION</t>
  </si>
  <si>
    <t>SIZE</t>
  </si>
  <si>
    <t>UPC CODE</t>
  </si>
  <si>
    <t>WHOLESALE</t>
  </si>
  <si>
    <t xml:space="preserve">
DISCOUNT</t>
  </si>
  <si>
    <t xml:space="preserve">
COST</t>
  </si>
  <si>
    <t>UNIT COST</t>
  </si>
  <si>
    <t>SUGG RETAIL</t>
  </si>
  <si>
    <t>GM%</t>
  </si>
  <si>
    <t>12OZ SUNKIST ORANGE CN 24PK CB</t>
  </si>
  <si>
    <t>12OZ SQUIRT CN 24PK CB</t>
  </si>
  <si>
    <t>12OZ RC COLA CN 24PK CB</t>
  </si>
  <si>
    <t>12OZ DT DR PEPPER CN 24PK CB</t>
  </si>
  <si>
    <t>12OZ DT 7UP CN 24PK CB</t>
  </si>
  <si>
    <t>12OZ DR PEPPER CN 24PK CB</t>
  </si>
  <si>
    <t>12OZ CAN DRY GINGER ALE CN 24PK CB</t>
  </si>
  <si>
    <t>12OZ A&amp;W ROOT BEER CN 24PK CB</t>
  </si>
  <si>
    <t>12OZ 7UP CN 24PK CB</t>
  </si>
  <si>
    <t>0 78000-11310 5</t>
  </si>
  <si>
    <t>0 78000-01610 9</t>
  </si>
  <si>
    <t>0 78000-04110 1</t>
  </si>
  <si>
    <t>0 78000-08310 1</t>
  </si>
  <si>
    <t>0 78000-01234 7</t>
  </si>
  <si>
    <t>0 78000-08210 4</t>
  </si>
  <si>
    <t>0 78000-15210 4</t>
  </si>
  <si>
    <t>0 78000-05210 7</t>
  </si>
  <si>
    <t>0 78000-01214 9</t>
  </si>
  <si>
    <t>12OZ VERNORS GINGER ALE CN 12PKX2</t>
  </si>
  <si>
    <t>12OZ TAHITIAN TRT FRT PNCH CN 12PKX2</t>
  </si>
  <si>
    <t>12OZ SUNNY DELIGHT ORANGE CN 12PKX2</t>
  </si>
  <si>
    <t>12OZ SUNKIST STRAWBERRY CN 12PKX2</t>
  </si>
  <si>
    <t>12OZ SUNKIST ORANGE CN 12PKX2 NOD</t>
  </si>
  <si>
    <t>12OZ SUNKIST LEMONADE NCRB CN 12PKX2</t>
  </si>
  <si>
    <t>12OZ SUNKIST GRAPE CN 12PKX2</t>
  </si>
  <si>
    <t>12OZ SUNDROP CN 12PKX2</t>
  </si>
  <si>
    <t>12OZ SQUIRT CN 12PKX2</t>
  </si>
  <si>
    <t>12OZ RUBY RED SQUIRT CN 12PKX2</t>
  </si>
  <si>
    <t>12OZ RC COLA CN 12PKX2</t>
  </si>
  <si>
    <t>12OZ NEHI PEACH CN 12PKX2</t>
  </si>
  <si>
    <t>12OZ HIRES ROOT BEER CN 12PKX2</t>
  </si>
  <si>
    <t>12OZ HAW PUNCH FRT JCY RD CN 12PKX2</t>
  </si>
  <si>
    <t>12OZ DT VERNORS GINGER ALE CN 12PKX2</t>
  </si>
  <si>
    <t>12OZ DT SUNKIST ORANGE CN 12PKX2</t>
  </si>
  <si>
    <t>12OZ DT SUNDROP CN 12PKX2</t>
  </si>
  <si>
    <t>12OZ DT SQUIRT CN 12PKX2</t>
  </si>
  <si>
    <t>12OZ DT RITE COLA CN 12PKX2</t>
  </si>
  <si>
    <t>12OZ DT DR PEPPER CN 12PKX2 NOD</t>
  </si>
  <si>
    <t>12OZ DT CHERRY DR PEPPER CN 12PKX2</t>
  </si>
  <si>
    <t>12OZ DT CHERRY 7UP CN 12PKX2</t>
  </si>
  <si>
    <t>12OZ DT CAN DRY GINGER ALE CN 12PKX2</t>
  </si>
  <si>
    <t>12OZ DT C/F DR PEPPER CN 12PKX2</t>
  </si>
  <si>
    <t>12OZ DT A&amp;W ROOT BEER CN 12PKX2</t>
  </si>
  <si>
    <t>12OZ DT A&amp;W CRM SODA CN 12PKX2</t>
  </si>
  <si>
    <t>12OZ DT 7UP CN 12PKX2 NOD</t>
  </si>
  <si>
    <t>12OZ DR PEPPER TEN CN 12PKX2</t>
  </si>
  <si>
    <t>12OZ DR PEPPER SUGR CN 12PKX2</t>
  </si>
  <si>
    <t>12OZ DR PEPPER CN 12PKX2 NOD</t>
  </si>
  <si>
    <t>12OZ CHERRY RC COLA CN 12PKX2</t>
  </si>
  <si>
    <t>12OZ CHERRY DR PEPPER CN 12PKX2</t>
  </si>
  <si>
    <t>12OZ CHERRY 7UP CN 12PKX2</t>
  </si>
  <si>
    <t>12OZ CAN DRY GINGER ALE CN 12PKX2</t>
  </si>
  <si>
    <t>12OZ CAN DRY BLACKBRY GNGR ALE CN 12PKX2</t>
  </si>
  <si>
    <t>12OZ BIG RED CN 12PKX2</t>
  </si>
  <si>
    <t>12OZ A&amp;W ROOT BEER CN 12PKX2 NOD</t>
  </si>
  <si>
    <t>12OZ A&amp;W CRM SODA CN 12PKX2</t>
  </si>
  <si>
    <t>12OZ 7UP CN 12PKX2 NOD</t>
  </si>
  <si>
    <t>0 78000-18016 9</t>
  </si>
  <si>
    <t>0 78000-02025 0</t>
  </si>
  <si>
    <t>0 50200-00148 2</t>
  </si>
  <si>
    <t>0 78000-11816 2</t>
  </si>
  <si>
    <t>0 78000-11316 7</t>
  </si>
  <si>
    <t>0 78000-02763 1</t>
  </si>
  <si>
    <t>0 78000-11616 8</t>
  </si>
  <si>
    <t>0 78000-23016 1</t>
  </si>
  <si>
    <t>0 78000-01616 1</t>
  </si>
  <si>
    <t>0 78000-01816 5</t>
  </si>
  <si>
    <t>0 78000-04116 3</t>
  </si>
  <si>
    <t>0 29500-26295 4</t>
  </si>
  <si>
    <t>0 41710-41350 6</t>
  </si>
  <si>
    <t>0 78000-04052 4</t>
  </si>
  <si>
    <t>0 78000-18216 3</t>
  </si>
  <si>
    <t>0 78000-12216 9</t>
  </si>
  <si>
    <t>0 78000-23116 8</t>
  </si>
  <si>
    <t>0 78000-01716 8</t>
  </si>
  <si>
    <t>0 78000-06316 5</t>
  </si>
  <si>
    <t>0 78000-08316 3</t>
  </si>
  <si>
    <t>0 78000-01188 3</t>
  </si>
  <si>
    <t>0 78000-14816 9</t>
  </si>
  <si>
    <t>0 78000-08516 7</t>
  </si>
  <si>
    <t>0 78000-05316 6</t>
  </si>
  <si>
    <t>0 78000-05512 2</t>
  </si>
  <si>
    <t>0 78000-01181 4</t>
  </si>
  <si>
    <t>0 78000-10216 1</t>
  </si>
  <si>
    <t>0 78000-08216 6</t>
  </si>
  <si>
    <t>0 78000-04416 4</t>
  </si>
  <si>
    <t>0 78000-09816 7</t>
  </si>
  <si>
    <t>0 78000-01182 1</t>
  </si>
  <si>
    <t>0 78000-15216 6</t>
  </si>
  <si>
    <t>0 78000-02608 5</t>
  </si>
  <si>
    <t>0 71817-03329 1</t>
  </si>
  <si>
    <t>0 78000-05216 9</t>
  </si>
  <si>
    <t>0 78000-05416 3</t>
  </si>
  <si>
    <t>0 78000-01180 7</t>
  </si>
  <si>
    <t>0 78000-15616 4</t>
  </si>
  <si>
    <t>12OZ SUNKIST ORANGE CN 6PKX4 HC</t>
  </si>
  <si>
    <t>12OZ DT DR PEPPER CN 6PKX4 HC</t>
  </si>
  <si>
    <t>12OZ DR PEPPER CN 6PKX4 HC</t>
  </si>
  <si>
    <t>12OZ A&amp;W ROOT BEER CN 6PKX4 HC</t>
  </si>
  <si>
    <t>12OZ 7UP CN 6PKX4 HC</t>
  </si>
  <si>
    <t>0 78000-00274 4</t>
  </si>
  <si>
    <t>0 78000-00323 9</t>
  </si>
  <si>
    <t>0 78000-00315 4</t>
  </si>
  <si>
    <t>0 78000-00187 7</t>
  </si>
  <si>
    <t>0 78000-00038 2</t>
  </si>
  <si>
    <t>12OZ CAN DRY CRANB GINGER ALE CN 12PKX2</t>
  </si>
  <si>
    <t>0 78000-00209 6</t>
  </si>
  <si>
    <t>7.5OZ SUNKIST ORANGE SCN 6PKX4 BB</t>
  </si>
  <si>
    <t>0 78000-00208 9</t>
  </si>
  <si>
    <t>7.5OZ SQUIRT SCN 6PKX4 BB</t>
  </si>
  <si>
    <t>7.5OZ DT DR PEPPER SCN 6PKX4 BB</t>
  </si>
  <si>
    <t>0 78000-00205 8</t>
  </si>
  <si>
    <t>7.5OZ DT CAN DRY GINGER ALE SCN 6PKX4 BB</t>
  </si>
  <si>
    <t>0 78000-00212 6</t>
  </si>
  <si>
    <t>7.5OZ DT 7UP SCN 6PKX4 BB</t>
  </si>
  <si>
    <t>0 78000-00189 1</t>
  </si>
  <si>
    <t>7.5OZ DR PEPPER SCN 6PKX4 BB</t>
  </si>
  <si>
    <t>0 78000-00204 1</t>
  </si>
  <si>
    <t>0 78000-00201 0</t>
  </si>
  <si>
    <t>7.5OZ CAN DRY GINGER ALE SCN 6PKX4 BB</t>
  </si>
  <si>
    <t>0 78000-00197 6</t>
  </si>
  <si>
    <t>7.5OZ A&amp;W ROOT BEER SCN 6PKX4 BB</t>
  </si>
  <si>
    <t>0 78000-00180 8</t>
  </si>
  <si>
    <t>7.5OZ 7UP SCN 6PKX4 BB</t>
  </si>
  <si>
    <t>16OZ DR PEPPER CN LS24</t>
  </si>
  <si>
    <t>0 78000-00586 8</t>
  </si>
  <si>
    <t>16OZ 7UP CN LS24</t>
  </si>
  <si>
    <t>0 78000-00039 9</t>
  </si>
  <si>
    <t>16OZ A&amp;W ROOT BEER CN LS24</t>
  </si>
  <si>
    <t>0 78000-05223 7</t>
  </si>
  <si>
    <t>16OZ SUNKIST ORANGE CN LS24</t>
  </si>
  <si>
    <t>0 78000-11323 5</t>
  </si>
  <si>
    <t>16OZ CAN DRY GINGER ALE CN LS24</t>
  </si>
  <si>
    <t>0 78000-02439 5</t>
  </si>
  <si>
    <t>20OZ DR PEPPER PET LS24</t>
  </si>
  <si>
    <t>0 78000-08240 1</t>
  </si>
  <si>
    <t>20OZ DT DR PEPPER PET LS24</t>
  </si>
  <si>
    <t>0 78000-08340 8</t>
  </si>
  <si>
    <t>20OZ CHERRY DR PEPPER PET LS24</t>
  </si>
  <si>
    <t>0 78000-09840 2</t>
  </si>
  <si>
    <t>20OZ DT CHERRY DR PEPPER PET LS24</t>
  </si>
  <si>
    <t>0 78000-09940 9</t>
  </si>
  <si>
    <t>20OZ 7UP PET LS24</t>
  </si>
  <si>
    <t>0 78000-00161 7</t>
  </si>
  <si>
    <t>20OZ DT 7UP PET LS24</t>
  </si>
  <si>
    <t>0 78000-00162 4</t>
  </si>
  <si>
    <t>20OZ CHERRY 7UP PET LS24</t>
  </si>
  <si>
    <t>0 78000-00554 7</t>
  </si>
  <si>
    <t>20OZ A&amp;W ROOT BEER PET LS24</t>
  </si>
  <si>
    <t>0 78000-05240 4</t>
  </si>
  <si>
    <t>20OZ DT A&amp;W ROOT BEER PET LS24</t>
  </si>
  <si>
    <t>0 78000-05340 1</t>
  </si>
  <si>
    <t>20OZ A&amp;W CRM SODA PET LS24</t>
  </si>
  <si>
    <t>0 78000-05440 8</t>
  </si>
  <si>
    <t>20OZ SUNDROP PET LS24</t>
  </si>
  <si>
    <t>0 78000-23040 6</t>
  </si>
  <si>
    <t>20OZ SUNKIST ORANGE PET LS24</t>
  </si>
  <si>
    <t>0 78000-11340 2</t>
  </si>
  <si>
    <t>20OZ DT SUNKIST ORANGE PET LS24</t>
  </si>
  <si>
    <t>0 78000-12240 4</t>
  </si>
  <si>
    <t>20OZ SUNKIST STRAWBERRY PET LS24</t>
  </si>
  <si>
    <t>0 78000-11840 7</t>
  </si>
  <si>
    <t>20OZ SUNKIST GRAPE PET LS24</t>
  </si>
  <si>
    <t>0 78000-11640 3</t>
  </si>
  <si>
    <t>20OZ SUNKIST LEMONADE NCRB PET LS24</t>
  </si>
  <si>
    <t>0 78000-02765 5</t>
  </si>
  <si>
    <t>20OZ CAN DRY GINGER ALE PET LS24</t>
  </si>
  <si>
    <t>0 78000-15240 1</t>
  </si>
  <si>
    <t>20OZ DT CAN DRY GINGER ALE PET LS24</t>
  </si>
  <si>
    <t>0 78000-14840 4</t>
  </si>
  <si>
    <t>20OZ SQUIRT PET LS24</t>
  </si>
  <si>
    <t>0 78000-01640 6</t>
  </si>
  <si>
    <t>20OZ DT SQUIRT PET LS24</t>
  </si>
  <si>
    <t>0 78000-01740 3</t>
  </si>
  <si>
    <t>20OZ RUBY RED SQUIRT PET LS24</t>
  </si>
  <si>
    <t>0 78000-01840 0</t>
  </si>
  <si>
    <t>20OZ HAW PUNCH FRT JCY RD PET LS24</t>
  </si>
  <si>
    <t>0 78000-00402 1</t>
  </si>
  <si>
    <t>20OZ TAHITIAN TRT FRT PUNCH PET LS24</t>
  </si>
  <si>
    <t>0 78000-02040 3</t>
  </si>
  <si>
    <t>20OZ BIG RED PET LS24</t>
  </si>
  <si>
    <t>0 71817-00037 8</t>
  </si>
  <si>
    <t>20OZ RC COLA PET LS24</t>
  </si>
  <si>
    <t>0 78000-04140 8</t>
  </si>
  <si>
    <t>1L DR PEPPER PET LS15</t>
  </si>
  <si>
    <t>0 78000-08245 6</t>
  </si>
  <si>
    <t>1L DT DR PEPPER PET LS15</t>
  </si>
  <si>
    <t>0 78000-08345 3</t>
  </si>
  <si>
    <t>1L 7UP PET LS15</t>
  </si>
  <si>
    <t>0 78000-00028 3</t>
  </si>
  <si>
    <t>1L A&amp;W ROOT BEER PET LS15</t>
  </si>
  <si>
    <t>0 78000-05245 9</t>
  </si>
  <si>
    <t>1L SUNKIST ORANGE PET LS15</t>
  </si>
  <si>
    <t>0 78000-11345 7</t>
  </si>
  <si>
    <t>1L CAN DRY GINGER ALE PET LS15</t>
  </si>
  <si>
    <t>0 78000-15245 6</t>
  </si>
  <si>
    <t>1L SQUIRT PET LS15</t>
  </si>
  <si>
    <t>0 78000-01645 1</t>
  </si>
  <si>
    <t>1L RC COLA PET LS15</t>
  </si>
  <si>
    <t>0 78000-00319 2</t>
  </si>
  <si>
    <t>2L DR PEPPER PET LS8</t>
  </si>
  <si>
    <t>0 78000-08246 3</t>
  </si>
  <si>
    <t>2L DT DR PEPPER PET LS8</t>
  </si>
  <si>
    <t>0 78000-08346 0</t>
  </si>
  <si>
    <t>2L CHERRY DR PEPPER PET LS8</t>
  </si>
  <si>
    <t>0 78000-09846 4</t>
  </si>
  <si>
    <t>2L DT CHERRY DR PEPPER PET LS8</t>
  </si>
  <si>
    <t>0 78000-09946 1</t>
  </si>
  <si>
    <t>2L 7UP PET LS8</t>
  </si>
  <si>
    <t>0 78000-00034 4</t>
  </si>
  <si>
    <t>2L DT 7UP PET LS8</t>
  </si>
  <si>
    <t>0 78000-00075 7</t>
  </si>
  <si>
    <t>2L CHERRY 7UP PET LS8</t>
  </si>
  <si>
    <t>0 78000-00531 8</t>
  </si>
  <si>
    <t>2L DT CHERRY 7UP PET LS8</t>
  </si>
  <si>
    <t>0 78000-00831 9</t>
  </si>
  <si>
    <t>2L A&amp;W ROOT BEER PET LS8</t>
  </si>
  <si>
    <t>0 78000-05246 6</t>
  </si>
  <si>
    <t>2L DT A&amp;W ROOT BEER PET LS8</t>
  </si>
  <si>
    <t>0 78000-05346 3</t>
  </si>
  <si>
    <t>2L A&amp;W CRM SODA PET LS8</t>
  </si>
  <si>
    <t>0 78000-05446 0</t>
  </si>
  <si>
    <t>2L DT A&amp;W CRM SODA PET LS8</t>
  </si>
  <si>
    <t>0 78000-05546 7</t>
  </si>
  <si>
    <t>2L SUNKIST ORANGE PET LS8</t>
  </si>
  <si>
    <t>0 78000-11346 4</t>
  </si>
  <si>
    <t>2L DT SUNKIST ORANGE PET LS8</t>
  </si>
  <si>
    <t>0 78000-12246 6</t>
  </si>
  <si>
    <t>2L SUNKIST STRAWBERRY PET LS8</t>
  </si>
  <si>
    <t>0 78000-11846 9</t>
  </si>
  <si>
    <t>2L SUNKIST GRAPE PET LS8</t>
  </si>
  <si>
    <t>0 78000-11646 5</t>
  </si>
  <si>
    <t>2L SUNKIST LEMONADE NCRB PET LS8</t>
  </si>
  <si>
    <t>0 78000-02766 2</t>
  </si>
  <si>
    <t>2L CAN DRY GINGER ALE PET LS8</t>
  </si>
  <si>
    <t>0 78000-15246 3</t>
  </si>
  <si>
    <t>2L DT CAN DRY GINGER ALE PET LS8</t>
  </si>
  <si>
    <t>0 78000-14846 6</t>
  </si>
  <si>
    <t>2L CAN DRY CRANBERRY GINGER ALE PET LS8</t>
  </si>
  <si>
    <t>0 78000-15646 1</t>
  </si>
  <si>
    <t>2L DT CAN DRY CRANBERRY GNGR ALE PET LS8</t>
  </si>
  <si>
    <t>0 78000-14146 7</t>
  </si>
  <si>
    <t>2L CAN DRY BLACKBERRY GINGER ALE PET LS8</t>
  </si>
  <si>
    <t>0 78000-02505 7</t>
  </si>
  <si>
    <t>2L SQUIRT PET LS8</t>
  </si>
  <si>
    <t>0 78000-01646 8</t>
  </si>
  <si>
    <t>2L DT SQUIRT PET LS8</t>
  </si>
  <si>
    <t>0 78000-01746 5</t>
  </si>
  <si>
    <t>2L RUBY RED SQUIRT PET LS8</t>
  </si>
  <si>
    <t>0 78000-01846 2</t>
  </si>
  <si>
    <t>2L HAW PUNCH FRT JCY RD PET LS8</t>
  </si>
  <si>
    <t>0 78000-00408 3</t>
  </si>
  <si>
    <t>2L TAHITIAN TRT FRT PUNCH PET LS8</t>
  </si>
  <si>
    <t>0 78000-02036 6</t>
  </si>
  <si>
    <t>2L SUNNY DELIGHT ORANGE PET LS8</t>
  </si>
  <si>
    <t>0 50200-00128 4</t>
  </si>
  <si>
    <t>2L BIG RED PET LS8</t>
  </si>
  <si>
    <t>0 71817-00021 7</t>
  </si>
  <si>
    <t>2L BIG RED ZERO PET LS8</t>
  </si>
  <si>
    <t>0 71817-00031 6</t>
  </si>
  <si>
    <t>2L SUNDROP PET LS8</t>
  </si>
  <si>
    <t>0 78000-23046 8</t>
  </si>
  <si>
    <t>2L DT RITE COLA PET LS8</t>
  </si>
  <si>
    <t>0 78000-06346 2</t>
  </si>
  <si>
    <t>2L CHERRY RC COLA PET LS8</t>
  </si>
  <si>
    <t>0 78000-04446 1</t>
  </si>
  <si>
    <t>2L RC COLA PET LS8</t>
  </si>
  <si>
    <t>0 78000-00337 6</t>
  </si>
  <si>
    <t>2L TAHITIAN TRT FRT PUNCH PET LS8 PP099</t>
  </si>
  <si>
    <t>2L BIG RED PET LS8 PP099</t>
  </si>
  <si>
    <t>2L RC COLA PET LS8 PP099</t>
  </si>
  <si>
    <t>12oz 12 pack cans</t>
  </si>
  <si>
    <t>12oz 6 pack cans</t>
  </si>
  <si>
    <t>7.5oz 6 pack cans</t>
  </si>
  <si>
    <t>16oz cans</t>
  </si>
  <si>
    <t>20oz bottles</t>
  </si>
  <si>
    <t>1L bottles</t>
  </si>
  <si>
    <t>2L bottles - Value Brands</t>
  </si>
  <si>
    <t>12oz 8 pack bottles</t>
  </si>
  <si>
    <t>12OZ DR PEPPER PET 8PKX3 BB</t>
  </si>
  <si>
    <t>0 78000-08231 9</t>
  </si>
  <si>
    <t>12OZ DT DR PEPPER PET 8PKX3 BB</t>
  </si>
  <si>
    <t>0 78000-08331 6</t>
  </si>
  <si>
    <t>12OZ 7UP PET 8PKX3 BB</t>
  </si>
  <si>
    <t>0 78000-01280 4</t>
  </si>
  <si>
    <t>12OZ DT 7UP PET 8PKX3 BB</t>
  </si>
  <si>
    <t>0 78000-01281 1</t>
  </si>
  <si>
    <t>12OZ A&amp;W ROOT BEER PET 8PKX3 BB</t>
  </si>
  <si>
    <t>0 78000-05288 6</t>
  </si>
  <si>
    <t>12OZ DT A&amp;W ROOT BEER PET 8PKX3 BB</t>
  </si>
  <si>
    <t>0 78000-02854 6</t>
  </si>
  <si>
    <t>12OZ SUNKIST ORANGE PET 8PKX3 BB</t>
  </si>
  <si>
    <t>0 78000-11388 4</t>
  </si>
  <si>
    <t>12OZ CAN DRY GINGER ALE PET 8PKX3 BB</t>
  </si>
  <si>
    <t>0 78000-15288 3</t>
  </si>
  <si>
    <t>12OZ SQUIRT PET 8PKX3 BB</t>
  </si>
  <si>
    <t>0 78000-01688 8</t>
  </si>
  <si>
    <t>.5L 6 pack bottles</t>
  </si>
  <si>
    <t>0.5L DR PEPPER PET 6PKX4</t>
  </si>
  <si>
    <t>0 78000-00386 4</t>
  </si>
  <si>
    <t>0.5L DT DR PEPPER PET 6PKX4</t>
  </si>
  <si>
    <t>0 78000-00388 8</t>
  </si>
  <si>
    <t>0.5L 7UP PET 6PKX4</t>
  </si>
  <si>
    <t>0 78000-01219 4</t>
  </si>
  <si>
    <t>0.5L DT 7UP PET 6PKX4</t>
  </si>
  <si>
    <t>0 78000-01223 1</t>
  </si>
  <si>
    <t>0.5L A&amp;W ROOT BEER PET 6PKX4</t>
  </si>
  <si>
    <t>0 78000-05242 8</t>
  </si>
  <si>
    <t>0.5L DT A&amp;W ROOT BEER PET 6PKX4</t>
  </si>
  <si>
    <t>0 78000-05342 5</t>
  </si>
  <si>
    <t>0.5L A&amp;W CRM SODA PET 6PKX4</t>
  </si>
  <si>
    <t>0 78000-05442 2</t>
  </si>
  <si>
    <t>0.5L SUNKIST ORANGE PET 6PKX4</t>
  </si>
  <si>
    <t>0 78000-11342 6</t>
  </si>
  <si>
    <t>0.5L DT SUNKIST ORANGE PET 6PKX4</t>
  </si>
  <si>
    <t>0 78000-00676 6</t>
  </si>
  <si>
    <t>0.5L CAN DRY GINGER ALE PET 6PKX4</t>
  </si>
  <si>
    <t>0 78000-00117 4</t>
  </si>
  <si>
    <t>0.5L DT CAN DRY GINGER ALE PET 6PKX4</t>
  </si>
  <si>
    <t>0 78000-14842 8</t>
  </si>
  <si>
    <t>0.5L SQUIRT PET 6PKX4</t>
  </si>
  <si>
    <t>0 78000-00369 7</t>
  </si>
  <si>
    <t>0.5L RC COLA PET 6PKX4</t>
  </si>
  <si>
    <t>0 78000-04142 2</t>
  </si>
  <si>
    <t>355mL Mexican glass bottles</t>
  </si>
  <si>
    <t>0 78000-01954 4</t>
  </si>
  <si>
    <t>0 78000-01952 0</t>
  </si>
  <si>
    <t>12OZ STEWARTS ROOT BEER SUGR GLS 4PKX6</t>
  </si>
  <si>
    <t>0 98794-00018 4</t>
  </si>
  <si>
    <t>12OZ DT STEWARTS ROOT BEER GLS 4PKX6</t>
  </si>
  <si>
    <t>0 98794-51504 6</t>
  </si>
  <si>
    <t>12OZ STEWARTS ORANGE NCRM SUGR GLS 4PKX6</t>
  </si>
  <si>
    <t>0 98794-00019 1</t>
  </si>
  <si>
    <t>12OZ DT STEWARTS ORANGE N CRM GLS 4PKX6</t>
  </si>
  <si>
    <t>0 98794-81804 8</t>
  </si>
  <si>
    <t>12OZ STEWARTS CREAM SODA SUGR GLS 4PKX6</t>
  </si>
  <si>
    <t>0 98794-00020 7</t>
  </si>
  <si>
    <t>12OZ STEWARTS BLK CHERRY SUGR GLS 4PKX6</t>
  </si>
  <si>
    <t>0 98794-00021 4</t>
  </si>
  <si>
    <t>Canada Dry Sparkling Water .5L 6 pack bottles</t>
  </si>
  <si>
    <t>0 78000-00679 7</t>
  </si>
  <si>
    <t>0 78000-00680 3</t>
  </si>
  <si>
    <t>0 78000-00681 0</t>
  </si>
  <si>
    <t>0 78000-02178 3</t>
  </si>
  <si>
    <t>0 78000-15542 6</t>
  </si>
  <si>
    <t>Canada Dry Mixers 1L bottles</t>
  </si>
  <si>
    <t>1L CAN DRY TONIC WATER PET LS15</t>
  </si>
  <si>
    <t>0 78000-15345 3</t>
  </si>
  <si>
    <t>1L DT CAN DRY TONIC WATER PET LS15</t>
  </si>
  <si>
    <t>0 78000-14945 6</t>
  </si>
  <si>
    <t>1L CAN DRY CLUB SODA PET LS15</t>
  </si>
  <si>
    <t>0 78000-14645 5</t>
  </si>
  <si>
    <t>0 76183-00224 7</t>
  </si>
  <si>
    <t>0 76183-00223 0</t>
  </si>
  <si>
    <t>0 76183-00222 3</t>
  </si>
  <si>
    <t>18.5OZ SNPREM TEA STRGT HNYGRN PET LS12</t>
  </si>
  <si>
    <t>0 76183-00116 5</t>
  </si>
  <si>
    <t>18.5OZ SNPREM TEA STRGT ROOIBOS PET LS12</t>
  </si>
  <si>
    <t>0 76183-00237 7</t>
  </si>
  <si>
    <t>0 76183-00247 6</t>
  </si>
  <si>
    <t>0 76183-00249 0</t>
  </si>
  <si>
    <t>0 76183-00248 3</t>
  </si>
  <si>
    <t>Snapple Premium 32oz bottles</t>
  </si>
  <si>
    <t>32OZ SNPREM TEA PEACH PET LS12</t>
  </si>
  <si>
    <t>0 76183-32356 4</t>
  </si>
  <si>
    <t>32OZ DT SNPREM TEA PEACH PET LS12</t>
  </si>
  <si>
    <t>0 76183-32357 1</t>
  </si>
  <si>
    <t>32OZ SNPREM TEA RASPBERRY PET LS12</t>
  </si>
  <si>
    <t>0 76183-32378 6</t>
  </si>
  <si>
    <t>32OZ SNPREM KIWI STRWBRY PET LS12</t>
  </si>
  <si>
    <t>0 76183-32363 2</t>
  </si>
  <si>
    <t>32OZ SNPREM APPLE PET LS12</t>
  </si>
  <si>
    <t>0 76183-32850 7</t>
  </si>
  <si>
    <t>32OZ SNPREM MANGO MDNSS PET LS12</t>
  </si>
  <si>
    <t>0 76183-32364 9</t>
  </si>
  <si>
    <t>32OZ SNPREM FRUIT PUNCH PET LS12</t>
  </si>
  <si>
    <t>0 76183-32372 4</t>
  </si>
  <si>
    <t>32OZ SNPREM TEA HLF&amp;HLF LMD PET LS12</t>
  </si>
  <si>
    <t>0 76183-00102 8</t>
  </si>
  <si>
    <t>32OZ DT SNPREM TEA HLF&amp;HLF LMD PET LS12</t>
  </si>
  <si>
    <t>0 76183-00021 2</t>
  </si>
  <si>
    <t>Snapple Premium 20oz bottles</t>
  </si>
  <si>
    <t>11.5OZ SNJUICE FRUIT PUNCH 100% CN LS24</t>
  </si>
  <si>
    <t>0 76183-12652 3</t>
  </si>
  <si>
    <t>11.5OZ SNJUICE GREEN APPLE 100% CN LS24</t>
  </si>
  <si>
    <t>0 76183-12650 9</t>
  </si>
  <si>
    <t>11.5OZ SNJUICE GRAPE 100% CN LS24</t>
  </si>
  <si>
    <t>0 76183-12653 0</t>
  </si>
  <si>
    <t>11.5OZ SNJUICE ORANGE MANGO 100% CN LS24</t>
  </si>
  <si>
    <t>0 76183-12651 6</t>
  </si>
  <si>
    <t>20OZ DT SNPREM TEA PEACH PET LS24</t>
  </si>
  <si>
    <t>0 76183-20207 4</t>
  </si>
  <si>
    <t>20OZ DT SNPREM TEA RASPBERRY PET LS24</t>
  </si>
  <si>
    <t>0 76183-20211 1</t>
  </si>
  <si>
    <t>20OZ DT SNPREM TEA HLF&amp;HLF LM PET LS24</t>
  </si>
  <si>
    <t>0 76183-00109 7</t>
  </si>
  <si>
    <t>20OZ SNPREM KIWI STRAWBERRY PET LS24</t>
  </si>
  <si>
    <t>0 76183-20203 6</t>
  </si>
  <si>
    <t>20OZ SNPREM TEA PEACH PET LS24</t>
  </si>
  <si>
    <t>0 76183-20201 2</t>
  </si>
  <si>
    <t>16OZ SNPREM TEA PEACH GLS 6PKX4</t>
  </si>
  <si>
    <t>16OZ DT SNPREM TEA PEACH GLS 6PKX4</t>
  </si>
  <si>
    <t>16OZ SNPREM TEA MANGO GLS 6PKX4</t>
  </si>
  <si>
    <t>16OZ SNPREM TEA RASP GLS 6PKX4</t>
  </si>
  <si>
    <t>16OZ DT SNPREM TEA RASP GLS 6PKX4</t>
  </si>
  <si>
    <t>16OZ DT SNPREM TEA TROPICAL GLS 6PKX4</t>
  </si>
  <si>
    <t>16OZ SNPREM KIWI STRWBRY GLS 6PKX4</t>
  </si>
  <si>
    <t>16OZ SNPREM APPLE GLS 6PKX4</t>
  </si>
  <si>
    <t>16OZ SNPREM TEA HLF&amp;HLF LMD GLS 6PKX4</t>
  </si>
  <si>
    <t>16OZ DT SNPREM TEA HLF&amp;HLF LMD GLS 6PKX4</t>
  </si>
  <si>
    <t>Snapple Premium 64oz bottles</t>
  </si>
  <si>
    <t>64OZ SNPREM TEA PEACH PET LS8</t>
  </si>
  <si>
    <t>0 76183-64356 3</t>
  </si>
  <si>
    <t>64OZ DT SNPREM TEA PEACH PET LS8</t>
  </si>
  <si>
    <t>0 76183-64357 0</t>
  </si>
  <si>
    <t>64OZ SNPREM TEA RASPBERRY PET LS8</t>
  </si>
  <si>
    <t>0 76183-00164 6</t>
  </si>
  <si>
    <t>64OZ SNPREM KIWI STRWBRY PET LS8</t>
  </si>
  <si>
    <t>0 76183-64363 1</t>
  </si>
  <si>
    <t>64OZ SNPREM MANGO MDNESS PET LS8</t>
  </si>
  <si>
    <t>0 76183-00049 6</t>
  </si>
  <si>
    <t>64OZ SNPREM FRUIT PUNCH PET LS8</t>
  </si>
  <si>
    <t>0 76183-00163 9</t>
  </si>
  <si>
    <t>64OZ SNPREM TEA HLF&amp;HLF LMD PET LS8</t>
  </si>
  <si>
    <t>0 76183-00103 5</t>
  </si>
  <si>
    <t>64OZ DT SNPREM TEA HLF&amp;HLF LMD PET LS8</t>
  </si>
  <si>
    <t>0 76183-00022 9</t>
  </si>
  <si>
    <t>23OZ ARIZ TEA AP HLF&amp;HLF LT CN LS24 PP</t>
  </si>
  <si>
    <t>6 13008-71930 2</t>
  </si>
  <si>
    <t>23OZ ARIZ TEA GREEN CN LS24 PP</t>
  </si>
  <si>
    <t>6 13008-71526 7</t>
  </si>
  <si>
    <t>23OZ ARIZ TEA SWEET CN LS24 PP</t>
  </si>
  <si>
    <t>6 13008-71771 1</t>
  </si>
  <si>
    <t>23OZ ARIZ JC DR FRT PUNCH CN LS24 PP</t>
  </si>
  <si>
    <t>6 13008-71876 3</t>
  </si>
  <si>
    <t>23OZ ARIZ JC DR MUCHO MANGO CN LS24 PP</t>
  </si>
  <si>
    <t>6 13008-73541 8</t>
  </si>
  <si>
    <t>18OZ BAI BLUEBERRY BRASILIA PET LS12</t>
  </si>
  <si>
    <t>8 52311-00401 3</t>
  </si>
  <si>
    <t>18OZ BAI WATERMELON KULA PET LS12</t>
  </si>
  <si>
    <t>8 13694-02342 8</t>
  </si>
  <si>
    <t>8 52311-00402 0</t>
  </si>
  <si>
    <t>18OZ BAI POMEGRANATE IPANEMA PET LS12</t>
  </si>
  <si>
    <t>8 52311-00403 7</t>
  </si>
  <si>
    <t>8 13694-02364 0</t>
  </si>
  <si>
    <t>18OZ BAI MANGO MALAWI PET LS12</t>
  </si>
  <si>
    <t>8 52311-00400 6</t>
  </si>
  <si>
    <t>18OZ BAI PEACH PANAMA PET LS12</t>
  </si>
  <si>
    <t>8 52311-00405 1</t>
  </si>
  <si>
    <t>18OZ BAI DRAGONFRUIT SUMATRA PET LS12</t>
  </si>
  <si>
    <t>8 52311-00406 8</t>
  </si>
  <si>
    <t>18OZ BAI COCONUT MOLOKAI PET LS12</t>
  </si>
  <si>
    <t>8 52311-00427 3</t>
  </si>
  <si>
    <t>8 13694-02346 6</t>
  </si>
  <si>
    <t>18OZ BAI COCONUT LIME ANDES PET LS12</t>
  </si>
  <si>
    <t>8 13694-02349 7</t>
  </si>
  <si>
    <t>8 52311-00430 3</t>
  </si>
  <si>
    <t>8 13694-02389 3</t>
  </si>
  <si>
    <t>8 13694-02412 8</t>
  </si>
  <si>
    <t>8 13694-02390 9</t>
  </si>
  <si>
    <t>8 52311-00475 4</t>
  </si>
  <si>
    <t>8 52311-00474 7</t>
  </si>
  <si>
    <t>8 13694-02352 7</t>
  </si>
  <si>
    <t>8 52311-00472 3</t>
  </si>
  <si>
    <t>Bai Bubbles 11.5oz cans</t>
  </si>
  <si>
    <t>11.5OZ BAI BUBLS BLKCRY BOLIVIA CN LS12</t>
  </si>
  <si>
    <t>8 52311-00459 4</t>
  </si>
  <si>
    <t>8 13694-02425 8</t>
  </si>
  <si>
    <t>8 13694-02426 5</t>
  </si>
  <si>
    <t>8 52311-00463 1</t>
  </si>
  <si>
    <t>11.5OZ BAI BUBLS PKGRPFRT GIMBI CN LS12</t>
  </si>
  <si>
    <t>8 52311-00453 2</t>
  </si>
  <si>
    <t>11.5OZ BAI BUBLS BLDORG JAMAICA CN LS12</t>
  </si>
  <si>
    <t>8 52311-00452 5</t>
  </si>
  <si>
    <t>11.5OZ BAI BUBLS PINEAPPLE PERU CN LS12</t>
  </si>
  <si>
    <t>8 52311-00451 8</t>
  </si>
  <si>
    <t>Clamato</t>
  </si>
  <si>
    <t>Yoo-hoo</t>
  </si>
  <si>
    <t>11OZ YOO-HOO CHOCOLATE DB LS12</t>
  </si>
  <si>
    <t>0 72350-00038 2</t>
  </si>
  <si>
    <t>11OZ YOO-HOO STRAWBERRY DB LS12</t>
  </si>
  <si>
    <t>0 72350-00039 9</t>
  </si>
  <si>
    <t>16OZ CLAMATO GLS LS12</t>
  </si>
  <si>
    <t>0 14800-51175 8</t>
  </si>
  <si>
    <t>0 14800-00494 6</t>
  </si>
  <si>
    <t>0 14800-00495 3</t>
  </si>
  <si>
    <t>0 14800-00051 1</t>
  </si>
  <si>
    <t>15.5OZ YOO-HOO CHOCOLATE GLS LS24</t>
  </si>
  <si>
    <t>0 72350-00011 5</t>
  </si>
  <si>
    <t>Sunny D 16oz bottles</t>
  </si>
  <si>
    <t>0 50200-56000 2</t>
  </si>
  <si>
    <t>0 50200-01912 8</t>
  </si>
  <si>
    <t>16OZ SUNNY DELIGHT ORNG STRWBRY PET LS12</t>
  </si>
  <si>
    <t>0 50200-56100 9</t>
  </si>
  <si>
    <t>16OZ SUNNY DELIGHT ORNG MANGO PET LS12</t>
  </si>
  <si>
    <t>0 50200-56400 0</t>
  </si>
  <si>
    <t>0 50200-59020 7</t>
  </si>
  <si>
    <t>16OZ SUNNY DELIGHT BLUE RASP PET LS12</t>
  </si>
  <si>
    <t>0 50200-58700 9</t>
  </si>
  <si>
    <t>16OZ SUNNY DELIGHT GREEN APPLE PET LS12</t>
  </si>
  <si>
    <t>0 50200-58900 3</t>
  </si>
  <si>
    <t>16OZ SUNNY DELIGHT FRUIT PUNCH PET LS12</t>
  </si>
  <si>
    <t>0 50200-56300 3</t>
  </si>
  <si>
    <t>High Brew Coffee 8oz cans</t>
  </si>
  <si>
    <t>8OZ HIGH BREW COFFEE DBL ESPRSO CN LS12</t>
  </si>
  <si>
    <t>8 54560-00500 1</t>
  </si>
  <si>
    <t>8OZ HIGH BREW COFFEE MEX VANILA CN LS12</t>
  </si>
  <si>
    <t>8 54560-00501 8</t>
  </si>
  <si>
    <t>8OZ HIGH BREW COFFEE SLTD CARML CN LS12</t>
  </si>
  <si>
    <t>8 54560-00502 5</t>
  </si>
  <si>
    <t>8OZ HIGH BREW COFFEE DRKCHOCMCHA CN LS12</t>
  </si>
  <si>
    <t>8 54560-00503 2</t>
  </si>
  <si>
    <t>8OZ HIGH BREW COFFEE BLACK&amp;BOLD CN LS12</t>
  </si>
  <si>
    <t>8 54560-00504 9</t>
  </si>
  <si>
    <t>8OZ HIGH BREW COFFEE CRMY CAPCNO CN LS12</t>
  </si>
  <si>
    <t>8 54560-00560 5</t>
  </si>
  <si>
    <t>8OZ HIGH BREW COFFEE DBL ESPRSO CN 4PKX6</t>
  </si>
  <si>
    <t>8OZ HIGH BREW COFFEE MEX VANILA CN 4PKX6</t>
  </si>
  <si>
    <t>8OZ HIGH BREW COFFEE BLACK&amp;BOLD CN 4PKX6</t>
  </si>
  <si>
    <t>8 54560-00540 7</t>
  </si>
  <si>
    <t>8 54560-00541 4</t>
  </si>
  <si>
    <t>8 54560-00544 5</t>
  </si>
  <si>
    <t>5.5OZ CLAMATO CN 6PKX4</t>
  </si>
  <si>
    <t>12OZ CLAMATO ORIGINAL PET LS12</t>
  </si>
  <si>
    <t>12OZ CLAMATO PREPARADO PET LS12</t>
  </si>
  <si>
    <t>Neuro 14.5oz bottles</t>
  </si>
  <si>
    <t>14.5OZ NEURO SONIC SPR FRT INF PET LS12</t>
  </si>
  <si>
    <t>8 99407-00300 0</t>
  </si>
  <si>
    <t>14.5OZ NEURO SONIC BLD ORG PAS PET LS12</t>
  </si>
  <si>
    <t>8 99407-00301 7</t>
  </si>
  <si>
    <t>14.5OZ NEURO BLISS WHITE RASP PET LS12</t>
  </si>
  <si>
    <t>8 99407-00401 4</t>
  </si>
  <si>
    <t>14.5OZ NEURO BLISS SUM CITR BRY PET LS12</t>
  </si>
  <si>
    <t>8 99407-00400 7</t>
  </si>
  <si>
    <t>14.5OZ NEURO SLEEP MELLOW MANGO PET LS12</t>
  </si>
  <si>
    <t>8 99407-00501 1</t>
  </si>
  <si>
    <t>14.5OZ NEURO SLEEP TANGER DREAM PET LS12</t>
  </si>
  <si>
    <t>8 99407-00500 4</t>
  </si>
  <si>
    <t>14.5OZ NEURO TRIM WATER PET LS12</t>
  </si>
  <si>
    <t>8 99407-00212 6</t>
  </si>
  <si>
    <t>High Brew Coffee 8oz 4 pack cans</t>
  </si>
  <si>
    <t>Venom 16oz 99¢ pre-priced cans</t>
  </si>
  <si>
    <t>16OZ VENOM ENRGY BLK MAMBA CN LS24 PP099</t>
  </si>
  <si>
    <t>0 78000-02374 9</t>
  </si>
  <si>
    <t>16OZ VENOM ENRGY BLKCHRYKW CN LS24 PP099</t>
  </si>
  <si>
    <t>0 78000-02868 3</t>
  </si>
  <si>
    <t>16OZ VENOM ENRGY KLRTPN MNG CNLS24 PP099</t>
  </si>
  <si>
    <t>0 78000-02376 3</t>
  </si>
  <si>
    <t>16OZ VENOM ENRGY DTHADR FP CN LS24 PP099</t>
  </si>
  <si>
    <t>0 78000-02375 6</t>
  </si>
  <si>
    <t>16OZ VENOM ENRGY MJVE RTLR CN LS24 PP099</t>
  </si>
  <si>
    <t>0 78000-02377 0</t>
  </si>
  <si>
    <t>16OZ VENOM ENRGY CITRUS CN LS24 PP099</t>
  </si>
  <si>
    <t>0 78000-01343 6</t>
  </si>
  <si>
    <t>16OZ VENOM ENRGY STWBY APL CN LS24 PP099</t>
  </si>
  <si>
    <t>0 78000-01346 7</t>
  </si>
  <si>
    <t>16OZ VENOM ENRGY WTRMLN LM CN LS24 PP099</t>
  </si>
  <si>
    <t>0 78000-02867 6</t>
  </si>
  <si>
    <t>HyDrive 16oz bottles</t>
  </si>
  <si>
    <t>16OZ SUNNY DELIGHT WATERMELON PET LS12</t>
  </si>
  <si>
    <t>16OZ SUNNY DELIGHT ORANGE TANGY PET LS12</t>
  </si>
  <si>
    <t>16OZ SUNNY DELIGHT SMOOTH SWEET PET LS12</t>
  </si>
  <si>
    <t>11.5OZ BAI BUBLS BLKBRYLM BOGOTA CN LS12</t>
  </si>
  <si>
    <t>11.5OZ BAI BUBLS WTRMLN LAMBARI CN LS12</t>
  </si>
  <si>
    <t>18OZ BAI STRWBRY LEMN SAO PAULO PET LS12</t>
  </si>
  <si>
    <t>16OZ HYDRIVE BLUE RASPBERRY PET LS12</t>
  </si>
  <si>
    <t>16OZ HYDRIVE BLACK CHERRY PET LS12</t>
  </si>
  <si>
    <t>16OZ HYDRIVE CITRUS BURST PET LS12</t>
  </si>
  <si>
    <t>16OZ HYDRIVE TRIPLE BERRY PET LS12</t>
  </si>
  <si>
    <t>8 91008-00156 0</t>
  </si>
  <si>
    <t>8 91008-00159 1</t>
  </si>
  <si>
    <t>8 91008-00158 4</t>
  </si>
  <si>
    <t>8 91008-00157 7</t>
  </si>
  <si>
    <t>11.1OZ VITA COCO PURE COCONUT DB LS12</t>
  </si>
  <si>
    <t>0.5L VITA COCO PURE COCONUT DB LS12</t>
  </si>
  <si>
    <t>0.5L VITA COCO PURE TWIST LIME DB LS12</t>
  </si>
  <si>
    <t>0.5L VITA COCO PINEAPPLE DB LS12</t>
  </si>
  <si>
    <t>0.5L VITA COCO PEACH MANGO DB LS12</t>
  </si>
  <si>
    <t>1L VITA COCO PURE COCONUT DB LS12</t>
  </si>
  <si>
    <t>1L VITA COCO PINEAPPLE DB LS12</t>
  </si>
  <si>
    <t>0.5L VITA COCO PURE COCONUT DB 4PKX6</t>
  </si>
  <si>
    <t>600ML PENAFIEL LIMONADA PET LS12 IMPMX</t>
  </si>
  <si>
    <t>600ML PENAFIEL NARANJADA PET LS12 IMPMX</t>
  </si>
  <si>
    <t>600ML PENAFIEL AGUA MNRL PET LS12 IMPMX</t>
  </si>
  <si>
    <t>1.5L PENAFIEL AGUA MNRL PET LS12 IMPMX</t>
  </si>
  <si>
    <t>20OZ DEJA BLUE PET LS24 FLTCP</t>
  </si>
  <si>
    <t>Deja Blue</t>
  </si>
  <si>
    <t>1L DEJA BLUE PET LS15 FLTCP</t>
  </si>
  <si>
    <t>CORE Hydration</t>
  </si>
  <si>
    <t>20OZ CORE HYDRATION PET LS24</t>
  </si>
  <si>
    <t>23.9OZ CORE HYDRATION PET LS24 SPTCP</t>
  </si>
  <si>
    <t>1.3L CORE HYDRATION PET LS12</t>
  </si>
  <si>
    <t>16.9OZ CORE HYDRATION PET 6PKX4</t>
  </si>
  <si>
    <t>0 78000-20029 4</t>
  </si>
  <si>
    <t>8 53004-00489 1</t>
  </si>
  <si>
    <t>0 78000-09245 5</t>
  </si>
  <si>
    <t>8 98999-00050 3</t>
  </si>
  <si>
    <t>8 98999-00618 5</t>
  </si>
  <si>
    <t>0 78000-09240 0</t>
  </si>
  <si>
    <t>8 53004-00402 0</t>
  </si>
  <si>
    <t>0 78000-20027 0</t>
  </si>
  <si>
    <t>0 78000-20028 7</t>
  </si>
  <si>
    <t>0 78000-20024 9</t>
  </si>
  <si>
    <t>8 98999-01000 7</t>
  </si>
  <si>
    <t>8 98999-03000 5</t>
  </si>
  <si>
    <t>8 98999-04000 4</t>
  </si>
  <si>
    <t>8 98999-01200 1</t>
  </si>
  <si>
    <t>0 78000-80096 8</t>
  </si>
  <si>
    <t>8 98999-00002 2</t>
  </si>
  <si>
    <t>8 53004-00495 2</t>
  </si>
  <si>
    <t>8 53004-00403 7</t>
  </si>
  <si>
    <t>8 53004-00454 9</t>
  </si>
  <si>
    <t>8 98999-00752 6</t>
  </si>
  <si>
    <t>CORE Organic</t>
  </si>
  <si>
    <t>18OZ CORE ORGANIC PEACH MANGO PET LS12</t>
  </si>
  <si>
    <t>18OZ CORE ORGANIC WTRMLN LEMNDE PET LS12</t>
  </si>
  <si>
    <t>18OZ CORE ORGANIC POM BLUE ACAI PET LS12</t>
  </si>
  <si>
    <t>18OZ CORE ORGANIC STRWBRY BAN PET LS12</t>
  </si>
  <si>
    <t>18OZ CORE ORGANIC WILD BLUBERRY PET LS12</t>
  </si>
  <si>
    <t>18OZ CORE ORGANIC TROP COCONUT PET LS12</t>
  </si>
  <si>
    <t>Dr Pepper</t>
  </si>
  <si>
    <t>Dr Pepper TEN</t>
  </si>
  <si>
    <t>Diet Dr Pepper</t>
  </si>
  <si>
    <t>Cherry Dr Pepper</t>
  </si>
  <si>
    <t>Cherry 7Up</t>
  </si>
  <si>
    <t>Sunkist Strawberry</t>
  </si>
  <si>
    <t>Sunkist Grape</t>
  </si>
  <si>
    <t>Squirt</t>
  </si>
  <si>
    <t>Ruby Red Squirt</t>
  </si>
  <si>
    <t>Hires Root Beer</t>
  </si>
  <si>
    <t>Nehi Peach</t>
  </si>
  <si>
    <t>Big Red</t>
  </si>
  <si>
    <t>Diet Cherry Dr Pepper</t>
  </si>
  <si>
    <t>Diet Caffeine Free Dr Pepper</t>
  </si>
  <si>
    <t>7Up</t>
  </si>
  <si>
    <t>Diet 7Up</t>
  </si>
  <si>
    <t>A&amp;W Root Beer</t>
  </si>
  <si>
    <t>A&amp;W Cream Soda</t>
  </si>
  <si>
    <t>Cream Soda</t>
  </si>
  <si>
    <t>Sun Drop</t>
  </si>
  <si>
    <t>Diet Sun Drop</t>
  </si>
  <si>
    <t>Sunkist Orange</t>
  </si>
  <si>
    <t>Sunkist Lemonade</t>
  </si>
  <si>
    <t>Canada Dry Ginger Ale</t>
  </si>
  <si>
    <t>Canada Dry Cranberry Ginger Ale</t>
  </si>
  <si>
    <t>Canada Dry Blackberry Ginger Ale</t>
  </si>
  <si>
    <t>Hawaiian Punch Fruit Juicy Red</t>
  </si>
  <si>
    <t>Tahitian Treat</t>
  </si>
  <si>
    <t>Sunny D Citrus Punch</t>
  </si>
  <si>
    <t>Diet Rite Cola</t>
  </si>
  <si>
    <t>Cherry RC Cola</t>
  </si>
  <si>
    <t>RC Cola</t>
  </si>
  <si>
    <t>Diet Canada Dry Ginger Ale</t>
  </si>
  <si>
    <t>Big Red Zero</t>
  </si>
  <si>
    <t>Root Beer</t>
  </si>
  <si>
    <t>Diet Root Beer</t>
  </si>
  <si>
    <t>Orange ‘n Cream</t>
  </si>
  <si>
    <t>Diet Orange ‘n Cream</t>
  </si>
  <si>
    <t>Black Cherry</t>
  </si>
  <si>
    <t>Canada Dry Sparkling Original</t>
  </si>
  <si>
    <t>Canada Dry Sparkling Lemon Lime</t>
  </si>
  <si>
    <t>Canada Dry Sparkling Raspberry</t>
  </si>
  <si>
    <t>Canada Dry Sparkling Mandarin Orange</t>
  </si>
  <si>
    <t>Canada Dry Sparkling Triple Berry</t>
  </si>
  <si>
    <t>Canada Dry Sparkling Grapefruit</t>
  </si>
  <si>
    <t>Canada Dry Sparkling Pomegranate Cherry</t>
  </si>
  <si>
    <t>Canada Dry Tonic Water</t>
  </si>
  <si>
    <t>Diet Canada Dry Tonic Water</t>
  </si>
  <si>
    <t>Canada Dry Club Soda</t>
  </si>
  <si>
    <t>Unsweetened Tea</t>
  </si>
  <si>
    <t>Sweet Tea</t>
  </si>
  <si>
    <t>Sorta Sweet Tea</t>
  </si>
  <si>
    <t>Sorta Sweet Honey Green Tea</t>
  </si>
  <si>
    <t>Sorta Sweet Rooibos Tea</t>
  </si>
  <si>
    <t>Peach Tea</t>
  </si>
  <si>
    <t>Diet Peach Tea</t>
  </si>
  <si>
    <t>Raspberry Tea</t>
  </si>
  <si>
    <t>Diet Raspberry Tea</t>
  </si>
  <si>
    <t>Mango Tea</t>
  </si>
  <si>
    <t>Half ‘n Half Lemonade Iced Tea</t>
  </si>
  <si>
    <t>Diet Half ‘n Half Lemonade Iced Tea</t>
  </si>
  <si>
    <t>Snapple Apple</t>
  </si>
  <si>
    <t>Kiwi Strawberry</t>
  </si>
  <si>
    <t>Mango Madness</t>
  </si>
  <si>
    <t>Fruit Punch</t>
  </si>
  <si>
    <t>Diet Trop-A-Rocka</t>
  </si>
  <si>
    <t>Green Apple</t>
  </si>
  <si>
    <t>Grape</t>
  </si>
  <si>
    <t>Orange Mango</t>
  </si>
  <si>
    <t>Arnold Palmer Lite Half &amp; Half Tea</t>
  </si>
  <si>
    <t>Green Tea</t>
  </si>
  <si>
    <t>Mucho Mango</t>
  </si>
  <si>
    <t>Brasilia Blueberry</t>
  </si>
  <si>
    <t>Kula Watermelon</t>
  </si>
  <si>
    <t>Costa Rica Clementine</t>
  </si>
  <si>
    <t>Ipanema Pomegranate</t>
  </si>
  <si>
    <t>Malawi Mango</t>
  </si>
  <si>
    <t>Panama Peach</t>
  </si>
  <si>
    <t>Sumatra Dragonfruit</t>
  </si>
  <si>
    <t>Molokai Coconut</t>
  </si>
  <si>
    <t>Puna Coconut Pineapple</t>
  </si>
  <si>
    <t>Andes Coconut Lime</t>
  </si>
  <si>
    <t>Tanzania Lemonade Tea</t>
  </si>
  <si>
    <t>Nariño Peach Tea</t>
  </si>
  <si>
    <t>Socorro Sweet Tea</t>
  </si>
  <si>
    <t>Rio Raspberry Tea</t>
  </si>
  <si>
    <t>Bolivia Black Cherry</t>
  </si>
  <si>
    <t>Bogotá Blackberry Lime</t>
  </si>
  <si>
    <t>Gimbi Pink Grapefruit</t>
  </si>
  <si>
    <t>Lambari Watermelon Lime</t>
  </si>
  <si>
    <t>Jamaica Blood Orange</t>
  </si>
  <si>
    <t>Peru Pineapple</t>
  </si>
  <si>
    <t>Waikiki Coconut Lime</t>
  </si>
  <si>
    <t>Peach Mango</t>
  </si>
  <si>
    <t>Pomegranate Blue Acai</t>
  </si>
  <si>
    <t>Strawberry Banana</t>
  </si>
  <si>
    <t>Watermelon Lemonade</t>
  </si>
  <si>
    <t>Wild Blueberry</t>
  </si>
  <si>
    <t>Tropical Coconut</t>
  </si>
  <si>
    <t>Tangy Original</t>
  </si>
  <si>
    <t>Orange Strawberry</t>
  </si>
  <si>
    <t>Watermelon</t>
  </si>
  <si>
    <t>Blue Raspberry</t>
  </si>
  <si>
    <t>Double Espresso</t>
  </si>
  <si>
    <t>Mexican Vanilla</t>
  </si>
  <si>
    <t>Salted Caramel</t>
  </si>
  <si>
    <t>Dark Chocolate Mocha</t>
  </si>
  <si>
    <t>Black &amp; Bold</t>
  </si>
  <si>
    <t>Creamy Cappuccino</t>
  </si>
  <si>
    <t>Bliss White Raspberry</t>
  </si>
  <si>
    <t>Sleep Mellow Mango</t>
  </si>
  <si>
    <t>Sleep Tangerine Dream</t>
  </si>
  <si>
    <t>Trim Tropical Lychee</t>
  </si>
  <si>
    <t>Lemonade</t>
  </si>
  <si>
    <t>Black Mamba</t>
  </si>
  <si>
    <t>Black Cherry Kiwi</t>
  </si>
  <si>
    <t>Killer Taipan Mango</t>
  </si>
  <si>
    <t>Death Adder Fruit Punch</t>
  </si>
  <si>
    <t>Mojave Rattler (Low Calorie)</t>
  </si>
  <si>
    <t>Citrus (Low Calorie)</t>
  </si>
  <si>
    <t>Strawberry Apple (Low Calorie)</t>
  </si>
  <si>
    <t>Watermelon Lime (Low Calorie)</t>
  </si>
  <si>
    <t>Citrus Burst</t>
  </si>
  <si>
    <t>Triple Berry</t>
  </si>
  <si>
    <t>Pure with Twist of Lime</t>
  </si>
  <si>
    <t>Pineapple</t>
  </si>
  <si>
    <t>Peach &amp; Mango</t>
  </si>
  <si>
    <t xml:space="preserve"> PACKAGE DESCRIPTION</t>
  </si>
  <si>
    <t>20oz</t>
  </si>
  <si>
    <t>30.4oz</t>
  </si>
  <si>
    <t>1.3L</t>
  </si>
  <si>
    <t>16.9oz 6 pack</t>
  </si>
  <si>
    <t>1L</t>
  </si>
  <si>
    <t>330mL</t>
  </si>
  <si>
    <t>1.5L</t>
  </si>
  <si>
    <t>330mL 6 pack</t>
  </si>
  <si>
    <t>1L 6 pack</t>
  </si>
  <si>
    <t>12oz Original</t>
  </si>
  <si>
    <t>12oz Preparado</t>
  </si>
  <si>
    <t>5.5oz Original 6 pack cans</t>
  </si>
  <si>
    <t>12oz</t>
  </si>
  <si>
    <t>CASE PACK</t>
  </si>
  <si>
    <t>7.5oz</t>
  </si>
  <si>
    <t>16oz</t>
  </si>
  <si>
    <t>2L</t>
  </si>
  <si>
    <t>.5L</t>
  </si>
  <si>
    <t>355mL</t>
  </si>
  <si>
    <t>10oz</t>
  </si>
  <si>
    <t>18.5oz</t>
  </si>
  <si>
    <t>32oz</t>
  </si>
  <si>
    <t>11.5oz</t>
  </si>
  <si>
    <t>64oz</t>
  </si>
  <si>
    <t>23oz</t>
  </si>
  <si>
    <t>18oz</t>
  </si>
  <si>
    <t>5.5oz</t>
  </si>
  <si>
    <t>15.5oz</t>
  </si>
  <si>
    <t>11oz</t>
  </si>
  <si>
    <t>8oz</t>
  </si>
  <si>
    <t>14.5oz</t>
  </si>
  <si>
    <t>600mL</t>
  </si>
  <si>
    <t>.5L 24 pack</t>
  </si>
  <si>
    <t>.5L 6 pack</t>
  </si>
  <si>
    <t>23.9oz</t>
  </si>
  <si>
    <t>16.9oz</t>
  </si>
  <si>
    <t>We reserve the right to amend, modify, cancel or limit promotional quantities at any time</t>
  </si>
  <si>
    <t>Caffeine Free Diet Dr Pepper</t>
  </si>
  <si>
    <t>0 78000-03025 9</t>
  </si>
  <si>
    <t>Canada Dry Ginger Ale and Lemonade</t>
  </si>
  <si>
    <t>0 78000-03024 2</t>
  </si>
  <si>
    <t>0 78000-03028 0</t>
  </si>
  <si>
    <t>8 13694-02505 7</t>
  </si>
  <si>
    <t>Bai Bubbles 11.5oz 4 pack cans</t>
  </si>
  <si>
    <t>8 13694-02532 3</t>
  </si>
  <si>
    <t>8 13694-02535 4</t>
  </si>
  <si>
    <t>8 13694-02533 0</t>
  </si>
  <si>
    <t>Bai Antioxidant Water</t>
  </si>
  <si>
    <t>8 13694-02531 6</t>
  </si>
  <si>
    <t>18OZ BAI CLEMENT COSTA RICA PET LS12</t>
  </si>
  <si>
    <t>18OZ BAI COCONUT MANGO MADAGSCR PET LS12</t>
  </si>
  <si>
    <t>18OZ BAI SUPERTEA RSPBRY RIO PET LS12</t>
  </si>
  <si>
    <t>8 53004-00437 2</t>
  </si>
  <si>
    <t>8 53004-00439 6</t>
  </si>
  <si>
    <t>8 53004-00493 8</t>
  </si>
  <si>
    <t>8 53004-00498 3</t>
  </si>
  <si>
    <t>8 53004-00491 4</t>
  </si>
  <si>
    <t>8 53004-00438 9</t>
  </si>
  <si>
    <t>2L DT C/F DR PEPPER PET LS8</t>
  </si>
  <si>
    <t>0 78000-08546 4</t>
  </si>
  <si>
    <t>0 78000-02590 3</t>
  </si>
  <si>
    <t xml:space="preserve">355ML 7UP GLS LS12 MXSGR                </t>
  </si>
  <si>
    <t xml:space="preserve">355ML SQUIRT GLS LS12 MXSGR             </t>
  </si>
  <si>
    <t>Canada Dry Sparkling Black Cherry</t>
  </si>
  <si>
    <t>0 78000-03065 5</t>
  </si>
  <si>
    <t>Canada Dry Sparkling Peach Mango</t>
  </si>
  <si>
    <t>0 78000-03067 9</t>
  </si>
  <si>
    <t xml:space="preserve">12OZ CAN DRY SPRK LEMLIM CN 8PKX3 NSDM  </t>
  </si>
  <si>
    <t>0 78000-03001 3</t>
  </si>
  <si>
    <t xml:space="preserve">12OZ CAN DRY SPRK MNDORG CN 8PKX3 NSDM  </t>
  </si>
  <si>
    <t>0 78000-03002 0</t>
  </si>
  <si>
    <t>Canada Dry Sparkling Apple</t>
  </si>
  <si>
    <t>0 78000-03104 1</t>
  </si>
  <si>
    <t>0 78000-03000 6</t>
  </si>
  <si>
    <t>0 78000-03003 7</t>
  </si>
  <si>
    <t>0 78000-03004 4</t>
  </si>
  <si>
    <t>0 78000-03005 1</t>
  </si>
  <si>
    <t xml:space="preserve">16OZ DT SNPREM TEA HLF&amp;HLFLMD PET LS12  </t>
  </si>
  <si>
    <t>0 76183-00318 3</t>
  </si>
  <si>
    <t xml:space="preserve">16OZ DT SNPREM TEA PEACH PET LS12       </t>
  </si>
  <si>
    <t>0 76183-00314 5</t>
  </si>
  <si>
    <t xml:space="preserve">16OZ DT SNPREM TEA RASP PET LS12        </t>
  </si>
  <si>
    <t>0 76183-00321 3</t>
  </si>
  <si>
    <t xml:space="preserve">16OZ SNPREM APPLE PET LS12              </t>
  </si>
  <si>
    <t>0 76183-00328 2</t>
  </si>
  <si>
    <t xml:space="preserve">16OZ SNPREM FRUIT PUNCH PET LS12        </t>
  </si>
  <si>
    <t>0 76183-00313 8</t>
  </si>
  <si>
    <t xml:space="preserve">16OZ SNPREM KIWI STRAWBERRY PET LS12    </t>
  </si>
  <si>
    <t>0 76183-00310 7</t>
  </si>
  <si>
    <t xml:space="preserve">16OZ SNPREM MANGO MDNESS PET LS12       </t>
  </si>
  <si>
    <t>0 76183-00312 1</t>
  </si>
  <si>
    <t xml:space="preserve">16OZ SNPREM TEA HLF&amp;HLF LMD PET LS12    </t>
  </si>
  <si>
    <t>0 76183-00316 9</t>
  </si>
  <si>
    <t xml:space="preserve">16OZ SNPREM TEA MANGO PET LS12          </t>
  </si>
  <si>
    <t>0 76183-00330 5</t>
  </si>
  <si>
    <t xml:space="preserve">16OZ SNPREM TEA PEACH PET LS12          </t>
  </si>
  <si>
    <t>0 76183-00311 4</t>
  </si>
  <si>
    <t xml:space="preserve">16OZ SNPREM TEA RASPBERRY PET LS12      </t>
  </si>
  <si>
    <t>0 76183-00319 0</t>
  </si>
  <si>
    <t>11.5OZ BAI BUBLS BLDORG JAMACA SCN 4PKX6</t>
  </si>
  <si>
    <t>11.5OZ BAI BUBLS PKGRPFRT GIMB SCN 4PKX6</t>
  </si>
  <si>
    <t>11.5OZ BAI BUBLS BLKCRY BOLIVA SCN 4PKX6</t>
  </si>
  <si>
    <t>8 91008-00164 5</t>
  </si>
  <si>
    <t>Kiwi Melon</t>
  </si>
  <si>
    <t>8 91008-00165 2</t>
  </si>
  <si>
    <t xml:space="preserve">1L BAI ANTIOXIDANT WATER PET LS12       </t>
  </si>
  <si>
    <t>30.4oz 6 pack</t>
  </si>
  <si>
    <t>0 78000-03103 4</t>
  </si>
  <si>
    <t>Canada Dry Sparkling Watermelon</t>
  </si>
  <si>
    <t>Cherry Berry Lime</t>
  </si>
  <si>
    <t>8 19858-02006 7</t>
  </si>
  <si>
    <t>8 19858-02004 3</t>
  </si>
  <si>
    <t xml:space="preserve">14.5OZ NEURO PROTEIN CHRY VAN PET LS12  </t>
  </si>
  <si>
    <t>14.5OZ NEURO PROTEIN WTRML MINT PET LS12</t>
  </si>
  <si>
    <t>0 76183-00397 8</t>
  </si>
  <si>
    <t>0 76183-00396 1</t>
  </si>
  <si>
    <t xml:space="preserve">0.5L VITA COCO PRESSED COCONUT DB LS12  </t>
  </si>
  <si>
    <t>8 98999-01014 4</t>
  </si>
  <si>
    <t>Madagascar Coconut Mango</t>
  </si>
  <si>
    <t>18OZ CORE ORGANIC ORANGE MANGO PET LS12</t>
  </si>
  <si>
    <t>8 13694-02368 8</t>
  </si>
  <si>
    <t>8 13694-02510 1</t>
  </si>
  <si>
    <t>Sonic Orange Passion</t>
  </si>
  <si>
    <t>Bliss Citrus Berry</t>
  </si>
  <si>
    <t>Sonic Superfruit Infusion</t>
  </si>
  <si>
    <t xml:space="preserve">18OZ BAI ANTIOXIDANT WATER PET LS12     </t>
  </si>
  <si>
    <t>Wholesale &amp; Every Day Pricing</t>
  </si>
  <si>
    <t>Wholesale Cost</t>
  </si>
  <si>
    <t>Every Day Cost</t>
  </si>
  <si>
    <t>Package</t>
  </si>
  <si>
    <t>Case</t>
  </si>
  <si>
    <t>Unit</t>
  </si>
  <si>
    <t>Allowance</t>
  </si>
  <si>
    <t>SRP</t>
  </si>
  <si>
    <t>Carbonated Soft Drinks</t>
  </si>
  <si>
    <t>12oz cans 12 pack (2 - 12pk per case)</t>
  </si>
  <si>
    <t>2 Liter PET bottles (8 units per case)</t>
  </si>
  <si>
    <t>.5 Liter PET bottles 6 pack (4 - 6pk per case)</t>
  </si>
  <si>
    <t>12oz PET bottles 8 pack (3 - 8pk per case)</t>
  </si>
  <si>
    <t>20oz PET bottles (24 units per case)</t>
  </si>
  <si>
    <t>1 Liter PET bottles (15 units per case)</t>
  </si>
  <si>
    <t>7.5oz cans 6 pack (4 - 6pk per case)</t>
  </si>
  <si>
    <t>12oz cans 6 pack (4 - 6pk per case)</t>
  </si>
  <si>
    <t>12oz Mexican glass bottles (12 units per case)</t>
  </si>
  <si>
    <t>Stewarts 12oz glass bottles 4 pack (6 - 4pk per case)</t>
  </si>
  <si>
    <t>Snapple 16oz PET bottles (12 units per case)</t>
  </si>
  <si>
    <t>Snapple 32oz PET bottles (12 units per case)</t>
  </si>
  <si>
    <t>Snapple 64oz PET bottles (8 units per case)</t>
  </si>
  <si>
    <t>Sunny D 16oz PET bottles (12 units per case)</t>
  </si>
  <si>
    <t>Clamato 16oz glass bottles (12 units per case)</t>
  </si>
  <si>
    <t>Clamato 12oz PET bottles (12 units per case)</t>
  </si>
  <si>
    <t>Clamato 5.5oz cans 6 pack (4 - 6pk per case)</t>
  </si>
  <si>
    <t>High Brew Coffee 8oz cans (12 units per case)</t>
  </si>
  <si>
    <t>High Brew Coffee 8oz cans 4 pack (6 - 4pk per case)</t>
  </si>
  <si>
    <t>Energy Drinks</t>
  </si>
  <si>
    <t>Hydrive 16oz PET bottles (12 units per case)</t>
  </si>
  <si>
    <t>Neuro 14.5oz PET bottles (12 units per case)</t>
  </si>
  <si>
    <t>Deja Blue 20oz PET bottles (24 units per case)</t>
  </si>
  <si>
    <t>Core Hydration 20oz PET bottles (24 units per case)</t>
  </si>
  <si>
    <t>Core Hydration 30.4oz PET bottles (12 units per case)</t>
  </si>
  <si>
    <t>Core Hydration 30.4oz PET bottles 6 pack (2 - 6pk per case)</t>
  </si>
  <si>
    <t>Core Hydration 16.9oz PET bottles 6 pack (4 - 6pk per case)</t>
  </si>
  <si>
    <t>We reserve the right to amend, modify, cancel or limit promotional quantities at any time.</t>
  </si>
  <si>
    <t>Dr Pepper Made with Sugar</t>
  </si>
  <si>
    <t>CRUSH</t>
  </si>
  <si>
    <t>Crush Orange</t>
  </si>
  <si>
    <t>Crush Grape</t>
  </si>
  <si>
    <t>Crush Strawberry</t>
  </si>
  <si>
    <t>Diet Crush Orange</t>
  </si>
  <si>
    <t>0 78000-01305 4</t>
  </si>
  <si>
    <t>0 78000-01389 4</t>
  </si>
  <si>
    <t>0 78000-01345 0</t>
  </si>
  <si>
    <t>0 78000-01362 7</t>
  </si>
  <si>
    <t>NEHI</t>
  </si>
  <si>
    <t>BRAND</t>
  </si>
  <si>
    <t>0 78000-01328 3</t>
  </si>
  <si>
    <t>0 78000-01352 8</t>
  </si>
  <si>
    <t>0 78000-01369 6</t>
  </si>
  <si>
    <t>0 78000-01336 8</t>
  </si>
  <si>
    <t>0 78000-01356 6</t>
  </si>
  <si>
    <t>0 78000-01371 9</t>
  </si>
  <si>
    <t>0 78000-01325 2</t>
  </si>
  <si>
    <t>Schweppes Mixers 1L bottles</t>
  </si>
  <si>
    <t>Schweppes Tonic Water</t>
  </si>
  <si>
    <t>Diet Schweppes Tonic Water</t>
  </si>
  <si>
    <t>Schweppes Club Soda</t>
  </si>
  <si>
    <t>Schweppes Lemon Sour</t>
  </si>
  <si>
    <t>SCHWEPPES</t>
  </si>
  <si>
    <t>0 78000-21845 9</t>
  </si>
  <si>
    <t>0 78000-21945 6</t>
  </si>
  <si>
    <t>0 78000-20345 5</t>
  </si>
  <si>
    <t>0 78000-21145 0</t>
  </si>
  <si>
    <t>Smooth Orange</t>
  </si>
  <si>
    <t>23.9oz Sport Cap</t>
  </si>
  <si>
    <t>DR PEPPER</t>
  </si>
  <si>
    <t>TAHITIAN TREAT</t>
  </si>
  <si>
    <t>VERNORS</t>
  </si>
  <si>
    <t>HIRES</t>
  </si>
  <si>
    <t>VENOM PP</t>
  </si>
  <si>
    <t>Peñafiel 600mL PET bottles (12 units per case)</t>
  </si>
  <si>
    <t>Teas &amp; Juice Drinks</t>
  </si>
  <si>
    <t>Diet Mango Tea</t>
  </si>
  <si>
    <t>0 76183-00414 2</t>
  </si>
  <si>
    <t>16OZ DT SNPREM TEA MANGO PET LS12</t>
  </si>
  <si>
    <t>16OZ DT SNPREM TEA MANGO GLS 6PKX4</t>
  </si>
  <si>
    <t>PACKAGE</t>
  </si>
  <si>
    <t>CSD - 12pks</t>
  </si>
  <si>
    <t>CSD - 24pks</t>
  </si>
  <si>
    <t xml:space="preserve">CSD - 6pk cans </t>
  </si>
  <si>
    <t xml:space="preserve">CSD - 16oz cans </t>
  </si>
  <si>
    <t>CSD - 20oz</t>
  </si>
  <si>
    <t>CSD - 1L</t>
  </si>
  <si>
    <t>CSD - 2L Core</t>
  </si>
  <si>
    <t>CSD - 2L Value</t>
  </si>
  <si>
    <t>CSD - .5L 6pks</t>
  </si>
  <si>
    <t>Stewart's</t>
  </si>
  <si>
    <t>Schweppes - 1L</t>
  </si>
  <si>
    <t>Snapple SUT</t>
  </si>
  <si>
    <t>Snapple SUT - 6pks</t>
  </si>
  <si>
    <t>Snapple 32oz</t>
  </si>
  <si>
    <t>Snapple 20oz</t>
  </si>
  <si>
    <t>Snapple 64oz</t>
  </si>
  <si>
    <t>AriZona</t>
  </si>
  <si>
    <t>Bai</t>
  </si>
  <si>
    <t>Bai Bubbles</t>
  </si>
  <si>
    <t>Bai Bubbles - 4pk</t>
  </si>
  <si>
    <t>Bai - 6pks</t>
  </si>
  <si>
    <t>Snapple 16oz - 6pk</t>
  </si>
  <si>
    <t>SunnyD 16oz</t>
  </si>
  <si>
    <t>High Brew</t>
  </si>
  <si>
    <t>High Brew - 4pk</t>
  </si>
  <si>
    <t>Neuro</t>
  </si>
  <si>
    <t>Venom 99¢</t>
  </si>
  <si>
    <t>HyDrive</t>
  </si>
  <si>
    <t>VitaCoco - 1L</t>
  </si>
  <si>
    <t>VitaCoco - .5L</t>
  </si>
  <si>
    <t>VitaCoco - 330mL</t>
  </si>
  <si>
    <t>VitaCoco - multi</t>
  </si>
  <si>
    <t>16OZ SNPREM TEA HLF&amp;HLF PEACH GLS 6PKX4</t>
  </si>
  <si>
    <t>16OZ SNPREM TEA HLF&amp;HLF PEACH PET LS12</t>
  </si>
  <si>
    <t>0 76183-00400 5</t>
  </si>
  <si>
    <t>0 76183-00401 2</t>
  </si>
  <si>
    <t>Peach Tea &amp; Lemonade</t>
  </si>
  <si>
    <t>_LTO</t>
  </si>
  <si>
    <t>_Vending</t>
  </si>
  <si>
    <t>Canada Dry Mixers 10oz 6 pack PET bottles</t>
  </si>
  <si>
    <t>10OZ CAN DRY TONIC WATER PET 6PKX4 HC</t>
  </si>
  <si>
    <t>10OZ DT CAN DRY TONIC WATER PET 6PKX4 HC</t>
  </si>
  <si>
    <t>10OZ CAN DRY CLUB SODA PET 6PKX4 HC</t>
  </si>
  <si>
    <t>10OZ CAN DRY GINGER ALE PET 6PKX4 HC</t>
  </si>
  <si>
    <t>0 78000-00365 9</t>
  </si>
  <si>
    <t>0 78000-00342 0</t>
  </si>
  <si>
    <t>0 78000-00341 3</t>
  </si>
  <si>
    <t>0 78000-00364 2</t>
  </si>
  <si>
    <t>evian Natural Spring Water multi pack</t>
  </si>
  <si>
    <t>310mL</t>
  </si>
  <si>
    <t>750mL Sport Cap</t>
  </si>
  <si>
    <t>750mL</t>
  </si>
  <si>
    <t>1.25L 4 pack</t>
  </si>
  <si>
    <t>1.25L</t>
  </si>
  <si>
    <t>0 79298-11009 8</t>
  </si>
  <si>
    <t>330mL Sport Cap 12 pack</t>
  </si>
  <si>
    <t>1L EVIAN SPRING WTR PET 6PKX2</t>
  </si>
  <si>
    <t>330ML EVIAN SPRING WTR PET 6PKX4</t>
  </si>
  <si>
    <t>0 79298-73392 1</t>
  </si>
  <si>
    <t>0 79298-00017 7</t>
  </si>
  <si>
    <t>0 79298-00019 1</t>
  </si>
  <si>
    <t>0 79298-60007 0</t>
  </si>
  <si>
    <t>evian Natural Spring Water</t>
  </si>
  <si>
    <t>310ML EVIAN SPRING WTR PET LS24</t>
  </si>
  <si>
    <t>0 79298-65282 6</t>
  </si>
  <si>
    <t>0 79298-00008 5</t>
  </si>
  <si>
    <t>0 79298-40011 3</t>
  </si>
  <si>
    <t>1L EVIAN SPRING WTR PET LS12</t>
  </si>
  <si>
    <t>0 79298-00007 8</t>
  </si>
  <si>
    <t>1.5L EVIAN SPRING WTR PET LS12</t>
  </si>
  <si>
    <t>0 79298-00005 4</t>
  </si>
  <si>
    <t>Peet's Coffee 8oz cans</t>
  </si>
  <si>
    <t>8OZ PEETS CARML MACCHIATO COFFEE CN LS12</t>
  </si>
  <si>
    <t>7 85357-01934 8</t>
  </si>
  <si>
    <t>Black and White</t>
  </si>
  <si>
    <t>Vanilla Latte</t>
  </si>
  <si>
    <t>Caramel Macchiato</t>
  </si>
  <si>
    <t>Mocha</t>
  </si>
  <si>
    <t>7 85357-01933 1</t>
  </si>
  <si>
    <t>7 85357-01935 5</t>
  </si>
  <si>
    <t>7 85357-01936 2</t>
  </si>
  <si>
    <t>8OZ PEETS BLACK &amp; WHITE COFFEE CN LS12</t>
  </si>
  <si>
    <t>8OZ PEETS VANILLA LATTE COFFEE CN LS12</t>
  </si>
  <si>
    <t>8OZ PEETS MOCHA COFFEE CN LS12</t>
  </si>
  <si>
    <t>evian Water 310mL PET bottles (24 units per case)</t>
  </si>
  <si>
    <t>evian Water 330mL SC PET bottles 12 pack (2 - 12pk per case)</t>
  </si>
  <si>
    <t>evian Water 330mL PET bottles 6 pack (4 - 6pk per case)</t>
  </si>
  <si>
    <t>Core Hydration 23.9oz SC PET bottles (24 units per case)</t>
  </si>
  <si>
    <t>evian Water 750mL SC PET bottles (12 units per case)</t>
  </si>
  <si>
    <t>Peet's Coffee 8oz cans (12 units per case)</t>
  </si>
  <si>
    <t>0 78000-03176 8</t>
  </si>
  <si>
    <t>Sunkist Strawberry Lemonade</t>
  </si>
  <si>
    <t>0 78000-03239 0</t>
  </si>
  <si>
    <t>12OZ CAN DRY GNGR ALE ORNGADE CAN 12PKX2</t>
  </si>
  <si>
    <t>0 78000-03029 7</t>
  </si>
  <si>
    <t>Canada Dry Ginger Ale and Orangeade</t>
  </si>
  <si>
    <t>0 78000-03026 6</t>
  </si>
  <si>
    <t>0 78000-03178 2</t>
  </si>
  <si>
    <t>Sunkist Pineapple</t>
  </si>
  <si>
    <t>2L $1.19 pre-priced bottles</t>
  </si>
  <si>
    <t>2L TAHITIAN TRT FRT PUNCH PET LS8 PP119</t>
  </si>
  <si>
    <t>2L RC COLA PET LS8 PP119</t>
  </si>
  <si>
    <t>2L SUNKIST ORANGE PET LS8 PP119</t>
  </si>
  <si>
    <t>2L SUNKIST STRAWBERRY PET LS8 PP119</t>
  </si>
  <si>
    <t>2L SUNKIST GRAPE PET LS8 PP119</t>
  </si>
  <si>
    <t>2L SUNKIST PINEAPPLE PET LS8 PP119</t>
  </si>
  <si>
    <t>2L $1.29 pre-priced bottles</t>
  </si>
  <si>
    <t>Sunkist Peach</t>
  </si>
  <si>
    <t>2L TAHITIAN TRT FRT PUNCH PET LS8 PP129</t>
  </si>
  <si>
    <t>2L SUNNY DELIGHT ORANGE PET LS8 PP129</t>
  </si>
  <si>
    <t>2L BIG RED PET LS8 PP129</t>
  </si>
  <si>
    <t>2L NEHI PEACH PET LS8 PP129</t>
  </si>
  <si>
    <t>2L CHERRY RC COLA PET LS8 PP129</t>
  </si>
  <si>
    <t>2L RC COLA PET LS8 PP129</t>
  </si>
  <si>
    <t>2L SUNKIST ORANGE PET LS8 PP129</t>
  </si>
  <si>
    <t>2L SUNKIST STRAWBERRY PET LS8 PP129</t>
  </si>
  <si>
    <t>2L SUNKIST GRAPE PET LS8 PP129</t>
  </si>
  <si>
    <t>2L SUNKIST PINEAPPLE PET LS8 PP129</t>
  </si>
  <si>
    <t>2L SUNKIST PEACH PET LS8 PP129</t>
  </si>
  <si>
    <t>0 78000-02034 2</t>
  </si>
  <si>
    <t>0 78000-06023 2</t>
  </si>
  <si>
    <t>0 78000-06024 9</t>
  </si>
  <si>
    <t>0 78000-03309 0</t>
  </si>
  <si>
    <t>0 78000-03308 3</t>
  </si>
  <si>
    <t>0 78000-03310 6</t>
  </si>
  <si>
    <t>0 78000-03289 5</t>
  </si>
  <si>
    <t>0 50200-00110 9</t>
  </si>
  <si>
    <t>0 71817-00143 6</t>
  </si>
  <si>
    <t>0 29500-00614 5</t>
  </si>
  <si>
    <t>0 78000-03288 8</t>
  </si>
  <si>
    <t>0 78000-03287 1</t>
  </si>
  <si>
    <t>0 78000-03290 1</t>
  </si>
  <si>
    <t>0 78000-03292 5</t>
  </si>
  <si>
    <t>0 78000-03291 8</t>
  </si>
  <si>
    <t>0 78000-03293 2</t>
  </si>
  <si>
    <t>0 78000-03294 9</t>
  </si>
  <si>
    <t>0.5L CAN DRY LEMONADE GA PET 6PKX4 HC</t>
  </si>
  <si>
    <t>0 78000-03211 6</t>
  </si>
  <si>
    <t>0.5L DT SQUIRT PET 6PKX4</t>
  </si>
  <si>
    <t>0 78000-00377 2</t>
  </si>
  <si>
    <t>0 78000-03180 5</t>
  </si>
  <si>
    <t>2L CAN DRY GNGR ALE ORANGEADE PET LS8</t>
  </si>
  <si>
    <t>0 78000-03027 3</t>
  </si>
  <si>
    <t>2 Liter PET bottles $1.19 PPD (8 units per case)</t>
  </si>
  <si>
    <t>2 Liter PET bottles $1.29 PPD (8 units per case)</t>
  </si>
  <si>
    <t>64OZ SNPREM TEA STRGT SWEET PET LS8</t>
  </si>
  <si>
    <t>64OZ SNPREM TEA STRGT UNSWT PET LS8</t>
  </si>
  <si>
    <t>64OZ SNPREM TEA STRGT SORTA PET LS8</t>
  </si>
  <si>
    <t>0 76183-00474 6</t>
  </si>
  <si>
    <t>0 76183-00476 0</t>
  </si>
  <si>
    <t>0 76183-00475 3</t>
  </si>
  <si>
    <t>64OZ SNPREM APPLE PET LS8</t>
  </si>
  <si>
    <t>0 76183-64387 7</t>
  </si>
  <si>
    <t>0 76183-46972 9</t>
  </si>
  <si>
    <t>0 76183-45512 8</t>
  </si>
  <si>
    <t>Strawberry Pineappple Lemonade</t>
  </si>
  <si>
    <t>0 76183-46832 6</t>
  </si>
  <si>
    <t>Black Cherry Lemonade</t>
  </si>
  <si>
    <t>0 76183-46684 1</t>
  </si>
  <si>
    <t>16OZ XYIENCE CHERRY LIME CN LS12</t>
  </si>
  <si>
    <t>8 42885-09821 1</t>
  </si>
  <si>
    <t>XYience 16oz cans</t>
  </si>
  <si>
    <t>16OZ XYIENCE MANGO GUAVA CN LS12</t>
  </si>
  <si>
    <t>16OZ XYIENCE BLU POM CN LS12</t>
  </si>
  <si>
    <t>16OZ XYIENCE FRUIT PUNCH CN LS12</t>
  </si>
  <si>
    <t>16OZ XYIENCE FUJI APPLE CN LS12</t>
  </si>
  <si>
    <t>16OZ XYIENCE WILD GRAPE CN LS12</t>
  </si>
  <si>
    <t>Cherry Lime</t>
  </si>
  <si>
    <t>8 42885-09871 6</t>
  </si>
  <si>
    <t>Mango Guava</t>
  </si>
  <si>
    <t>8 42885-09715 3</t>
  </si>
  <si>
    <t>Frostberry Blast</t>
  </si>
  <si>
    <t>8 42885-09863 1</t>
  </si>
  <si>
    <t>Blue Pomegranate</t>
  </si>
  <si>
    <t>1 86249-00004 6</t>
  </si>
  <si>
    <t>Cran Razz</t>
  </si>
  <si>
    <t>8 42885-09726 9</t>
  </si>
  <si>
    <t>8 42885-09701 6</t>
  </si>
  <si>
    <t>Melon Mayhem</t>
  </si>
  <si>
    <t>8 42885-09700 9</t>
  </si>
  <si>
    <t>Tangerine</t>
  </si>
  <si>
    <t>8 42885-00007 8</t>
  </si>
  <si>
    <t>Fuji Apple</t>
  </si>
  <si>
    <t>8 42885-00006 1</t>
  </si>
  <si>
    <t>Wild Grape</t>
  </si>
  <si>
    <t>600ML PENAFIEL PINAPLEMDE PET LS12 IMPMX</t>
  </si>
  <si>
    <t>0 78000-03091 4</t>
  </si>
  <si>
    <t>600ML PENAFIEL SANGRIA PET LS12 IMPMX</t>
  </si>
  <si>
    <t>Peñafiel Mineral Water 600mL bottles</t>
  </si>
  <si>
    <t>Agua Mineral Water</t>
  </si>
  <si>
    <t>Limeade</t>
  </si>
  <si>
    <t>Orangeade</t>
  </si>
  <si>
    <t>Pineappleade</t>
  </si>
  <si>
    <t>0 78000-03093 8</t>
  </si>
  <si>
    <t>Sangria</t>
  </si>
  <si>
    <t>XYience 16oz cans (12 units per case)</t>
  </si>
  <si>
    <t>1L VITA COCO PRESSED COCONUT DB LS12</t>
  </si>
  <si>
    <t>8 98999-01128 8</t>
  </si>
  <si>
    <t>Pressed Coconut</t>
  </si>
  <si>
    <t>Vita Coco 16.9oz bottles</t>
  </si>
  <si>
    <t>8 98999-01022 9</t>
  </si>
  <si>
    <t>Original</t>
  </si>
  <si>
    <t>8 98999-01124 0</t>
  </si>
  <si>
    <t>8 98999-01127 1</t>
  </si>
  <si>
    <t>Vita Coco Sparkling 12oz cans</t>
  </si>
  <si>
    <t>12OZ VITA COCO SPRKL GRAPFRUIT CN LS12</t>
  </si>
  <si>
    <t>8 98999-01065 6</t>
  </si>
  <si>
    <t>Grapefruit</t>
  </si>
  <si>
    <t>12OZ VITA COCO SPRKL LEMON GINGR CN LS12</t>
  </si>
  <si>
    <t>8 98999-01067 0</t>
  </si>
  <si>
    <t>Lemon Ginger</t>
  </si>
  <si>
    <t>12OZ VITA COCO SPRKL RASP LIME CN LS12</t>
  </si>
  <si>
    <t>8 98999-01071 7</t>
  </si>
  <si>
    <t>Raspberry Lime</t>
  </si>
  <si>
    <t>12OZ VITA COCO SPRKL PINE PASFRT CN LS12</t>
  </si>
  <si>
    <t>8 98999-01070 0</t>
  </si>
  <si>
    <t>Pineapple Passionfruit</t>
  </si>
  <si>
    <t>750ML EVIAN SPRING WTR PET LS12 SPTCP</t>
  </si>
  <si>
    <t>1.25L EVIAN SPRING WTR PET 4PKX2</t>
  </si>
  <si>
    <t>Vita Coco 16.9oz PET bottles (12 units per case)</t>
  </si>
  <si>
    <t>Vita Coco Sparkling 12oz cans (12 units per case)</t>
  </si>
  <si>
    <t>Runa Energy 12oz cans</t>
  </si>
  <si>
    <t>12OZ RUNA ENERGY MANGO CN LS12</t>
  </si>
  <si>
    <t>8 56496-00620 6</t>
  </si>
  <si>
    <t>Mango</t>
  </si>
  <si>
    <t>12OZ RUNA ENERGY BERRY CN LS12</t>
  </si>
  <si>
    <t>8 57732-00279 2</t>
  </si>
  <si>
    <t>Berry</t>
  </si>
  <si>
    <t>12OZ RUNA ENERGY PINEAPPLE CN LS12</t>
  </si>
  <si>
    <t>8 56496-00621 3</t>
  </si>
  <si>
    <t>12OZ RUNA ZERO ENERGY BLOOD ORNG CN LS12</t>
  </si>
  <si>
    <t>8 57732-00277 8</t>
  </si>
  <si>
    <t>Zero Blood Orange</t>
  </si>
  <si>
    <t>12OZ RUNA ZERO ENERGY WATERMELON CN LS12</t>
  </si>
  <si>
    <t>8 56496-00623 7</t>
  </si>
  <si>
    <t>Zero Watermelon</t>
  </si>
  <si>
    <t>12OZ RUNA ZERO ENERGY LIME CN LS12</t>
  </si>
  <si>
    <t>8 57732-00278 5</t>
  </si>
  <si>
    <t>Zero Lime</t>
  </si>
  <si>
    <t>8 57732-00232 7</t>
  </si>
  <si>
    <t>Hibiscus Berry</t>
  </si>
  <si>
    <t>14oz</t>
  </si>
  <si>
    <t>8 57732-00274 7</t>
  </si>
  <si>
    <t>Peach</t>
  </si>
  <si>
    <t>8 57732-00238 9</t>
  </si>
  <si>
    <t>Guava</t>
  </si>
  <si>
    <t>Runa Energy 12oz cans (12 units per case)</t>
  </si>
  <si>
    <t>High Brew Triple Shot 11oz cans</t>
  </si>
  <si>
    <t>8 54560-00580 3</t>
  </si>
  <si>
    <t>Espresso</t>
  </si>
  <si>
    <t>8 54560-00581 0</t>
  </si>
  <si>
    <t>Vanilla</t>
  </si>
  <si>
    <t>8 54560-00583 4</t>
  </si>
  <si>
    <t>Chocolate</t>
  </si>
  <si>
    <t>8 54560-00582 7</t>
  </si>
  <si>
    <t>Black</t>
  </si>
  <si>
    <t>High Brew Sparkling 12oz cans</t>
  </si>
  <si>
    <t>8 54560-00570 4</t>
  </si>
  <si>
    <t>Classic Black</t>
  </si>
  <si>
    <t>8 54560-00571 1</t>
  </si>
  <si>
    <t>8 54560-00573 5</t>
  </si>
  <si>
    <t>High Brew Coffee Sparkling 12oz cans (12 units per case)</t>
  </si>
  <si>
    <t>High Brew Coffee Triple Shot 11oz cans (12 units per case)</t>
  </si>
  <si>
    <t>8 53471-00489 9</t>
  </si>
  <si>
    <t>8 53471-00418 9</t>
  </si>
  <si>
    <t>8 53471-00401 1</t>
  </si>
  <si>
    <t>8 53471-00404 2</t>
  </si>
  <si>
    <t>2OZ GREEN MTN 100MG MOCHA SHOT LS12</t>
  </si>
  <si>
    <t>8 53471-00445 5</t>
  </si>
  <si>
    <t>2OZ DNT SHP 100MG CRMY LATT SHOT LS12</t>
  </si>
  <si>
    <t>8 53471-00446 2</t>
  </si>
  <si>
    <t>2OZ GREEN MTN 100MG PURE BLK SHOT LS12</t>
  </si>
  <si>
    <t>8 53471-00444 8</t>
  </si>
  <si>
    <t>2OZ KRSPY KRM 100MG LATT SHOT LS12</t>
  </si>
  <si>
    <t>8 53471-00447 9</t>
  </si>
  <si>
    <t>2OZ GEVALIA 100MG ESPRSO SHOT LS12</t>
  </si>
  <si>
    <t>8 53471-00448 6</t>
  </si>
  <si>
    <t>Forto 11oz cups</t>
  </si>
  <si>
    <t>Coffee Latte</t>
  </si>
  <si>
    <t>Chocolate Latte</t>
  </si>
  <si>
    <t>8 53471-00449 3</t>
  </si>
  <si>
    <t>8 53471-00450 9</t>
  </si>
  <si>
    <t>8 53471-00451 6</t>
  </si>
  <si>
    <t>Forto 11oz cups (12 units per case)</t>
  </si>
  <si>
    <t>Coffee Beverages</t>
  </si>
  <si>
    <t>1000xxxx</t>
  </si>
  <si>
    <t>CSD - 2L $1.19</t>
  </si>
  <si>
    <t>CSD - 2L $1.29</t>
  </si>
  <si>
    <t>Snapple SUT - 64oz</t>
  </si>
  <si>
    <t>_UDS</t>
  </si>
  <si>
    <t>VitaCoco - 16.9oz</t>
  </si>
  <si>
    <t>VitaCoco - Sparkling</t>
  </si>
  <si>
    <t>evian Water</t>
  </si>
  <si>
    <t>evian Water - multi</t>
  </si>
  <si>
    <t>Runa Energy</t>
  </si>
  <si>
    <t>Runa Still Energy</t>
  </si>
  <si>
    <t>Forto - 200mg</t>
  </si>
  <si>
    <t>Forto - 100mg</t>
  </si>
  <si>
    <t>Forto - 11oz</t>
  </si>
  <si>
    <t>XYience</t>
  </si>
  <si>
    <t>High Brew - Sparkling</t>
  </si>
  <si>
    <t>High Brew - Triple Shot</t>
  </si>
  <si>
    <t>Peet's Coffee</t>
  </si>
  <si>
    <t>0 78000-12116 2</t>
  </si>
  <si>
    <t>12OZ SUNKIST CHRY LIMEADE CN 12PKX2</t>
  </si>
  <si>
    <t>Sunkist Cherry Limeade</t>
  </si>
  <si>
    <t>Diet Rite Cherry Cola</t>
  </si>
  <si>
    <t>12OZ DT RITE CHERRY COLA CN 12PKX2</t>
  </si>
  <si>
    <t>0 78000-07016 3</t>
  </si>
  <si>
    <t>Diet RC Cola</t>
  </si>
  <si>
    <t>0 78000-04216 0</t>
  </si>
  <si>
    <t>12OZ DT RC COLA CN 12PKX2</t>
  </si>
  <si>
    <t>Active</t>
  </si>
  <si>
    <t>12OZ CHERRY DR PEPPER CN 24PK CB</t>
  </si>
  <si>
    <t>0 78000-09810 5</t>
  </si>
  <si>
    <t>12OZ SUNDROP CN 24PK CB</t>
  </si>
  <si>
    <t>0 78000-23010 9</t>
  </si>
  <si>
    <t>12OZ HAW PUNCH FRT JCY RD CN 24PK CB</t>
  </si>
  <si>
    <t>0 78000-04001 2</t>
  </si>
  <si>
    <t>12OZ BIG RED CN 24PK CB</t>
  </si>
  <si>
    <t>0 71817-04329 0</t>
  </si>
  <si>
    <t>12OZ VERNORS GINGER ALE CN 6PKX4 HC</t>
  </si>
  <si>
    <t>0 78000-00939 2</t>
  </si>
  <si>
    <t>7.5OZ RC COLA SCN 6PKX4 BB</t>
  </si>
  <si>
    <t>0 78000-00202 7</t>
  </si>
  <si>
    <t>16OZ BIG RED CN LS24</t>
  </si>
  <si>
    <t>0 71817-00132 0</t>
  </si>
  <si>
    <t>20OZ DT SUNDROP PET LS24</t>
  </si>
  <si>
    <t>0 78000-23140 3</t>
  </si>
  <si>
    <t>20OZ SUNKIST PINEAPPLE PET LS24</t>
  </si>
  <si>
    <t>0 78000-12440 8</t>
  </si>
  <si>
    <t>Sunkist Pink Lemonade</t>
  </si>
  <si>
    <t>20OZ SUNKIST PINK LEMONADE NCRB PET LS24</t>
  </si>
  <si>
    <t>0 78000-02769 3</t>
  </si>
  <si>
    <t>20OZ NEHI PEACH PET LS24</t>
  </si>
  <si>
    <t>0 29500-26762 1</t>
  </si>
  <si>
    <t>Big Blue</t>
  </si>
  <si>
    <t>20OZ BIG BLUE PET LS24</t>
  </si>
  <si>
    <t>0 71817-00039 2</t>
  </si>
  <si>
    <t>20OZ DT RC COLA PET LS24</t>
  </si>
  <si>
    <t>0 78000-04240 5</t>
  </si>
  <si>
    <t>2L DT SUNDROP PET LS8</t>
  </si>
  <si>
    <t>0 78000-23146 5</t>
  </si>
  <si>
    <t>2L VERNORS GINGER ALE PET LS8</t>
  </si>
  <si>
    <t>0 78000-18046 6</t>
  </si>
  <si>
    <t>2L DT VERNORS GINGER ALE PET LS8</t>
  </si>
  <si>
    <t>0 78000-18246 0</t>
  </si>
  <si>
    <t>2L BIG BLUE PET LS8</t>
  </si>
  <si>
    <t>0 71817-00071 2</t>
  </si>
  <si>
    <t>2L NEHI PEACH PET LS8</t>
  </si>
  <si>
    <t>0 29500-26932 8</t>
  </si>
  <si>
    <t>0.5L SUNDROP PET 6PKX4</t>
  </si>
  <si>
    <t>0 78000-23042 0</t>
  </si>
  <si>
    <t>0.5L HAW PUNCH FRT JCY RD PET 6PKX4</t>
  </si>
  <si>
    <t>0 78000-04007 4</t>
  </si>
  <si>
    <t>0.5L BIG RED PET 6PKX4</t>
  </si>
  <si>
    <t>0 71817-00241 9</t>
  </si>
  <si>
    <t>0.5L DT RITE COLA PET 6PKX4</t>
  </si>
  <si>
    <t>0 78000-06342 4</t>
  </si>
  <si>
    <t>Key Lime</t>
  </si>
  <si>
    <t>12OZ STEWARTS KEY LIME SUGR GLS 4PKX6</t>
  </si>
  <si>
    <t>0 98794-00022 1</t>
  </si>
  <si>
    <t>0.5L CAN DRY SPRK LEM LIM PET 6PKX4</t>
  </si>
  <si>
    <t>Lemon Tea</t>
  </si>
  <si>
    <t>Diet Lemon Tea</t>
  </si>
  <si>
    <t>64OZ SNPREM TEA LEMON PET LS8</t>
  </si>
  <si>
    <t>0 76183-64374 7</t>
  </si>
  <si>
    <t>64OZ DT SNPREM TEA LEMON PET LS8</t>
  </si>
  <si>
    <t>0 76183-64376 1</t>
  </si>
  <si>
    <t>64OZ SNPREM ORANGEADE PET LS8</t>
  </si>
  <si>
    <t>0 76183-00162 2</t>
  </si>
  <si>
    <t>16OZ SNPREM TEA LEMON PET LS12</t>
  </si>
  <si>
    <t>0 76183-00315 2</t>
  </si>
  <si>
    <t>16OZ DT SNPREM TEA LEMON PET LS12</t>
  </si>
  <si>
    <t>0 76183-00320 6</t>
  </si>
  <si>
    <t>Peach Mangosteen</t>
  </si>
  <si>
    <t>Diet Noni Berry</t>
  </si>
  <si>
    <t>16OZ DT SNPREM NONI BERRY PET LS12</t>
  </si>
  <si>
    <t>0 76183-00325 1</t>
  </si>
  <si>
    <t>16OZ SNPREM PCH MNGOSTEEN PET LS12</t>
  </si>
  <si>
    <t>0 76183-00317 6</t>
  </si>
  <si>
    <t>16OZ SNPREM MANGO MDNESS GLS 6PKX4</t>
  </si>
  <si>
    <t>16OZ CLAMATO PICANTE GLS LS12</t>
  </si>
  <si>
    <t>0 14800-51274 8</t>
  </si>
  <si>
    <t>16OZ CLAMATO PREPARADO GLS LS12</t>
  </si>
  <si>
    <t>0 14800-00380 2</t>
  </si>
  <si>
    <t>32oz Original</t>
  </si>
  <si>
    <t>32oz Picante</t>
  </si>
  <si>
    <t>64oz Original</t>
  </si>
  <si>
    <t>64oz Picante</t>
  </si>
  <si>
    <t>64oz Limón</t>
  </si>
  <si>
    <t>32OZ CLAMATO PET LS12 PLT</t>
  </si>
  <si>
    <t>0 14800-51324 0</t>
  </si>
  <si>
    <t>32OZ CLAMATO PICANTE PET LS12</t>
  </si>
  <si>
    <t>0 14800-51275 5</t>
  </si>
  <si>
    <t>64OZ CLAMATO PET LS8</t>
  </si>
  <si>
    <t>0 14800-51647 0</t>
  </si>
  <si>
    <t>64OZ CLAMATO PICANTE PET LS8</t>
  </si>
  <si>
    <t>0 14800-51276 2</t>
  </si>
  <si>
    <t>64OZ CLAMATO LIMON PET LS8</t>
  </si>
  <si>
    <t>0 14800-00381 9</t>
  </si>
  <si>
    <t>12OZ YOO-HOO CHOCOLATE GLS 4PKX6</t>
  </si>
  <si>
    <t>0 72350-02054 0</t>
  </si>
  <si>
    <t>11OZ YOO-HOO CHOCOLATE CN 6PKX4</t>
  </si>
  <si>
    <t>0 72350-00007 8</t>
  </si>
  <si>
    <t>Apple</t>
  </si>
  <si>
    <t>Strawberry</t>
  </si>
  <si>
    <t>Mandarina Twist Tangerine</t>
  </si>
  <si>
    <t>600ML PENAFIEL PENA MANZNTA PETLS12IMPMX</t>
  </si>
  <si>
    <t>0 78000-20025 6</t>
  </si>
  <si>
    <t>600ML PENAFIEL FRESA PET LS12 IMPMX</t>
  </si>
  <si>
    <t>0 78000-20026 3</t>
  </si>
  <si>
    <t>600ML PENAFIEL MNDRNA TWST PET LS12IMPMX</t>
  </si>
  <si>
    <t>0 78000-20042 3</t>
  </si>
  <si>
    <t>Caffeine Free Dr Pepper</t>
  </si>
  <si>
    <t>12OZ C-F DR PEPPER CN 12PKX2</t>
  </si>
  <si>
    <t>0 78000-08416 0</t>
  </si>
  <si>
    <t>Cherry Vanilla Dr Pepper</t>
  </si>
  <si>
    <t>Diet Cherry Vanilla Dr Pepper</t>
  </si>
  <si>
    <t>12OZ CHRY VAN DR PEPPER CN 12PKX2</t>
  </si>
  <si>
    <t>0 78000-08816 8</t>
  </si>
  <si>
    <t>12OZ DT CHRY VAN DR PEPPER CN 12PKX2</t>
  </si>
  <si>
    <t>0 78000-08916 5</t>
  </si>
  <si>
    <t>Big Peach</t>
  </si>
  <si>
    <t>Big Pineapple</t>
  </si>
  <si>
    <t>12OZ BIG RED ZERO CN 12PKX2</t>
  </si>
  <si>
    <t>0 71817-03330 7</t>
  </si>
  <si>
    <t>12OZ BIG BLUE CN 12PKX2</t>
  </si>
  <si>
    <t>0 71817-03339 0</t>
  </si>
  <si>
    <t>12OZ BIG PEACH CN 12PKX2</t>
  </si>
  <si>
    <t>0 71817-03390 1</t>
  </si>
  <si>
    <t>12OZ BIG PINEAPPLE CN 12PKX2</t>
  </si>
  <si>
    <t>0 71817-03389 5</t>
  </si>
  <si>
    <t>12OZ DR PEPPER TEN CN 24PK CB</t>
  </si>
  <si>
    <t>12oz 36 pack cans</t>
  </si>
  <si>
    <t>CSD - 36pks</t>
  </si>
  <si>
    <t>12OZ DR PEPPER CN 36PK CB</t>
  </si>
  <si>
    <t>0 78000-80469 0</t>
  </si>
  <si>
    <t>12OZ DT DR PEPPER CN 36PK CB</t>
  </si>
  <si>
    <t>0 78000-80470 6</t>
  </si>
  <si>
    <t>12OZ BIG RED CN 36PK CLB</t>
  </si>
  <si>
    <t>0 71817-04028 2</t>
  </si>
  <si>
    <t>12oz 24 pack cans - Suitcase</t>
  </si>
  <si>
    <t>CSD - 24pks SC</t>
  </si>
  <si>
    <t>12OZ SUNKIST LEMONADE NCRB CN 6PKX4 HC</t>
  </si>
  <si>
    <t>0 78000-02762 4</t>
  </si>
  <si>
    <t>12OZ CAN DRY GINGER ALE CN 6PKX4 HC</t>
  </si>
  <si>
    <t>0 78000-00114 3</t>
  </si>
  <si>
    <t>12OZ DT VERNORS GINGER ALE CN 6PKX4 HC</t>
  </si>
  <si>
    <t>0 78000-00940 8</t>
  </si>
  <si>
    <t>12OZ HAW PUNCH FRT JCY RD CN 6PKX4 HC</t>
  </si>
  <si>
    <t>0 78000-00400 7</t>
  </si>
  <si>
    <t>12OZ BIG RED CN 6PKX4 HC</t>
  </si>
  <si>
    <t>0 71817-00029 3</t>
  </si>
  <si>
    <t>12OZ RC COLA CN 6PKX4 HC</t>
  </si>
  <si>
    <t>0 78000-00196 9</t>
  </si>
  <si>
    <t>7.5OZ BIG RED SCN 6PKX4 BB</t>
  </si>
  <si>
    <t>0 71817-00126 9</t>
  </si>
  <si>
    <t>20OZ DR PEPPER SUGR PET LS24</t>
  </si>
  <si>
    <t>0 78000-80828 5</t>
  </si>
  <si>
    <t>20OZ DR PEPPER TEN PET LS24</t>
  </si>
  <si>
    <t>0 78000-00165 5</t>
  </si>
  <si>
    <t>20OZ BIG RED ZERO PET LS24</t>
  </si>
  <si>
    <t>0 71817-00038 5</t>
  </si>
  <si>
    <t>20OZ BIG PEACH PET LS24</t>
  </si>
  <si>
    <t>0 71817-00092 7</t>
  </si>
  <si>
    <t>20OZ BIG PINEAPPLE PET LS24</t>
  </si>
  <si>
    <t>0 71817-00082 8</t>
  </si>
  <si>
    <t>2L DR PEPPER SUGR PET LS8</t>
  </si>
  <si>
    <t>0 78000-10246 8</t>
  </si>
  <si>
    <t>2L C-F DR PEPPER PET LS8</t>
  </si>
  <si>
    <t>0 78000-08446 7</t>
  </si>
  <si>
    <t>2L BIG PINEAPPLE PET LS8</t>
  </si>
  <si>
    <t>0 71817-00085 9</t>
  </si>
  <si>
    <t>12OZ BIG RED PET 8PKX3 BB</t>
  </si>
  <si>
    <t>0 71817-00016 3</t>
  </si>
  <si>
    <t>0.5L DT C-F DR PEPPER PET 6PKX4</t>
  </si>
  <si>
    <t>0 78000-00390 1</t>
  </si>
  <si>
    <t>0.5L BIG RED ZERO PET 6PKX4</t>
  </si>
  <si>
    <t>0 71817-00243 3</t>
  </si>
  <si>
    <t>Straight Up Tea</t>
  </si>
  <si>
    <t>11.5OZ DT SNPREM TEA PEACH CN LS24</t>
  </si>
  <si>
    <t>0 76183-12357 7</t>
  </si>
  <si>
    <t>11.5OZ DT SNPREM TEA HLF&amp;HLF LMD CN LS24</t>
  </si>
  <si>
    <t>0 76183-00199 8</t>
  </si>
  <si>
    <t>11.5OZ SNPREM TEA STRGT CAN LS24</t>
  </si>
  <si>
    <t>0 76183-00210 0</t>
  </si>
  <si>
    <t>23OZ ARIZ JC DR WATERMELON CN LS24 PP</t>
  </si>
  <si>
    <t>6 13008-72020 9</t>
  </si>
  <si>
    <t>23OZ ARIZ JC DR KW STRWB CN LS24 PP</t>
  </si>
  <si>
    <t>6 13008-73543 2</t>
  </si>
  <si>
    <t>Rx Energy</t>
  </si>
  <si>
    <t>23OZ ARIZ RX ENERGY CN LS24 PP</t>
  </si>
  <si>
    <t>6 13008-71845 9</t>
  </si>
  <si>
    <t>Mistic 16oz glass bottles</t>
  </si>
  <si>
    <t>0 89396-15296 8</t>
  </si>
  <si>
    <t>0 89396-15297 5</t>
  </si>
  <si>
    <t>0 89396-15290 6</t>
  </si>
  <si>
    <t>0 89396-15302 6</t>
  </si>
  <si>
    <t>0 89396-15294 4</t>
  </si>
  <si>
    <t>0 89396-15292 0</t>
  </si>
  <si>
    <t>0 89396-15330 9</t>
  </si>
  <si>
    <t>0 89396-15612 6</t>
  </si>
  <si>
    <t>0 89396-15615 7</t>
  </si>
  <si>
    <t>0 89396-15611 9</t>
  </si>
  <si>
    <t>0 89396-15641 6</t>
  </si>
  <si>
    <t>0 89396-15630 0</t>
  </si>
  <si>
    <t>0 89396-15622 5</t>
  </si>
  <si>
    <t>Orange Carrot</t>
  </si>
  <si>
    <t>Mango Carrot</t>
  </si>
  <si>
    <t>Tropical Carrot</t>
  </si>
  <si>
    <t>Peach Carrot</t>
  </si>
  <si>
    <t>Bahama Blueberry</t>
  </si>
  <si>
    <t>Tropical Fruit Punch</t>
  </si>
  <si>
    <t>Grape Strawberry</t>
  </si>
  <si>
    <t>Peach Beach</t>
  </si>
  <si>
    <t>Lotta Colada</t>
  </si>
  <si>
    <t>Watermelon Kiwi</t>
  </si>
  <si>
    <t>Nantucket Nectars 16oz glass bottles</t>
  </si>
  <si>
    <t>7 26284-00015 3</t>
  </si>
  <si>
    <t>7 26284-00002 3</t>
  </si>
  <si>
    <t>7 26284-00003 0</t>
  </si>
  <si>
    <t>7 26284-00012 2</t>
  </si>
  <si>
    <t>7 26284-00014 6</t>
  </si>
  <si>
    <t>7 26284-00011 5</t>
  </si>
  <si>
    <t>7 26284-00016 0</t>
  </si>
  <si>
    <t>7 26284-00001 6</t>
  </si>
  <si>
    <t>16OZ NANT NECT PIN ORG BAN 100% GLS LS12</t>
  </si>
  <si>
    <t>7 26284-00019 1</t>
  </si>
  <si>
    <t>7 26284-00013 9</t>
  </si>
  <si>
    <t>7 26284-00018 4</t>
  </si>
  <si>
    <t>7 26284-00055 9</t>
  </si>
  <si>
    <t>16OZ NANT NECT RED PLUM LEMNADE GLS LS12</t>
  </si>
  <si>
    <t>7 26284-00053 5</t>
  </si>
  <si>
    <t>7 26284-00020 7</t>
  </si>
  <si>
    <t>7 26284-00010 8</t>
  </si>
  <si>
    <t>7 26284-00004 7</t>
  </si>
  <si>
    <t>Pressed Apple - 100% Juice</t>
  </si>
  <si>
    <t>Big Cranberry</t>
  </si>
  <si>
    <t>Grapeade</t>
  </si>
  <si>
    <t>Mango Lemonade</t>
  </si>
  <si>
    <t>Premium Orange - 100% Juice</t>
  </si>
  <si>
    <t>Peach Orange - 100% Juice</t>
  </si>
  <si>
    <t>Pineapple Orange Banana - 100% Juice</t>
  </si>
  <si>
    <t>Pineapple Orange Guava</t>
  </si>
  <si>
    <t>Pomegranate Cherry - 100% Juice</t>
  </si>
  <si>
    <t>Pomegranate Pear</t>
  </si>
  <si>
    <t>Red Plum</t>
  </si>
  <si>
    <t>Red Plum Lemonade</t>
  </si>
  <si>
    <t>Half &amp; Half - w/squeezed Lemon Juice</t>
  </si>
  <si>
    <t>Squeezed Lemonade</t>
  </si>
  <si>
    <t>Watermelon Strawberry</t>
  </si>
  <si>
    <t>12OZ 7UP CN 36PK CB</t>
  </si>
  <si>
    <t>0 78000-80486 7</t>
  </si>
  <si>
    <t>12OZ 7UP CN 12PKX2</t>
  </si>
  <si>
    <t>12OZ DT 7UP CN 12PKX2</t>
  </si>
  <si>
    <t>12OZ DT 7UP CN 6PKX4 HC</t>
  </si>
  <si>
    <t>0 78000-00079 5</t>
  </si>
  <si>
    <t>12OZ A&amp;W ROOT BEER CN 12PKX2</t>
  </si>
  <si>
    <t>12OZ DR PEPPER CN 24PK SC</t>
  </si>
  <si>
    <t>0 78000-08213 5</t>
  </si>
  <si>
    <t>12OZ DT DR PEPPER CN 24PK SC</t>
  </si>
  <si>
    <t>0 78000-08313 2</t>
  </si>
  <si>
    <t>12OZ 7UP CN 24PK SC</t>
  </si>
  <si>
    <t>0 78000-01105 0</t>
  </si>
  <si>
    <t>12OZ A&amp;W ROOT BEER CN 24PK SC</t>
  </si>
  <si>
    <t>0 78000-05213 8</t>
  </si>
  <si>
    <t>12OZ SUNKIST ORANGE CN 24PK SC</t>
  </si>
  <si>
    <t>0 78000-11313 6</t>
  </si>
  <si>
    <t>12OZ CAN DRY GINGER ALE CN 24PK SC</t>
  </si>
  <si>
    <t>0 78000-15213 5</t>
  </si>
  <si>
    <t>12OZ SQUIRT CN 24PK SC</t>
  </si>
  <si>
    <t>0 78000-01613 0</t>
  </si>
  <si>
    <t>12OZ HAW PUNCH FRT JCY RD CN 24PK SC</t>
  </si>
  <si>
    <t>0 78000-04075 3</t>
  </si>
  <si>
    <t>12OZ BIG RED CN 24PK SC</t>
  </si>
  <si>
    <t>0 71817-04029 9</t>
  </si>
  <si>
    <t>12OZ VERNORS GINGER ALE CN 24PK SC</t>
  </si>
  <si>
    <t>0 78000-18013 8</t>
  </si>
  <si>
    <t>12OZ STEWARTS CHERRY NCRM SUGR GLS 4PKX6</t>
  </si>
  <si>
    <t>0 98794-00023 8</t>
  </si>
  <si>
    <t>12OZ STEWARTS BIRCH BEER SUGR GLS 4PKX6</t>
  </si>
  <si>
    <t>0 98794-00025 2</t>
  </si>
  <si>
    <t>12OZ STEWARTS GRAPE SODA SUGR GLS 4PKX6</t>
  </si>
  <si>
    <t>0 98794-00024 5</t>
  </si>
  <si>
    <t>Cherries ‘n Cream</t>
  </si>
  <si>
    <t>Birch Beer</t>
  </si>
  <si>
    <t>Grape Soda</t>
  </si>
  <si>
    <t>Limon Twist Lime</t>
  </si>
  <si>
    <t>600ML PENAFIEL LIMON TWIST PETLS12 IMPMX</t>
  </si>
  <si>
    <t>0 78000-20043 0</t>
  </si>
  <si>
    <t>Peñafiel Mineral Water 1.5L bottles</t>
  </si>
  <si>
    <t>1.5L PENAFIEL LIMONADA PET LS12 IMPMX</t>
  </si>
  <si>
    <t>0 78000-02856 0</t>
  </si>
  <si>
    <t>1.5L PENAFIEL NARANJADA PET LS12 IMPMX</t>
  </si>
  <si>
    <t>0 78000-02858 4</t>
  </si>
  <si>
    <t>1.5L PENAFIEL PENA MANZNTA PETLS12IMPMX</t>
  </si>
  <si>
    <t>0 78000-20030 0</t>
  </si>
  <si>
    <t>1.5L PENAFIEL FRESA PET LS12 IMPMX</t>
  </si>
  <si>
    <t>0 78000-20031 7</t>
  </si>
  <si>
    <t>32oz Preparado</t>
  </si>
  <si>
    <t>32OZ CLAMATO PREPARADO PET LS12</t>
  </si>
  <si>
    <t>0 14800-00360 4</t>
  </si>
  <si>
    <t>12OZ DT A&amp;W ROOT BEER CN 24PK CB</t>
  </si>
  <si>
    <t>0 78000-05310 4</t>
  </si>
  <si>
    <t>7.5OZ DT A&amp;W ROOT BEER SCN 6PKX4 BB</t>
  </si>
  <si>
    <t>0 78000-00200 3</t>
  </si>
  <si>
    <t>1L BIG RED PET LS15</t>
  </si>
  <si>
    <t>0 71817-00045 3</t>
  </si>
  <si>
    <t>Cactus Cooler</t>
  </si>
  <si>
    <t>12OZ CACTUS COOLER CN 12PKX2</t>
  </si>
  <si>
    <t>0 78000-01162 3</t>
  </si>
  <si>
    <t>20OZ CACTUS COOLER PET LS24</t>
  </si>
  <si>
    <t>0 78000-01164 7</t>
  </si>
  <si>
    <t>2L CACTUS COOLER PET LS8</t>
  </si>
  <si>
    <t>0 78000-01169 2</t>
  </si>
  <si>
    <t>2L 7UP PET LS8 PP099</t>
  </si>
  <si>
    <t>2L CHERRY 7UP PET LS8 PP099</t>
  </si>
  <si>
    <t>2L SUNDROP PET LS8 PP099</t>
  </si>
  <si>
    <t>2L SUNKIST ORANGE PET LS8 PP099</t>
  </si>
  <si>
    <t>2L SUNKIST STRAWBERRY PET LS8 PP099</t>
  </si>
  <si>
    <t>2L SUNKIST GRAPE PET LS8 PP099</t>
  </si>
  <si>
    <t>2L SUNKIST PINEAPPLE PET LS8 PP099</t>
  </si>
  <si>
    <t>2L SUNKIST LEMONADE NCRB PET LS8 PP099</t>
  </si>
  <si>
    <t>2L SUNKIST PINK LMADE NCRB PET LS8 PP099</t>
  </si>
  <si>
    <t>2L CACTUS COOLER PET LS8 PP099</t>
  </si>
  <si>
    <t>2L SUNNY DELIGHT ORANGE PET LS8 PP099</t>
  </si>
  <si>
    <t>2L BIG BLUE PET LS8 PP099</t>
  </si>
  <si>
    <t>2L BIG PEACH PET LS8 PP099</t>
  </si>
  <si>
    <t>2L BIG PINEAPPLE PET LS8 PP099</t>
  </si>
  <si>
    <t>2L NEHI PEACH PET LS8 PP099</t>
  </si>
  <si>
    <t>2L NEHI GRAPE PET LS8 PP099</t>
  </si>
  <si>
    <t>2L CHERRY RC COLA PET LS8 PP099</t>
  </si>
  <si>
    <t>Nehi Grape</t>
  </si>
  <si>
    <t>Nehi Orange</t>
  </si>
  <si>
    <t>2L DT CRUSH ORANGE PET LS8</t>
  </si>
  <si>
    <t>0 78000-01397 9</t>
  </si>
  <si>
    <t>Canada Dry Green Tea Ginger Ale</t>
  </si>
  <si>
    <t>12OZ CAN DRY GT GNGR ALE CN 12PKX2</t>
  </si>
  <si>
    <t>0 78000-16816 7</t>
  </si>
  <si>
    <t>12OZ DT CAN DRY CRAN GR ALE CN 12PKX2</t>
  </si>
  <si>
    <t>0 78000-14116 0</t>
  </si>
  <si>
    <t>12OZ CAN DRY CRANB G ALE CN 24PK CB</t>
  </si>
  <si>
    <t>0 78000-15610 2</t>
  </si>
  <si>
    <t>12OZ CAN DRY GINGER ALE CN 36PK CB</t>
  </si>
  <si>
    <t>0 78000-80490 4</t>
  </si>
  <si>
    <t>12OZ DT CAN DRY GINGER ALE CN 6PKX4 HC</t>
  </si>
  <si>
    <t>0 78000-00118 1</t>
  </si>
  <si>
    <t>12OZ CAN DRY CRANB GINGR ALE CN 6PKX4 HC</t>
  </si>
  <si>
    <t>0 78000-00132 7</t>
  </si>
  <si>
    <t>12OZ CAN DRY CLUB SODA CN 6PKX4 HC</t>
  </si>
  <si>
    <t>0 78000-00122 8</t>
  </si>
  <si>
    <t>12OZ CAN DRY TONIC WATER CN 6PKX4 HC</t>
  </si>
  <si>
    <t>0 78000-00124 2</t>
  </si>
  <si>
    <t>12OZ CAN DRY GINGER ALE CN LS24</t>
  </si>
  <si>
    <t>12OZ CAN DRY CLUB SODA CN LS24</t>
  </si>
  <si>
    <t>12OZ CAN DRY TONIC WATER CN LS24</t>
  </si>
  <si>
    <t>12OZ CAN DRY SPRK ORGNL CN 12PKX2</t>
  </si>
  <si>
    <t>0 78000-14716 2</t>
  </si>
  <si>
    <t>12OZ CAN DRY SPRK MND ORNG CN 12PKX2</t>
  </si>
  <si>
    <t>0 78000-15516 7</t>
  </si>
  <si>
    <t>12OZ CAN DRY SPRK LEM LIM CN 12PKX2</t>
  </si>
  <si>
    <t>0 78000-16516 6</t>
  </si>
  <si>
    <t>12OZ CAN DRY SPRK POMG CHRY CN 12PKX2</t>
  </si>
  <si>
    <t>0 78000-17116 7</t>
  </si>
  <si>
    <t>12OZ COTTON CLUB CHERIKEE RED CN 12PKX2</t>
  </si>
  <si>
    <t>0 73220-26009 7</t>
  </si>
  <si>
    <t>12OZ COTTON CLUB LSS SWT ALE CN 6PKX4 HC</t>
  </si>
  <si>
    <t>0 73220-24264 2</t>
  </si>
  <si>
    <t>12OZ COTTON CLUB CHRY STRWBRY CN 6PKX4HC</t>
  </si>
  <si>
    <t>0 73220-00010 5</t>
  </si>
  <si>
    <t>12OZ COTTON CLUB 50/50 CN 6PKX4 HC</t>
  </si>
  <si>
    <t>0 73220-01002 9</t>
  </si>
  <si>
    <t>12OZ COTTON CLUB TROP DELITE CN 6PKX4 HC</t>
  </si>
  <si>
    <t>0 73220-01006 7</t>
  </si>
  <si>
    <t>12OZ COTTON CLUB MDRN ORANGE CN 6PKX4 HC</t>
  </si>
  <si>
    <t>0 73220-00012 9</t>
  </si>
  <si>
    <t>12OZ DT COTTON CLUB GINGERALE CN 6PKX4HC</t>
  </si>
  <si>
    <t>0 73220-24304 5</t>
  </si>
  <si>
    <t>12OZ COTTON CLUB CHERIKEE RED CN 6PKX4HC</t>
  </si>
  <si>
    <t>0 73220-00044 0</t>
  </si>
  <si>
    <t>12OZ COTTON CLUB GRAPE CN 6PKX4 HC</t>
  </si>
  <si>
    <t>0 73220-00011 2</t>
  </si>
  <si>
    <t>12OZ COTTON CLUB SWISS CRM CN 6PKX4 HC</t>
  </si>
  <si>
    <t>0 78400-00708 0</t>
  </si>
  <si>
    <t>12OZ COTTON CLUB ROOT BEER CN 6PKX4 HC</t>
  </si>
  <si>
    <t>0 73220-10020 1</t>
  </si>
  <si>
    <t>Cotton Club Less Sweet Ginger Ale</t>
  </si>
  <si>
    <t>Cotton Club Cherry Strawberry</t>
  </si>
  <si>
    <t>Cotton Club 50/50</t>
  </si>
  <si>
    <t>Cotton Club Tropical Delite</t>
  </si>
  <si>
    <t>Cotton Club Mandarin Orange</t>
  </si>
  <si>
    <t>Cotton Club Cherikee Red</t>
  </si>
  <si>
    <t>Cotton Club Grape</t>
  </si>
  <si>
    <t>Cotton Club Swiss Cream</t>
  </si>
  <si>
    <t>Cotton Club Root Beer</t>
  </si>
  <si>
    <t>12OZ DT RITE TANGERINE CN 12PKX2</t>
  </si>
  <si>
    <t>0 78000-06916 7</t>
  </si>
  <si>
    <t>12OZ DT RITE WHITE GRAPE CN 12PKX2</t>
  </si>
  <si>
    <t>0 78000-06516 9</t>
  </si>
  <si>
    <t>Diet Rite White Grape</t>
  </si>
  <si>
    <t>12OZ CANFLD ORIGINAL SLTZR CN 12PK</t>
  </si>
  <si>
    <t>0 78400-00352 5</t>
  </si>
  <si>
    <t>12OZ CANFLD LEMON SLTZR CN 12PK</t>
  </si>
  <si>
    <t>12OZ CANFLD LIME SLTZR CN 12PK</t>
  </si>
  <si>
    <t>0 78400-00353 2</t>
  </si>
  <si>
    <t>12OZ CANFLD 50/50 CN 12PK</t>
  </si>
  <si>
    <t>0 78400-08200 1</t>
  </si>
  <si>
    <t>0 78400-00354 9</t>
  </si>
  <si>
    <t>Canfield's Original Seltzer Water</t>
  </si>
  <si>
    <t>Canfield's Lemon Seltzer Water</t>
  </si>
  <si>
    <t>Canfield's Lime Seltzer Water</t>
  </si>
  <si>
    <t>Canfield's 50/50</t>
  </si>
  <si>
    <t>12OZ DT CANFLD CHOC FUDGE CN 6PKX4 HC</t>
  </si>
  <si>
    <t>0 78400-00764 6</t>
  </si>
  <si>
    <t>12OZ SUNKIST ORANGE CN 12PKX2</t>
  </si>
  <si>
    <t>12OZ SQUIRT CN 6PKX4 HC</t>
  </si>
  <si>
    <t>0 78000-00181 5</t>
  </si>
  <si>
    <t>12OZ DR BROWN CREAM SODA CN 6PKX4</t>
  </si>
  <si>
    <t>0 73970-10207 4</t>
  </si>
  <si>
    <t>12OZ DT DR BROWN CREAM SODA CN 6PKX4</t>
  </si>
  <si>
    <t>0 73970-00207 7</t>
  </si>
  <si>
    <t>12OZ DR BROWN BLACK CHERRY CN 6PKX4</t>
  </si>
  <si>
    <t>0 73970-10204 3</t>
  </si>
  <si>
    <t>12OZ DT DR BROWN BLACK CHERRY CN 6PKX4</t>
  </si>
  <si>
    <t>0 73970-00204 6</t>
  </si>
  <si>
    <t>12OZ ORANGINA SPRKLNG ORNG CN 6PKX4</t>
  </si>
  <si>
    <t>0 50968-00012 3</t>
  </si>
  <si>
    <t>Dr. Brown's Cream Soda</t>
  </si>
  <si>
    <t>Diet Dr. Brown's Cream Soda</t>
  </si>
  <si>
    <t>Dr. Brown's Black Cherry</t>
  </si>
  <si>
    <t>Diet Dr. Brown's Black Cherry</t>
  </si>
  <si>
    <t>12OZ SCHW GINGER ALE CN 12PKX2</t>
  </si>
  <si>
    <t>0 78000-20616 6</t>
  </si>
  <si>
    <t>Schweppes Ginger Ale</t>
  </si>
  <si>
    <t>Diet Ruby Red Squirt</t>
  </si>
  <si>
    <t>12OZ DT RUBY RED SQUIRT CN 12PKX2</t>
  </si>
  <si>
    <t>0 78000-01916 2</t>
  </si>
  <si>
    <t>12OZ SUNKIST PINEAPPLE CN 12PKX2</t>
  </si>
  <si>
    <t>0 78000-12416 3</t>
  </si>
  <si>
    <t>12OZ SUNKIST PNK LEMONADE NCRB CN 12PKX2</t>
  </si>
  <si>
    <t>0 78000-02768 6</t>
  </si>
  <si>
    <t>12OZ PENN DUTCH BIRCH BEER CN 12PKX2</t>
  </si>
  <si>
    <t>0 71573-88007 8</t>
  </si>
  <si>
    <t>12OZ DT PENN DUTCH BIRCH BEER CN 12PKX2</t>
  </si>
  <si>
    <t>0 71573-02468 7</t>
  </si>
  <si>
    <t>Pennsylvania Dutch Birch Beer</t>
  </si>
  <si>
    <t>Diet Pennsylvania Dutch Birch Beer</t>
  </si>
  <si>
    <t>Diet Canfield's Chocolate Fudge</t>
  </si>
  <si>
    <t>12OZ SUNKIST ORANGE CN 36PK CB</t>
  </si>
  <si>
    <t>0 78000-80489 8</t>
  </si>
  <si>
    <t>12OZ SQUIRT CN 36PK CB</t>
  </si>
  <si>
    <t>0 78000-80485 0</t>
  </si>
  <si>
    <t>12OZ DR PEPPER CN 12PKX2 DEP</t>
  </si>
  <si>
    <t>12OZ DT DR PEPPER CN 12PKX2 DEP</t>
  </si>
  <si>
    <t>0.5L DT SUNDROP PET 6PKX4</t>
  </si>
  <si>
    <t>0 78000-23142 7</t>
  </si>
  <si>
    <t>0.5L SUNKIST LEMONADE NCRB PET 6PKX4</t>
  </si>
  <si>
    <t>0 78000-02764 8</t>
  </si>
  <si>
    <t>0.5L VERNORS GINGER ALE PET 6PKX4</t>
  </si>
  <si>
    <t>0 78000-18042 8</t>
  </si>
  <si>
    <t>0.5L DT VERNORS GINGER ALE PET 6PKX4</t>
  </si>
  <si>
    <t>0 78000-18242 2</t>
  </si>
  <si>
    <t>0.5L CANFLD ORIGINAL SLTZR PET 6PKX4 BB</t>
  </si>
  <si>
    <t>0 78400-00287 0</t>
  </si>
  <si>
    <t>0.5L CANFLD LEMON SLTZR PET 6PKX4 BB</t>
  </si>
  <si>
    <t>0 78400-00291 7</t>
  </si>
  <si>
    <t>0.5L CANFLD LIME SLTZR PET 6PKX4 BB</t>
  </si>
  <si>
    <t>0 78400-00289 4</t>
  </si>
  <si>
    <t>16OZ SNPREM TEA LEMON GLS 12PKX2</t>
  </si>
  <si>
    <t>16OZ DT SNPREM TEA LEMON GLS 12PKX2</t>
  </si>
  <si>
    <t>16OZ SNPREM TEA PEACH GLS 12PKX2</t>
  </si>
  <si>
    <t>16OZ DT SNPREM TEA PEACH GLS 12PKX2</t>
  </si>
  <si>
    <t>16OZ SNPREM TEA MANGO GLS 12PKX2</t>
  </si>
  <si>
    <t>16OZ SNPREM TEA RASP GLS 12PKX2</t>
  </si>
  <si>
    <t>16OZ DT SNPREM TEA RASP GLS 12PKX2</t>
  </si>
  <si>
    <t>16OZ SNPREM TEA HLF&amp;HLF LMD GLS 12PKX2</t>
  </si>
  <si>
    <t>16OZ DT SNPREM TEA HLF&amp;HLFLMD GLS 12PKX2</t>
  </si>
  <si>
    <t>16OZ SNPREM APPLE GLS 12PKX2</t>
  </si>
  <si>
    <t>16OZ SNPREM KIWI STRWBRY GLS 12PKX2</t>
  </si>
  <si>
    <t>16OZ SNPREM ORANGEADE GLS 12PKX2</t>
  </si>
  <si>
    <t>16OZ SNPREM MANGO MDNESS GLS 12PKX2</t>
  </si>
  <si>
    <t>16OZ SNPREM TEA LEMON GLS 6PKX4</t>
  </si>
  <si>
    <t>16OZ DT SNPREM TEA LEMON GLS 6PKX4</t>
  </si>
  <si>
    <t>16OZ SNPREM GREEN TEA GLS 6PKX4</t>
  </si>
  <si>
    <t>16OZ DT SNPREM GRN TEA GLS 6PKX4</t>
  </si>
  <si>
    <t>16OZ SNPREM TEA SWEET GLS 6PKX4</t>
  </si>
  <si>
    <t>0 76183-26019 7</t>
  </si>
  <si>
    <t>Diet Green Tea</t>
  </si>
  <si>
    <t>16OZ DT SNPREM CRAN RASP GLS 6PKX4</t>
  </si>
  <si>
    <t>Diet Cranberry Raspberry</t>
  </si>
  <si>
    <t>16OZ SNPREM LEMADE PINK PET LS12</t>
  </si>
  <si>
    <t>0 76183-00329 9</t>
  </si>
  <si>
    <t>Pink Lemonade</t>
  </si>
  <si>
    <t>16OZ SNPREM TEA LEMON PET LS24</t>
  </si>
  <si>
    <t>16OZ DT SNPREM TEA LEMON PET LS24</t>
  </si>
  <si>
    <t>16OZ SNPREM TEA PEACH PET LS24</t>
  </si>
  <si>
    <t>16OZ DT SNPREM TEA PEACH PET LS24</t>
  </si>
  <si>
    <t>16OZ SNPREM TEA MANGO PET LS24</t>
  </si>
  <si>
    <t>16OZ SNPREM TEA RASPBERRY PET LS24</t>
  </si>
  <si>
    <t>16OZ DT SNPREM TEA RASP PET LS24</t>
  </si>
  <si>
    <t>16OZ SNPREM TEA GREEN PET LS24</t>
  </si>
  <si>
    <t>0 76183-00392 3</t>
  </si>
  <si>
    <t>16OZ DT SNPREM TEA GREEN PET LS24</t>
  </si>
  <si>
    <t>0 76183-00394 7</t>
  </si>
  <si>
    <t>16OZ SNPREM TEA HLF&amp;HLF LMD PET LS24</t>
  </si>
  <si>
    <t>16OZ DT SNPREM TEA HLF&amp;HLFLMD PET LS24</t>
  </si>
  <si>
    <t>16OZ SNPREM TEA HLF&amp;HLF PEACH PET LS24</t>
  </si>
  <si>
    <t>16OZ DT SNPREM TEA TROPICAL PET LS24</t>
  </si>
  <si>
    <t>0 76183-00390 9</t>
  </si>
  <si>
    <t>16OZ SNPREM ORANGEADE PET LS24</t>
  </si>
  <si>
    <t>0 76183-00214 8</t>
  </si>
  <si>
    <t>16OZ SNPREM GRAPEADE PET LS24</t>
  </si>
  <si>
    <t>0 76183-00327 5</t>
  </si>
  <si>
    <t>16OZ SNPREM LEMONADE PET LS24</t>
  </si>
  <si>
    <t>0 76183-00331 2</t>
  </si>
  <si>
    <t>16OZ SNPREM LEMADE PINK PET LS24</t>
  </si>
  <si>
    <t>16OZ SNPREM APPLE PET LS24</t>
  </si>
  <si>
    <t>16OZ SNPREM KIWI STRAWBERRY PET LS24</t>
  </si>
  <si>
    <t>16OZ SNPREM MANGO MADNESS PET LS24</t>
  </si>
  <si>
    <t>16OZ SNPREM FRUIT PUNCH PET LS24</t>
  </si>
  <si>
    <t>16OZ SNPREM RASP PEACH PET LS24</t>
  </si>
  <si>
    <t>0 76183-00219 3</t>
  </si>
  <si>
    <t>16OZ SNPREM GO BANANAS PET LS24</t>
  </si>
  <si>
    <t>0 76183-00333 6</t>
  </si>
  <si>
    <t>16OZ SNPREM CRAN RASPBERRY PET LS24</t>
  </si>
  <si>
    <t>0 76183-00326 8</t>
  </si>
  <si>
    <t>16OZ SNPREM ORANGE CARROT PET LS24</t>
  </si>
  <si>
    <t>0 76183-00332 9</t>
  </si>
  <si>
    <t>16OZ SNPREM PCH MNGOSTEEN PET LS24</t>
  </si>
  <si>
    <t>16OZ DT SNPREM NONI BERRY PET LS24</t>
  </si>
  <si>
    <t>16OZ DT SNPREM CRAN RASP PET LS24</t>
  </si>
  <si>
    <t>0 76183-00322 0</t>
  </si>
  <si>
    <t>Raspberry Peach</t>
  </si>
  <si>
    <t>Go Bananas</t>
  </si>
  <si>
    <t>Cranberry Raspberry</t>
  </si>
  <si>
    <t>12oz cans 24 pack cube (1 - 24pk per case)</t>
  </si>
  <si>
    <t>12oz cans 24 pack suitcase (1 - 24pk per case)</t>
  </si>
  <si>
    <t>12oz cans 36 pack cube (1 - 36pk per case)</t>
  </si>
  <si>
    <t>12oz cans 24 pack loose (24 units per case)</t>
  </si>
  <si>
    <t>16oz cans (24 units per case)</t>
  </si>
  <si>
    <t>2 Liter PET bottles value brands (8 units per case)</t>
  </si>
  <si>
    <r>
      <t xml:space="preserve">On the UPC tab, then use the </t>
    </r>
    <r>
      <rPr>
        <b/>
        <u/>
        <sz val="11"/>
        <color theme="1"/>
        <rFont val="Calibri"/>
        <family val="2"/>
        <scheme val="minor"/>
      </rPr>
      <t>Active Pricing</t>
    </r>
    <r>
      <rPr>
        <b/>
        <sz val="11"/>
        <color theme="1"/>
        <rFont val="Calibri"/>
        <family val="2"/>
        <scheme val="minor"/>
      </rPr>
      <t xml:space="preserve"> filter to remove "$0.00" values to remove product groups from the list</t>
    </r>
  </si>
  <si>
    <r>
      <t xml:space="preserve">Using a "$0.00" Every Day case cost allows the </t>
    </r>
    <r>
      <rPr>
        <b/>
        <u/>
        <sz val="11"/>
        <color theme="1"/>
        <rFont val="Calibri"/>
        <family val="2"/>
        <scheme val="minor"/>
      </rPr>
      <t>Active</t>
    </r>
    <r>
      <rPr>
        <b/>
        <sz val="11"/>
        <color theme="1"/>
        <rFont val="Calibri"/>
        <family val="2"/>
        <scheme val="minor"/>
      </rPr>
      <t xml:space="preserve"> filter to remove product groups  -- select all, then deselect $0.00 to catch updates</t>
    </r>
  </si>
  <si>
    <t xml:space="preserve">          10000836</t>
  </si>
  <si>
    <t xml:space="preserve">12OZ DR PEPPER CN 12PKX2 DEP            </t>
  </si>
  <si>
    <t xml:space="preserve">          10000852</t>
  </si>
  <si>
    <t xml:space="preserve">12OZ A&amp;W ROOT BEER CN 12PKX2            </t>
  </si>
  <si>
    <t xml:space="preserve">          10000829</t>
  </si>
  <si>
    <t xml:space="preserve">12OZ 7UP CN 12PKX2                      </t>
  </si>
  <si>
    <t xml:space="preserve">          10001037</t>
  </si>
  <si>
    <t xml:space="preserve">12OZ DR PEPPER CN 24PK CB               </t>
  </si>
  <si>
    <t xml:space="preserve">          10000853</t>
  </si>
  <si>
    <t xml:space="preserve">12OZ DT A&amp;W ROOT BEER CN 12PKX2         </t>
  </si>
  <si>
    <t xml:space="preserve">          10000904</t>
  </si>
  <si>
    <t xml:space="preserve">12OZ CAN DRY GINGER ALE CN 12PKX2       </t>
  </si>
  <si>
    <t xml:space="preserve">          10000830</t>
  </si>
  <si>
    <t xml:space="preserve">12OZ DT 7UP CN 12PKX2                   </t>
  </si>
  <si>
    <t xml:space="preserve">          10001415</t>
  </si>
  <si>
    <t xml:space="preserve">2L 7UP PET LS8                          </t>
  </si>
  <si>
    <t xml:space="preserve">          10000865</t>
  </si>
  <si>
    <t xml:space="preserve">12OZ SUNKIST ORANGE CN 12PKX2           </t>
  </si>
  <si>
    <t xml:space="preserve">          10001195</t>
  </si>
  <si>
    <t xml:space="preserve">20OZ DR PEPPER PET LS24                 </t>
  </si>
  <si>
    <t xml:space="preserve">          10001240</t>
  </si>
  <si>
    <t xml:space="preserve">0.5L DR PEPPER PET 6PKX4                </t>
  </si>
  <si>
    <t xml:space="preserve">          10001754</t>
  </si>
  <si>
    <t xml:space="preserve">12OZ DT DR PEPPER CN 12PKX2 DEP         </t>
  </si>
  <si>
    <t xml:space="preserve">          10001251</t>
  </si>
  <si>
    <t xml:space="preserve">0.5L A&amp;W ROOT BEER PET 6PKX4            </t>
  </si>
  <si>
    <t xml:space="preserve">          10000187</t>
  </si>
  <si>
    <t xml:space="preserve">12OZ SQUIRT CN 12PKX2                   </t>
  </si>
  <si>
    <t xml:space="preserve">          10001437</t>
  </si>
  <si>
    <t xml:space="preserve">2L A&amp;W ROOT BEER PET LS8                </t>
  </si>
  <si>
    <t xml:space="preserve">          10001236</t>
  </si>
  <si>
    <t xml:space="preserve">0.5L 7UP PET 6PKX4                      </t>
  </si>
  <si>
    <t xml:space="preserve">          10001422</t>
  </si>
  <si>
    <t xml:space="preserve">2L DR PEPPER PET LS8                    </t>
  </si>
  <si>
    <t xml:space="preserve">          10001038</t>
  </si>
  <si>
    <t xml:space="preserve">12OZ DT DR PEPPER CN 24PK CB            </t>
  </si>
  <si>
    <t xml:space="preserve">          10001237</t>
  </si>
  <si>
    <t xml:space="preserve">0.5L DT 7UP PET 6PKX4                   </t>
  </si>
  <si>
    <t xml:space="preserve">          10000863</t>
  </si>
  <si>
    <t xml:space="preserve">12OZ DT SUNKIST ORANGE CN 12PKX2        </t>
  </si>
  <si>
    <t xml:space="preserve">          10000831</t>
  </si>
  <si>
    <t xml:space="preserve">12OZ A&amp;W CRM SODA CN 12PKX2             </t>
  </si>
  <si>
    <t xml:space="preserve">          10001034</t>
  </si>
  <si>
    <t xml:space="preserve">          10001044</t>
  </si>
  <si>
    <t xml:space="preserve">          10000905</t>
  </si>
  <si>
    <t xml:space="preserve">12OZ DT CAN DRY GINGER ALE CN 12PKX2    </t>
  </si>
  <si>
    <t xml:space="preserve">          10001241</t>
  </si>
  <si>
    <t xml:space="preserve">0.5L DT DR PEPPER PET 6PKX4             </t>
  </si>
  <si>
    <t xml:space="preserve">          10001252</t>
  </si>
  <si>
    <t xml:space="preserve">0.5L DT A&amp;W ROOT BEER PET 6PKX4         </t>
  </si>
  <si>
    <t xml:space="preserve">          10001416</t>
  </si>
  <si>
    <t xml:space="preserve">2L DT 7UP PET LS8                       </t>
  </si>
  <si>
    <t xml:space="preserve">          10000838</t>
  </si>
  <si>
    <t xml:space="preserve">12OZ RC COLA CN 12PKX2                  </t>
  </si>
  <si>
    <t xml:space="preserve">          10001487</t>
  </si>
  <si>
    <t xml:space="preserve">2L CAN DRY GINGER ALE PET LS8           </t>
  </si>
  <si>
    <t xml:space="preserve">          10001096</t>
  </si>
  <si>
    <t xml:space="preserve">20OZ A&amp;W ROOT BEER PET LS24             </t>
  </si>
  <si>
    <t xml:space="preserve">          10001256</t>
  </si>
  <si>
    <t xml:space="preserve">0.5L DT SUNKIST ORANGE PET 6PKX4        </t>
  </si>
  <si>
    <t xml:space="preserve">          10001228</t>
  </si>
  <si>
    <t xml:space="preserve">0.5L DEJA BLUE PET 24PK CLB             </t>
  </si>
  <si>
    <t xml:space="preserve">          20022331</t>
  </si>
  <si>
    <t xml:space="preserve">30.4OZ CORE NATURAL PET LS12            </t>
  </si>
  <si>
    <t xml:space="preserve">          10001424</t>
  </si>
  <si>
    <t xml:space="preserve">2L RC COLA PET LS8                      </t>
  </si>
  <si>
    <t xml:space="preserve">          10110014</t>
  </si>
  <si>
    <t xml:space="preserve">18OZ BAI COCONUT MOLOKAI PET LS12       </t>
  </si>
  <si>
    <t xml:space="preserve">          10000833</t>
  </si>
  <si>
    <t xml:space="preserve">12OZ CHERRY 7UP CN 12PKX2               </t>
  </si>
  <si>
    <t xml:space="preserve">          10001455</t>
  </si>
  <si>
    <t xml:space="preserve">2L SUNKIST ORANGE PET LS8               </t>
  </si>
  <si>
    <t xml:space="preserve">          10001108</t>
  </si>
  <si>
    <t xml:space="preserve">20OZ 7UP PET LS24                       </t>
  </si>
  <si>
    <t xml:space="preserve">          10001048</t>
  </si>
  <si>
    <t xml:space="preserve">          10001257</t>
  </si>
  <si>
    <t xml:space="preserve">0.5L SUNKIST ORANGE PET 6PKX4           </t>
  </si>
  <si>
    <t xml:space="preserve">          10001625</t>
  </si>
  <si>
    <t xml:space="preserve">20OZ DT DR PEPPER PET LS24              </t>
  </si>
  <si>
    <t xml:space="preserve">          10000850</t>
  </si>
  <si>
    <t xml:space="preserve">12OZ DT SQUIRT CN 12PKX2                </t>
  </si>
  <si>
    <t xml:space="preserve">          10001109</t>
  </si>
  <si>
    <t xml:space="preserve">20OZ A&amp;W CRM SODA PET LS24              </t>
  </si>
  <si>
    <t xml:space="preserve">          10085415</t>
  </si>
  <si>
    <t xml:space="preserve">7.5OZ A&amp;W ROOT BEER SCN 6PKX4 BB        </t>
  </si>
  <si>
    <t xml:space="preserve">          10001435</t>
  </si>
  <si>
    <t xml:space="preserve">2L SQUIRT PET LS8                       </t>
  </si>
  <si>
    <t xml:space="preserve">          10112769</t>
  </si>
  <si>
    <t xml:space="preserve">          10000842</t>
  </si>
  <si>
    <t xml:space="preserve">12OZ DT RITE COLA CN 12PKX2             </t>
  </si>
  <si>
    <t xml:space="preserve">          10002282</t>
  </si>
  <si>
    <t xml:space="preserve">12OZ 7UP PET 8PKX3 BB                   </t>
  </si>
  <si>
    <t xml:space="preserve">          10001317</t>
  </si>
  <si>
    <t xml:space="preserve">1L DR PEPPER PET LS15                   </t>
  </si>
  <si>
    <t xml:space="preserve">          10000834</t>
  </si>
  <si>
    <t xml:space="preserve">12OZ DT CHERRY 7UP CN 12PKX2            </t>
  </si>
  <si>
    <t xml:space="preserve">          10006264</t>
  </si>
  <si>
    <t xml:space="preserve">          10000832</t>
  </si>
  <si>
    <t xml:space="preserve">          10001043</t>
  </si>
  <si>
    <t xml:space="preserve">          10001423</t>
  </si>
  <si>
    <t xml:space="preserve">2L DT DR PEPPER PET LS8                 </t>
  </si>
  <si>
    <t xml:space="preserve">          10085412</t>
  </si>
  <si>
    <t xml:space="preserve">7.5OZ 7UP SCN 6PKX4 BB                  </t>
  </si>
  <si>
    <t xml:space="preserve">          10001438</t>
  </si>
  <si>
    <t xml:space="preserve">2L DT A&amp;W ROOT BEER PET LS8             </t>
  </si>
  <si>
    <t xml:space="preserve">          10001130</t>
  </si>
  <si>
    <t xml:space="preserve">20OZ SUNKIST ORANGE PET LS24            </t>
  </si>
  <si>
    <t xml:space="preserve">          10001750</t>
  </si>
  <si>
    <t xml:space="preserve">12OZ DT CHERRY DR PEPPER CN 12PKX2      </t>
  </si>
  <si>
    <t xml:space="preserve">          10002281</t>
  </si>
  <si>
    <t xml:space="preserve">          10001266</t>
  </si>
  <si>
    <t xml:space="preserve">0.5L CAN DRY GINGER ALE PET 6PKX4       </t>
  </si>
  <si>
    <t xml:space="preserve">          10001749</t>
  </si>
  <si>
    <t xml:space="preserve">12OZ CHERRY DR PEPPER CN 12PKX2         </t>
  </si>
  <si>
    <t xml:space="preserve">          10000250</t>
  </si>
  <si>
    <t xml:space="preserve">20OZ DEJA BLUE PET LS24 FLTCP           </t>
  </si>
  <si>
    <t xml:space="preserve">          10000703</t>
  </si>
  <si>
    <t xml:space="preserve">5GAL DR PEPPER BIB                      </t>
  </si>
  <si>
    <t xml:space="preserve">          10099480</t>
  </si>
  <si>
    <t xml:space="preserve">          10110010</t>
  </si>
  <si>
    <t xml:space="preserve">          10110064</t>
  </si>
  <si>
    <t xml:space="preserve">18OZ BAI BLUEBERRY BRASILIA PET LS12    </t>
  </si>
  <si>
    <t xml:space="preserve">          10001454</t>
  </si>
  <si>
    <t xml:space="preserve">2L DT SUNKIST ORANGE PET LS8            </t>
  </si>
  <si>
    <t xml:space="preserve">          10099477</t>
  </si>
  <si>
    <t xml:space="preserve">          10001597</t>
  </si>
  <si>
    <t xml:space="preserve">2L RC COLA PET LS8 PP099                </t>
  </si>
  <si>
    <t xml:space="preserve">          10085417</t>
  </si>
  <si>
    <t xml:space="preserve">7.5OZ CAN DRY GINGER ALE SCN 6PKX4 BB   </t>
  </si>
  <si>
    <t xml:space="preserve">          10001633</t>
  </si>
  <si>
    <t xml:space="preserve">1L DEJA BLUE PET LS15 FLTCP             </t>
  </si>
  <si>
    <t xml:space="preserve">          10105905</t>
  </si>
  <si>
    <t xml:space="preserve">12OZ CAN DRY LEMNADE GNGR ALE CN 12PKX2 </t>
  </si>
  <si>
    <t xml:space="preserve">          10110015</t>
  </si>
  <si>
    <t xml:space="preserve">18OZ BAI WATERMELON KULA PET LS12       </t>
  </si>
  <si>
    <t xml:space="preserve">          10063828</t>
  </si>
  <si>
    <t xml:space="preserve">          10002278</t>
  </si>
  <si>
    <t xml:space="preserve">12OZ DR PEPPER PET 8PKX3 BB             </t>
  </si>
  <si>
    <t xml:space="preserve">          10001700</t>
  </si>
  <si>
    <t xml:space="preserve">12OZ SUNKIST STRAWBERRY CN 12PKX2       </t>
  </si>
  <si>
    <t xml:space="preserve">          10001122</t>
  </si>
  <si>
    <t xml:space="preserve">20OZ DT A&amp;W ROOT BEER PET LS24          </t>
  </si>
  <si>
    <t xml:space="preserve">          10001419</t>
  </si>
  <si>
    <t xml:space="preserve">2L CHERRY 7UP PET LS8                   </t>
  </si>
  <si>
    <t xml:space="preserve">          10001120</t>
  </si>
  <si>
    <t xml:space="preserve">20OZ SQUIRT PET LS24                    </t>
  </si>
  <si>
    <t xml:space="preserve">          10110033</t>
  </si>
  <si>
    <t xml:space="preserve">18OZ BAI CLEMENT COSTA RICA PET LS12    </t>
  </si>
  <si>
    <t xml:space="preserve">          10001150</t>
  </si>
  <si>
    <t xml:space="preserve">20OZ CAN DRY GINGER ALE PET LS24        </t>
  </si>
  <si>
    <t xml:space="preserve">          10000874</t>
  </si>
  <si>
    <t xml:space="preserve">12OZ SUNDROP CN 12PKX2                  </t>
  </si>
  <si>
    <t xml:space="preserve">          10063829</t>
  </si>
  <si>
    <t xml:space="preserve">          10110023</t>
  </si>
  <si>
    <t xml:space="preserve">          10110055</t>
  </si>
  <si>
    <t xml:space="preserve">          10001242</t>
  </si>
  <si>
    <t xml:space="preserve">          10110069</t>
  </si>
  <si>
    <t xml:space="preserve">18OZ BAI POMEGRANATE IPANEMA PET LS12   </t>
  </si>
  <si>
    <t xml:space="preserve">          10001249</t>
  </si>
  <si>
    <t xml:space="preserve">0.5L SQUIRT PET 6PKX4                   </t>
  </si>
  <si>
    <t xml:space="preserve">          10001699</t>
  </si>
  <si>
    <t xml:space="preserve">12OZ SUNKIST GRAPE CN 12PKX2            </t>
  </si>
  <si>
    <t xml:space="preserve">          10001091</t>
  </si>
  <si>
    <t xml:space="preserve">20OZ DT 7UP PET LS24                    </t>
  </si>
  <si>
    <t xml:space="preserve">          10085423</t>
  </si>
  <si>
    <t xml:space="preserve">7.5OZ SUNKIST ORANGE SCN 6PKX4 BB       </t>
  </si>
  <si>
    <t xml:space="preserve">          10001488</t>
  </si>
  <si>
    <t xml:space="preserve">2L DT CAN DRY GINGER ALE PET LS8        </t>
  </si>
  <si>
    <t xml:space="preserve">          10045978</t>
  </si>
  <si>
    <t xml:space="preserve">12OZ CAN DRY GINGER ALE PET 8PKX3 BB    </t>
  </si>
  <si>
    <t xml:space="preserve">          10110007</t>
  </si>
  <si>
    <t xml:space="preserve">18OZ BAI COCONUT PINEAPLE PUNA PET LS12 </t>
  </si>
  <si>
    <t xml:space="preserve">          10001796</t>
  </si>
  <si>
    <t xml:space="preserve">20OZ CHERRY DR PEPPER PET LS24          </t>
  </si>
  <si>
    <t xml:space="preserve">          10001682</t>
  </si>
  <si>
    <t xml:space="preserve">16OZ DT SNPREM TEA PEACH GLS 6PKX4      </t>
  </si>
  <si>
    <t xml:space="preserve">          10099485</t>
  </si>
  <si>
    <t xml:space="preserve">          10085419</t>
  </si>
  <si>
    <t xml:space="preserve">7.5OZ DR PEPPER SCN 6PKX4 BB            </t>
  </si>
  <si>
    <t xml:space="preserve">          10114043</t>
  </si>
  <si>
    <t xml:space="preserve">          10000860</t>
  </si>
  <si>
    <t xml:space="preserve">12OZ RUBY RED SQUIRT CN 12PKX2          </t>
  </si>
  <si>
    <t xml:space="preserve">          10001417</t>
  </si>
  <si>
    <t xml:space="preserve">2L A&amp;W CRM SODA PET LS8                 </t>
  </si>
  <si>
    <t xml:space="preserve">          10002576</t>
  </si>
  <si>
    <t xml:space="preserve">          10000855</t>
  </si>
  <si>
    <t xml:space="preserve">12OZ HAW PUNCH FRT JCY RD CN 12PKX2     </t>
  </si>
  <si>
    <t xml:space="preserve">          10000835</t>
  </si>
  <si>
    <t xml:space="preserve">12OZ DT C/F DR PEPPER CN 12PKX2         </t>
  </si>
  <si>
    <t xml:space="preserve">          10002285</t>
  </si>
  <si>
    <t xml:space="preserve">12OZ SUNKIST ORANGE PET 8PKX3 BB        </t>
  </si>
  <si>
    <t xml:space="preserve">          10063830</t>
  </si>
  <si>
    <t xml:space="preserve">          10110043</t>
  </si>
  <si>
    <t xml:space="preserve">          10002283</t>
  </si>
  <si>
    <t xml:space="preserve">12OZ DT 7UP PET 8PKX3 BB                </t>
  </si>
  <si>
    <t xml:space="preserve">          10001684</t>
  </si>
  <si>
    <t xml:space="preserve">16OZ SNPREM TEA PEACH GLS 6PKX4         </t>
  </si>
  <si>
    <t xml:space="preserve">          10001035</t>
  </si>
  <si>
    <t xml:space="preserve">          10006323</t>
  </si>
  <si>
    <t xml:space="preserve">15.5OZ YOO-HOO CHOCOLATE GLS LS24       </t>
  </si>
  <si>
    <t xml:space="preserve">          10002280</t>
  </si>
  <si>
    <t xml:space="preserve">12OZ DT DR PEPPER PET 8PKX3 BB          </t>
  </si>
  <si>
    <t xml:space="preserve">          10001420</t>
  </si>
  <si>
    <t xml:space="preserve">2L DT CHERRY 7UP PET LS8                </t>
  </si>
  <si>
    <t xml:space="preserve">          20025798</t>
  </si>
  <si>
    <t xml:space="preserve">20OZ CORE HYDRATION PET LS24            </t>
  </si>
  <si>
    <t xml:space="preserve">          20000642</t>
  </si>
  <si>
    <t xml:space="preserve">0.5L VITA COCO PURE COCONUT DB LS12     </t>
  </si>
  <si>
    <t xml:space="preserve">          10001129</t>
  </si>
  <si>
    <t xml:space="preserve">20OZ DT SUNKIST ORANGE PET LS24         </t>
  </si>
  <si>
    <t xml:space="preserve">          20000951</t>
  </si>
  <si>
    <t xml:space="preserve">          10001595</t>
  </si>
  <si>
    <t xml:space="preserve">2L CAN DRY CRANBERRY GINGER ALE PET LS8 </t>
  </si>
  <si>
    <t xml:space="preserve">          10023922</t>
  </si>
  <si>
    <t xml:space="preserve">2L TAHITIAN TRT FRT PUNCH PET LS8 PP099 </t>
  </si>
  <si>
    <t xml:space="preserve">          10001799</t>
  </si>
  <si>
    <t xml:space="preserve">2L DT CHERRY DR PEPPER PET LS8          </t>
  </si>
  <si>
    <t xml:space="preserve">          10001712</t>
  </si>
  <si>
    <t xml:space="preserve">2L SUNKIST GRAPE PET LS8                </t>
  </si>
  <si>
    <t xml:space="preserve">          10114997</t>
  </si>
  <si>
    <t xml:space="preserve">          10001318</t>
  </si>
  <si>
    <t xml:space="preserve">1L DT DR PEPPER PET LS15                </t>
  </si>
  <si>
    <t xml:space="preserve">          10105906</t>
  </si>
  <si>
    <t xml:space="preserve">2L CAN DRY LEMONADE GNGR ALE PET LS8    </t>
  </si>
  <si>
    <t xml:space="preserve">          10002905</t>
  </si>
  <si>
    <t xml:space="preserve">          10099491</t>
  </si>
  <si>
    <t xml:space="preserve">          20025685</t>
  </si>
  <si>
    <t xml:space="preserve">16.9OZ CORE HYDRATION PET 6PKX4         </t>
  </si>
  <si>
    <t xml:space="preserve">          10001686</t>
  </si>
  <si>
    <t xml:space="preserve">16OZ SNPREM KIWI STRWBRY GLS 6PKX4      </t>
  </si>
  <si>
    <t xml:space="preserve">          10110022</t>
  </si>
  <si>
    <t xml:space="preserve">18OZ BAI MANGO MALAWI PET LS12          </t>
  </si>
  <si>
    <t xml:space="preserve">          10085413</t>
  </si>
  <si>
    <t xml:space="preserve">7.5OZ DT 7UP SCN 6PKX4 BB               </t>
  </si>
  <si>
    <t xml:space="preserve">          10001436</t>
  </si>
  <si>
    <t xml:space="preserve">2L DT SQUIRT PET LS8                    </t>
  </si>
  <si>
    <t xml:space="preserve">          20025799</t>
  </si>
  <si>
    <t xml:space="preserve">23.9OZ CORE HYDRATION PET LS24 SPTCP    </t>
  </si>
  <si>
    <t xml:space="preserve">          10000179</t>
  </si>
  <si>
    <t xml:space="preserve">12OZ CHERRY RC COLA CN 12PKX2           </t>
  </si>
  <si>
    <t xml:space="preserve">          10000071</t>
  </si>
  <si>
    <t xml:space="preserve">1L CAN DRY TONIC WATER PET LS15         </t>
  </si>
  <si>
    <t xml:space="preserve">          10063897</t>
  </si>
  <si>
    <t xml:space="preserve">16OZ SNPREM APPLE GLS 6PKX4             </t>
  </si>
  <si>
    <t xml:space="preserve">          10003730</t>
  </si>
  <si>
    <t xml:space="preserve">12OZ DR PEPPER TEN CN 12PKX2            </t>
  </si>
  <si>
    <t xml:space="preserve">          10000862</t>
  </si>
  <si>
    <t xml:space="preserve">12OZ BIG RED CN 12PKX2                  </t>
  </si>
  <si>
    <t xml:space="preserve">          10099481</t>
  </si>
  <si>
    <t xml:space="preserve">          10001720</t>
  </si>
  <si>
    <t xml:space="preserve">          10110053</t>
  </si>
  <si>
    <t xml:space="preserve">18OZ BAI SUPERTEA PCH NARINO PET LS12   </t>
  </si>
  <si>
    <t xml:space="preserve">          10001111</t>
  </si>
  <si>
    <t xml:space="preserve">20OZ RC COLA PET LS24                   </t>
  </si>
  <si>
    <t xml:space="preserve">          10001798</t>
  </si>
  <si>
    <t xml:space="preserve">2L CHERRY DR PEPPER PET LS8             </t>
  </si>
  <si>
    <t xml:space="preserve">          10099689</t>
  </si>
  <si>
    <t xml:space="preserve">          10109984</t>
  </si>
  <si>
    <t xml:space="preserve">11.5OZ BAI BUBLS BLKCRY BOLIVIA CN LS12 </t>
  </si>
  <si>
    <t xml:space="preserve">          10001334</t>
  </si>
  <si>
    <t xml:space="preserve">1L DT CAN DRY TONIC WATER PET LS15      </t>
  </si>
  <si>
    <t xml:space="preserve">          10001336</t>
  </si>
  <si>
    <t xml:space="preserve">1L CAN DRY CLUB SODA PET LS15           </t>
  </si>
  <si>
    <t xml:space="preserve">          10090141</t>
  </si>
  <si>
    <t xml:space="preserve">          10003025</t>
  </si>
  <si>
    <t xml:space="preserve">32OZ SNPREM KIWI STRWBRY PET LS12       </t>
  </si>
  <si>
    <t xml:space="preserve">          10001705</t>
  </si>
  <si>
    <t xml:space="preserve">20OZ SUNKIST STRAWBERRY PET LS24        </t>
  </si>
  <si>
    <t xml:space="preserve">          10002904</t>
  </si>
  <si>
    <t xml:space="preserve">64OZ SNPREM TEA PEACH PET LS8           </t>
  </si>
  <si>
    <t xml:space="preserve">          10114039</t>
  </si>
  <si>
    <t xml:space="preserve">          10087790</t>
  </si>
  <si>
    <t xml:space="preserve">12OZ SUNKIST LEMONADE NCRB CN 12PKX2    </t>
  </si>
  <si>
    <t xml:space="preserve">          10001713</t>
  </si>
  <si>
    <t xml:space="preserve">2L SUNKIST STRAWBERRY PET LS8           </t>
  </si>
  <si>
    <t xml:space="preserve">          10001797</t>
  </si>
  <si>
    <t xml:space="preserve">20OZ DT CHERRY DR PEPPER PET LS24       </t>
  </si>
  <si>
    <t xml:space="preserve">          10099496</t>
  </si>
  <si>
    <t xml:space="preserve">          10110362</t>
  </si>
  <si>
    <t xml:space="preserve">          10083917</t>
  </si>
  <si>
    <t xml:space="preserve">          10001323</t>
  </si>
  <si>
    <t xml:space="preserve">1L A&amp;W ROOT BEER PET LS15               </t>
  </si>
  <si>
    <t xml:space="preserve">          10001315</t>
  </si>
  <si>
    <t xml:space="preserve">1L 7UP PET LS15                         </t>
  </si>
  <si>
    <t xml:space="preserve">          10063825</t>
  </si>
  <si>
    <t xml:space="preserve">          10001110</t>
  </si>
  <si>
    <t xml:space="preserve">20OZ CHERRY 7UP PET LS24                </t>
  </si>
  <si>
    <t xml:space="preserve">          10099690</t>
  </si>
  <si>
    <t xml:space="preserve">12OZ CAN DRY SPRK ORGNL CN 8PKX3 NSDM   </t>
  </si>
  <si>
    <t xml:space="preserve">          10088249</t>
  </si>
  <si>
    <t xml:space="preserve">32OZ SNPREM APPLE PET LS12              </t>
  </si>
  <si>
    <t xml:space="preserve">          10001704</t>
  </si>
  <si>
    <t xml:space="preserve">20OZ SUNKIST GRAPE PET LS24             </t>
  </si>
  <si>
    <t xml:space="preserve">          10000877</t>
  </si>
  <si>
    <t xml:space="preserve">12OZ DT SUNDROP CN 12PKX2               </t>
  </si>
  <si>
    <t xml:space="preserve">          20019287</t>
  </si>
  <si>
    <t xml:space="preserve">14.5OZ NEURO SONIC SPR FRT INF PET LS12 </t>
  </si>
  <si>
    <t xml:space="preserve">          10112767</t>
  </si>
  <si>
    <t xml:space="preserve">          10110032</t>
  </si>
  <si>
    <t xml:space="preserve">18OZ BAI SUPERTEA RSPBRY RIO PET LS12   </t>
  </si>
  <si>
    <t xml:space="preserve">          10002906</t>
  </si>
  <si>
    <t xml:space="preserve">64OZ SNPREM KIWI STRWBRY PET LS8        </t>
  </si>
  <si>
    <t xml:space="preserve">          10110038</t>
  </si>
  <si>
    <t xml:space="preserve">18OZ BAI PEACH PANAMA PET LS12          </t>
  </si>
  <si>
    <t xml:space="preserve">          20000643</t>
  </si>
  <si>
    <t xml:space="preserve">0.5L VITA COCO PINEAPPLE DB LS12        </t>
  </si>
  <si>
    <t xml:space="preserve">          10001688</t>
  </si>
  <si>
    <t xml:space="preserve">16OZ DT SNPREM TEA RASP GLS 6PKX4       </t>
  </si>
  <si>
    <t xml:space="preserve">          10079086</t>
  </si>
  <si>
    <t xml:space="preserve">18.5OZ SNPREM TEA STRGT UNSWT PET LS12  </t>
  </si>
  <si>
    <t xml:space="preserve">          10003023</t>
  </si>
  <si>
    <t xml:space="preserve">32OZ SNPREM TEA PEACH PET LS12          </t>
  </si>
  <si>
    <t xml:space="preserve">          10001128</t>
  </si>
  <si>
    <t xml:space="preserve">20OZ BIG RED PET LS24                   </t>
  </si>
  <si>
    <t xml:space="preserve">          10079084</t>
  </si>
  <si>
    <t xml:space="preserve">18.5OZ SNPREM TEA STRGT SWEET PET LS12  </t>
  </si>
  <si>
    <t xml:space="preserve">          20000948</t>
  </si>
  <si>
    <t xml:space="preserve">          10090140</t>
  </si>
  <si>
    <t xml:space="preserve">          10001332</t>
  </si>
  <si>
    <t xml:space="preserve">1L SUNKIST ORANGE PET LS15              </t>
  </si>
  <si>
    <t xml:space="preserve">          10110005</t>
  </si>
  <si>
    <t xml:space="preserve">          10099692</t>
  </si>
  <si>
    <t xml:space="preserve">12OZ CAN DRY SPRK RSPBY CN 8PKX3 NSDM   </t>
  </si>
  <si>
    <t xml:space="preserve">          10000704</t>
  </si>
  <si>
    <t xml:space="preserve">5GAL DT DR PEPPER BIB                   </t>
  </si>
  <si>
    <t xml:space="preserve">          10001335</t>
  </si>
  <si>
    <t xml:space="preserve">1L CAN DRY GINGER ALE PET LS15          </t>
  </si>
  <si>
    <t xml:space="preserve">          10099694</t>
  </si>
  <si>
    <t xml:space="preserve">          10110049</t>
  </si>
  <si>
    <t xml:space="preserve">18OZ BAI COCONUT LIME ANDES PET LS12    </t>
  </si>
  <si>
    <t xml:space="preserve">          10105909</t>
  </si>
  <si>
    <t>20OZ CAN DRY LEMONADE GINGR ALE PET LS24</t>
  </si>
  <si>
    <t xml:space="preserve">          10000759</t>
  </si>
  <si>
    <t xml:space="preserve">          10083916</t>
  </si>
  <si>
    <t xml:space="preserve">16OZ VENOM ENRGY CITRUS CN LS24 PP099   </t>
  </si>
  <si>
    <t xml:space="preserve">          10001751</t>
  </si>
  <si>
    <t xml:space="preserve">20OZ SUNDROP PET LS24                   </t>
  </si>
  <si>
    <t xml:space="preserve">          10114958</t>
  </si>
  <si>
    <t xml:space="preserve">10OZ CAN DRY TONIC WATER PET 6PKX4 HC   </t>
  </si>
  <si>
    <t xml:space="preserve">          10110067</t>
  </si>
  <si>
    <t xml:space="preserve">18OZ BAI DRAGONFRUIT SUMATRA PET LS12   </t>
  </si>
  <si>
    <t xml:space="preserve">          10001453</t>
  </si>
  <si>
    <t xml:space="preserve">2L BIG RED PET LS8                      </t>
  </si>
  <si>
    <t xml:space="preserve">          10085420</t>
  </si>
  <si>
    <t xml:space="preserve">          10110040</t>
  </si>
  <si>
    <t xml:space="preserve">18OZ BAI SUPERTEA SWT SOCORO PET LS12   </t>
  </si>
  <si>
    <t xml:space="preserve">          10109982</t>
  </si>
  <si>
    <t xml:space="preserve">11.5OZ BAI BUBLS BLDORG JAMAICA CN LS12 </t>
  </si>
  <si>
    <t xml:space="preserve">          10001596</t>
  </si>
  <si>
    <t xml:space="preserve">          10099465</t>
  </si>
  <si>
    <t xml:space="preserve">          10110009</t>
  </si>
  <si>
    <t xml:space="preserve">18OZ BAI SUPERTEA LMNAD TANZ PET LS12   </t>
  </si>
  <si>
    <t xml:space="preserve">          20000631</t>
  </si>
  <si>
    <t xml:space="preserve">          10087783</t>
  </si>
  <si>
    <t xml:space="preserve">20OZ SUNKIST LEMONADE NCRB PET LS24     </t>
  </si>
  <si>
    <t xml:space="preserve">          10114040</t>
  </si>
  <si>
    <t xml:space="preserve">          10114955</t>
  </si>
  <si>
    <t xml:space="preserve">10OZ CAN DRY CLUB SODA PET 6PKX4 HC     </t>
  </si>
  <si>
    <t xml:space="preserve">          10001234</t>
  </si>
  <si>
    <t xml:space="preserve">          10110042</t>
  </si>
  <si>
    <t xml:space="preserve">11.5OZ BAI BUBLS PINEAPPLE PERU CN LS12 </t>
  </si>
  <si>
    <t xml:space="preserve">          10114994</t>
  </si>
  <si>
    <t xml:space="preserve">          20026040</t>
  </si>
  <si>
    <t xml:space="preserve">18OZ CORE ORGANIC PEACH MANGO PET LS12  </t>
  </si>
  <si>
    <t xml:space="preserve">          10001994</t>
  </si>
  <si>
    <t xml:space="preserve">12OZ CAN DRY CRANB GINGER ALE CN 12PKX2 </t>
  </si>
  <si>
    <t xml:space="preserve">          20019290</t>
  </si>
  <si>
    <t xml:space="preserve">14.5OZ NEURO BLISS WHITE RASP PET LS12  </t>
  </si>
  <si>
    <t xml:space="preserve">          10028020</t>
  </si>
  <si>
    <t xml:space="preserve">12OZ SQUIRT PET 8PKX3 BB                </t>
  </si>
  <si>
    <t xml:space="preserve">          10084024</t>
  </si>
  <si>
    <t xml:space="preserve">          10090322</t>
  </si>
  <si>
    <t xml:space="preserve">          20023318</t>
  </si>
  <si>
    <t xml:space="preserve">8OZ HIGH BREW COFFEE DBL ESPRSO CN LS12 </t>
  </si>
  <si>
    <t xml:space="preserve">          10087793</t>
  </si>
  <si>
    <t xml:space="preserve">2L SUNKIST LEMONADE NCRB PET LS8        </t>
  </si>
  <si>
    <t xml:space="preserve">          10000220</t>
  </si>
  <si>
    <t xml:space="preserve">16OZ DT SNPREM TEA TROPICAL GLS 6PKX4   </t>
  </si>
  <si>
    <t xml:space="preserve">          10014800</t>
  </si>
  <si>
    <t xml:space="preserve">          10001319</t>
  </si>
  <si>
    <t xml:space="preserve">1L RC COLA PET LS15                     </t>
  </si>
  <si>
    <t xml:space="preserve">          10085424</t>
  </si>
  <si>
    <t xml:space="preserve">7.5OZ SQUIRT SCN 6PKX4 BB               </t>
  </si>
  <si>
    <t xml:space="preserve">          20025684</t>
  </si>
  <si>
    <t xml:space="preserve">1.3L CORE HYDRATION PET LS12            </t>
  </si>
  <si>
    <t xml:space="preserve">          10079085</t>
  </si>
  <si>
    <t xml:space="preserve">18.5OZ SNPREM TEA STRGT SORTA PET LS12  </t>
  </si>
  <si>
    <t xml:space="preserve">          10110028</t>
  </si>
  <si>
    <t xml:space="preserve">11.5OZ BAI BUBLS PKGRPFRT GIMBI CN LS12 </t>
  </si>
  <si>
    <t xml:space="preserve">          10001421</t>
  </si>
  <si>
    <t xml:space="preserve">2L DT C/F DR PEPPER PET LS8             </t>
  </si>
  <si>
    <t xml:space="preserve">          10001322</t>
  </si>
  <si>
    <t xml:space="preserve">1L SQUIRT PET LS15                      </t>
  </si>
  <si>
    <t xml:space="preserve">          10107362</t>
  </si>
  <si>
    <t>12OZ CAN DRY SPRK BLK CHRY CN 8PKX3 NSDM</t>
  </si>
  <si>
    <t xml:space="preserve">          10111501</t>
  </si>
  <si>
    <t xml:space="preserve">          10003038</t>
  </si>
  <si>
    <t xml:space="preserve">32OZ SNPREM FRUIT PUNCH PET LS12        </t>
  </si>
  <si>
    <t xml:space="preserve">          10003037</t>
  </si>
  <si>
    <t xml:space="preserve">32OZ SNPREM MANGO MDNSS PET LS12        </t>
  </si>
  <si>
    <t xml:space="preserve">          20026043</t>
  </si>
  <si>
    <t xml:space="preserve">          10001467</t>
  </si>
  <si>
    <t xml:space="preserve">2L SUNDROP PET LS8                      </t>
  </si>
  <si>
    <t xml:space="preserve">          10000878</t>
  </si>
  <si>
    <t xml:space="preserve">12OZ SUNNY DELIGHT ORANGE CN 12PKX2     </t>
  </si>
  <si>
    <t xml:space="preserve">          20019292</t>
  </si>
  <si>
    <t xml:space="preserve">          20019289</t>
  </si>
  <si>
    <t xml:space="preserve">          10120803</t>
  </si>
  <si>
    <t xml:space="preserve">16OZ HYDRIVE BLUE RASPBERRY PET LS12    </t>
  </si>
  <si>
    <t xml:space="preserve">          10001123</t>
  </si>
  <si>
    <t xml:space="preserve">20OZ HAW PUNCH FRT JCY RD PET LS24      </t>
  </si>
  <si>
    <t xml:space="preserve">          10001127</t>
  </si>
  <si>
    <t xml:space="preserve">20OZ RUBY RED SQUIRT PET LS24           </t>
  </si>
  <si>
    <t xml:space="preserve">          10086588</t>
  </si>
  <si>
    <t xml:space="preserve">          10120837</t>
  </si>
  <si>
    <t xml:space="preserve">16OZ HYDRIVE CITRUS BURST PET LS12      </t>
  </si>
  <si>
    <t xml:space="preserve">          20000949</t>
  </si>
  <si>
    <t xml:space="preserve">16OZ SUNNY DELIGHT ORNG MANGO PET LS12  </t>
  </si>
  <si>
    <t xml:space="preserve">          20023319</t>
  </si>
  <si>
    <t xml:space="preserve">8OZ HIGH BREW COFFEE MEX VANILA CN LS12 </t>
  </si>
  <si>
    <t xml:space="preserve">          10001683</t>
  </si>
  <si>
    <t xml:space="preserve">          10107361</t>
  </si>
  <si>
    <t>12OZ CAN DRY SPRK PCH MNGO CN 8PKX3 NSDM</t>
  </si>
  <si>
    <t xml:space="preserve">          10003024</t>
  </si>
  <si>
    <t xml:space="preserve">32OZ DT SNPREM TEA PEACH PET LS12       </t>
  </si>
  <si>
    <t xml:space="preserve">          10099691</t>
  </si>
  <si>
    <t xml:space="preserve">12OZ CAN DRY SPRK GRPFRT CN8PKX3 NSDM   </t>
  </si>
  <si>
    <t xml:space="preserve">          10120832</t>
  </si>
  <si>
    <t xml:space="preserve">16OZ HYDRIVE TRIPLE BERRY PET LS12      </t>
  </si>
  <si>
    <t xml:space="preserve">          10110021</t>
  </si>
  <si>
    <t>11.5OZ BAI BUBLS CCNTLME WAIKIKI CN LS12</t>
  </si>
  <si>
    <t xml:space="preserve">          10099500</t>
  </si>
  <si>
    <t xml:space="preserve">          10099476</t>
  </si>
  <si>
    <t xml:space="preserve">          10110062</t>
  </si>
  <si>
    <t xml:space="preserve">11.5OZ BAI BUBLS WTRMLN LAMBARI CN LS12 </t>
  </si>
  <si>
    <t xml:space="preserve">          20026453</t>
  </si>
  <si>
    <t xml:space="preserve">          10003020</t>
  </si>
  <si>
    <t xml:space="preserve">11.5OZ SNJUICE FRUIT PUNCH 100% CN LS24 </t>
  </si>
  <si>
    <t xml:space="preserve">          20026045</t>
  </si>
  <si>
    <t xml:space="preserve">18OZ CORE ORGANIC TROP COCONUT PET LS12 </t>
  </si>
  <si>
    <t xml:space="preserve">          10099693</t>
  </si>
  <si>
    <t xml:space="preserve">12OZ CAN DRY SPRK TRPBRY CN8PKX3 NSDM   </t>
  </si>
  <si>
    <t xml:space="preserve">          10002778</t>
  </si>
  <si>
    <t xml:space="preserve">12OZ DR PEPPER SUGR CN 12PKX2           </t>
  </si>
  <si>
    <t xml:space="preserve">          20007583</t>
  </si>
  <si>
    <t xml:space="preserve">          10109319</t>
  </si>
  <si>
    <t xml:space="preserve">16OZ SNPREM TEA HLF&amp;HLF PEACH GLS 6PKX4 </t>
  </si>
  <si>
    <t xml:space="preserve">          10120792</t>
  </si>
  <si>
    <t xml:space="preserve">16OZ HYDRIVE BLACK CHERRY PET LS12      </t>
  </si>
  <si>
    <t xml:space="preserve">          10084025</t>
  </si>
  <si>
    <t xml:space="preserve">          20019320</t>
  </si>
  <si>
    <t xml:space="preserve">16OZ SUNNY DELIGHT BLUE RASP PET LS12   </t>
  </si>
  <si>
    <t xml:space="preserve">          10000755</t>
  </si>
  <si>
    <t>10OZ CAN DRY TONIC WATER GLS 6PKX4 HC RO</t>
  </si>
  <si>
    <t xml:space="preserve">          10014793</t>
  </si>
  <si>
    <t xml:space="preserve">          10081257</t>
  </si>
  <si>
    <t xml:space="preserve">          10001469</t>
  </si>
  <si>
    <t xml:space="preserve">2L SUNNY DELIGHT ORANGE PET LS8         </t>
  </si>
  <si>
    <t xml:space="preserve">          10114953</t>
  </si>
  <si>
    <t xml:space="preserve">          10099468</t>
  </si>
  <si>
    <t xml:space="preserve">          10086157</t>
  </si>
  <si>
    <t xml:space="preserve">16OZ DR PEPPER CN LS24 SC PROMO         </t>
  </si>
  <si>
    <t xml:space="preserve">          20026041</t>
  </si>
  <si>
    <t xml:space="preserve">          20019288</t>
  </si>
  <si>
    <t xml:space="preserve">14.5OZ NEURO SONIC BLD ORG PAS PET LS12 </t>
  </si>
  <si>
    <t xml:space="preserve">          10109405</t>
  </si>
  <si>
    <t xml:space="preserve">          10087165</t>
  </si>
  <si>
    <t xml:space="preserve">12OZ STEWARTS ROOT BEER SUGR GLS 4PKX6  </t>
  </si>
  <si>
    <t xml:space="preserve">          10031904</t>
  </si>
  <si>
    <t xml:space="preserve">          20020822</t>
  </si>
  <si>
    <t xml:space="preserve">          10000096</t>
  </si>
  <si>
    <t xml:space="preserve">2L RUBY RED SQUIRT PET LS8              </t>
  </si>
  <si>
    <t xml:space="preserve">          20025548</t>
  </si>
  <si>
    <t xml:space="preserve">          10000327</t>
  </si>
  <si>
    <t xml:space="preserve">2.5GAL SUNKIST ORANGE BIB               </t>
  </si>
  <si>
    <t xml:space="preserve">          20000644</t>
  </si>
  <si>
    <t xml:space="preserve">0.5L VITA COCO PEACH MANGO DB LS12      </t>
  </si>
  <si>
    <t>IBC</t>
  </si>
  <si>
    <t xml:space="preserve">          10084026</t>
  </si>
  <si>
    <t xml:space="preserve">          10000758</t>
  </si>
  <si>
    <t xml:space="preserve">10OZ CAN DRY CLUB SODA GLS 6PKX4 HC RO  </t>
  </si>
  <si>
    <t xml:space="preserve">          20026703</t>
  </si>
  <si>
    <t xml:space="preserve">          20023321</t>
  </si>
  <si>
    <t xml:space="preserve">8OZ HIGH BREW COFFEE BLACK&amp;BOLD CN LS12 </t>
  </si>
  <si>
    <t xml:space="preserve">          10087163</t>
  </si>
  <si>
    <t xml:space="preserve">          10099490</t>
  </si>
  <si>
    <t xml:space="preserve">          20026042</t>
  </si>
  <si>
    <t xml:space="preserve">18OZ CORE ORGANIC STRWBRY BAN PET LS12  </t>
  </si>
  <si>
    <t xml:space="preserve">          10112794</t>
  </si>
  <si>
    <t xml:space="preserve">          10000321</t>
  </si>
  <si>
    <t xml:space="preserve">2.5GAL 7UP BIB                          </t>
  </si>
  <si>
    <t xml:space="preserve">          20023320</t>
  </si>
  <si>
    <t xml:space="preserve">8OZ HIGH BREW COFFEE SLTD CARML CN LS12 </t>
  </si>
  <si>
    <t xml:space="preserve">          10114042</t>
  </si>
  <si>
    <t xml:space="preserve">          20023317</t>
  </si>
  <si>
    <t xml:space="preserve">          10003018</t>
  </si>
  <si>
    <t xml:space="preserve">11.5OZ SNJUICE GREEN APPLE 100% CN LS24 </t>
  </si>
  <si>
    <t xml:space="preserve">          10001121</t>
  </si>
  <si>
    <t xml:space="preserve">20OZ DT SQUIRT PET LS24                 </t>
  </si>
  <si>
    <t xml:space="preserve">          10014792</t>
  </si>
  <si>
    <t xml:space="preserve">32OZ DT SNPREM TEA HLF&amp;HLF LMD PET LS12 </t>
  </si>
  <si>
    <t xml:space="preserve">          10114044</t>
  </si>
  <si>
    <t xml:space="preserve">          10003021</t>
  </si>
  <si>
    <t xml:space="preserve">11.5OZ SNJUICE GRAPE 100% CN LS24       </t>
  </si>
  <si>
    <t xml:space="preserve">          10085890</t>
  </si>
  <si>
    <t xml:space="preserve">16OZ VENOM ENRGY BLK MAMBA CN LS24      </t>
  </si>
  <si>
    <t xml:space="preserve">          10120838</t>
  </si>
  <si>
    <t xml:space="preserve">16OZ HYDRIVE GRAPE PET LS12             </t>
  </si>
  <si>
    <t xml:space="preserve">          20020470</t>
  </si>
  <si>
    <t xml:space="preserve">600ML PENAFIEL NARANJADA PET LS12 IMPMX </t>
  </si>
  <si>
    <t xml:space="preserve">          10028682</t>
  </si>
  <si>
    <t xml:space="preserve">64OZ SNPREM MANGO MDNESS PET LS8        </t>
  </si>
  <si>
    <t xml:space="preserve">          10087164</t>
  </si>
  <si>
    <t xml:space="preserve">12OZ STEWARTS CREAM SODA SUGR GLS 4PKX6 </t>
  </si>
  <si>
    <t xml:space="preserve">          10112795</t>
  </si>
  <si>
    <t xml:space="preserve">          10000261</t>
  </si>
  <si>
    <t xml:space="preserve">2.5GAL RC COLA BIB                      </t>
  </si>
  <si>
    <t xml:space="preserve">          20026451</t>
  </si>
  <si>
    <t xml:space="preserve">          10097277</t>
  </si>
  <si>
    <t xml:space="preserve">12OZ CLAMATO ORIGINAL PET LS12          </t>
  </si>
  <si>
    <t xml:space="preserve">          20020468</t>
  </si>
  <si>
    <t xml:space="preserve">600ML PENAFIEL LIMONADA PET LS12 IMPMX  </t>
  </si>
  <si>
    <t xml:space="preserve">          10000757</t>
  </si>
  <si>
    <t xml:space="preserve">10OZ CAN DRY GINGER ALE GLS 6PKX4 HC RO </t>
  </si>
  <si>
    <t xml:space="preserve">          20019291</t>
  </si>
  <si>
    <t xml:space="preserve">          20026044</t>
  </si>
  <si>
    <t xml:space="preserve">          10112796</t>
  </si>
  <si>
    <t xml:space="preserve">          10120833</t>
  </si>
  <si>
    <t xml:space="preserve">16OZ HYDRIVE KIWI MELON PET LS12        </t>
  </si>
  <si>
    <t xml:space="preserve">          20025411</t>
  </si>
  <si>
    <t xml:space="preserve">0.5L VITA COCO PURE TWIST LIME DB LS12  </t>
  </si>
  <si>
    <t xml:space="preserve">          10087166</t>
  </si>
  <si>
    <t xml:space="preserve">12OZ STEWARTS BLK CHERRY SUGR GLS 4PKX6 </t>
  </si>
  <si>
    <t xml:space="preserve">          10002876</t>
  </si>
  <si>
    <t xml:space="preserve">20OZ SNPREM KIWI STRAWBERRY PET LS24    </t>
  </si>
  <si>
    <t xml:space="preserve">          10000232</t>
  </si>
  <si>
    <t xml:space="preserve">2.5GAL SQUIRT BIB                       </t>
  </si>
  <si>
    <t xml:space="preserve">          20028085</t>
  </si>
  <si>
    <t xml:space="preserve">2OZ FORTO 200MG VAN LATTE SHOT LS12     </t>
  </si>
  <si>
    <t xml:space="preserve">          10083936</t>
  </si>
  <si>
    <t xml:space="preserve">18.5OZ SNPREM TEA STRGT HNYGRN PET LS12 </t>
  </si>
  <si>
    <t xml:space="preserve">          20000947</t>
  </si>
  <si>
    <t xml:space="preserve">16OZ SUNNY DELIGHT FRUIT PUNCH PET LS12 </t>
  </si>
  <si>
    <t xml:space="preserve">          20025547</t>
  </si>
  <si>
    <t xml:space="preserve">16OZ SUNNY DELIGHT WATERMELON PET LS12  </t>
  </si>
  <si>
    <t xml:space="preserve">          20013294</t>
  </si>
  <si>
    <t xml:space="preserve">14.5OZ NEURO DAILY TANG CTRS PET LS12   </t>
  </si>
  <si>
    <t xml:space="preserve">          20028083</t>
  </si>
  <si>
    <t xml:space="preserve">2OZ FORTO 100MG HERSHEY SHOT LS12       </t>
  </si>
  <si>
    <t xml:space="preserve">          20028084</t>
  </si>
  <si>
    <t xml:space="preserve">2OZ FORTO 200MG CHOC LATTE SHOT LS12    </t>
  </si>
  <si>
    <t xml:space="preserve">          20026871</t>
  </si>
  <si>
    <t xml:space="preserve">          10002880</t>
  </si>
  <si>
    <t xml:space="preserve">20OZ DT SNPREM TEA PEACH PET LS24       </t>
  </si>
  <si>
    <t xml:space="preserve">          10114041</t>
  </si>
  <si>
    <t xml:space="preserve">          20022637</t>
  </si>
  <si>
    <t xml:space="preserve">16OZ SUNNY DELIGHT GREEN APPLE PET LS12 </t>
  </si>
  <si>
    <t xml:space="preserve">          10081780</t>
  </si>
  <si>
    <t xml:space="preserve">12OZ DR PEPPER SUGR GLS 4PKX6           </t>
  </si>
  <si>
    <t xml:space="preserve">          10057516</t>
  </si>
  <si>
    <t xml:space="preserve">20OZ DT CAN DRY GINGER ALE PET LS24     </t>
  </si>
  <si>
    <t xml:space="preserve">          10085887</t>
  </si>
  <si>
    <t xml:space="preserve">16OZ VENOM ENRGY KLR TAIPN MNG CN LS24  </t>
  </si>
  <si>
    <t xml:space="preserve">          20020466</t>
  </si>
  <si>
    <t xml:space="preserve">600ML PENAFIEL AGUA MNRL PET LS12 IMPMX </t>
  </si>
  <si>
    <t xml:space="preserve">          10078568</t>
  </si>
  <si>
    <t xml:space="preserve">16OZ DR PEPPER CN LS24                  </t>
  </si>
  <si>
    <t xml:space="preserve">          20027022</t>
  </si>
  <si>
    <t xml:space="preserve">          20025475</t>
  </si>
  <si>
    <t xml:space="preserve">          10083935</t>
  </si>
  <si>
    <t xml:space="preserve">          20023029</t>
  </si>
  <si>
    <t xml:space="preserve">          10088270</t>
  </si>
  <si>
    <t xml:space="preserve">2.5GAL HAW PUNCH LEMONADE BIB NCRB      </t>
  </si>
  <si>
    <t xml:space="preserve">          10097278</t>
  </si>
  <si>
    <t xml:space="preserve">12OZ CLAMATO PREPARADO PET LS12         </t>
  </si>
  <si>
    <t xml:space="preserve">          10089301</t>
  </si>
  <si>
    <t xml:space="preserve">16OZ 7UP CN LS24                        </t>
  </si>
  <si>
    <t xml:space="preserve">          10089269</t>
  </si>
  <si>
    <t xml:space="preserve">16OZ A&amp;W ROOT BEER CN LS24              </t>
  </si>
  <si>
    <t xml:space="preserve">          10085753</t>
  </si>
  <si>
    <t xml:space="preserve">11OZ YOO-HOO STRAWBERRY DB LS12         </t>
  </si>
  <si>
    <t xml:space="preserve">          10086430</t>
  </si>
  <si>
    <t xml:space="preserve">16OZ SUNKIST ORANGE CN LS24             </t>
  </si>
  <si>
    <t xml:space="preserve">          20026883</t>
  </si>
  <si>
    <t>18OZ CORE ORGANIC CHRYBERY LIME PET LS12</t>
  </si>
  <si>
    <t xml:space="preserve">          20019805</t>
  </si>
  <si>
    <t xml:space="preserve">0.5L VITA COCO LEMONADE DB LS12         </t>
  </si>
  <si>
    <t xml:space="preserve">          20028086</t>
  </si>
  <si>
    <t xml:space="preserve">2OZ FORTO 100MG PURE BLK SHOT LS12      </t>
  </si>
  <si>
    <t xml:space="preserve">          20026715</t>
  </si>
  <si>
    <t xml:space="preserve">          10003041</t>
  </si>
  <si>
    <t xml:space="preserve">32OZ SNPREM TEA RASPBERRY PET LS12      </t>
  </si>
  <si>
    <t xml:space="preserve">          20026884</t>
  </si>
  <si>
    <t>18OZ CORE ORGANIC ORANGE MANGO PET LS 12</t>
  </si>
  <si>
    <t xml:space="preserve">          20000453</t>
  </si>
  <si>
    <t xml:space="preserve">          10085889</t>
  </si>
  <si>
    <t xml:space="preserve">16OZ VENOM ENRGY DTH ADDR FP CN LS24    </t>
  </si>
  <si>
    <t xml:space="preserve">          10109317</t>
  </si>
  <si>
    <t xml:space="preserve">16OZ SNPREM TEA HLF&amp;HLF PEACH PET LS12  </t>
  </si>
  <si>
    <t xml:space="preserve">          10089257</t>
  </si>
  <si>
    <t xml:space="preserve">16OZ CAN DRY GINGER ALE CN LS24         </t>
  </si>
  <si>
    <t xml:space="preserve">          10000260</t>
  </si>
  <si>
    <t xml:space="preserve">2.5GAL DT RITE COLA BIB                 </t>
  </si>
  <si>
    <t xml:space="preserve">          20002035</t>
  </si>
  <si>
    <t xml:space="preserve">          10085752</t>
  </si>
  <si>
    <t xml:space="preserve">11OZ YOO-HOO CHOCOLATE DB LS12          </t>
  </si>
  <si>
    <t xml:space="preserve">          20000459</t>
  </si>
  <si>
    <t xml:space="preserve">          10085888</t>
  </si>
  <si>
    <t xml:space="preserve">16OZ VENOM ENRGY MJVE RTLR CN LS24      </t>
  </si>
  <si>
    <t xml:space="preserve">          10084737</t>
  </si>
  <si>
    <t xml:space="preserve">16OZ VENOM ENRGY CITRUS CN LS24         </t>
  </si>
  <si>
    <t xml:space="preserve">          10090143</t>
  </si>
  <si>
    <t xml:space="preserve">16OZ VENOM ENRGY BLK CHRY KIWI CN LS24  </t>
  </si>
  <si>
    <t xml:space="preserve">          20020524</t>
  </si>
  <si>
    <t>CACTUS COOLER</t>
  </si>
  <si>
    <t>COTTON CLUB</t>
  </si>
  <si>
    <t>PENNSYLVANIA DUTCH</t>
  </si>
  <si>
    <t>ACTIVE ITEMS</t>
  </si>
  <si>
    <t>ACTIVE PRICING</t>
  </si>
  <si>
    <t>NEW ITEMS</t>
  </si>
  <si>
    <t>ACTIVE + NEW</t>
  </si>
  <si>
    <t>Facility</t>
  </si>
  <si>
    <t>Account</t>
  </si>
  <si>
    <t>Canada Dry Tonic Water w/Twist of Lime</t>
  </si>
  <si>
    <t>Diet Canada Dry Tonic Water w/Twist of Lime</t>
  </si>
  <si>
    <t>1L CAN DRY TWIST TW PET LS15</t>
  </si>
  <si>
    <t>0 78000-16145 8</t>
  </si>
  <si>
    <t>1L DT CAN DRY TWIST TW PET LS15</t>
  </si>
  <si>
    <t>0 78000-16245 5</t>
  </si>
  <si>
    <t>1L HAW PUNCH FRT JCY RD PET LS15</t>
  </si>
  <si>
    <t>0 78000-00407 6</t>
  </si>
  <si>
    <t>1L VERNORS GINGER ALE PET LS15</t>
  </si>
  <si>
    <t>0 78000-18045 9</t>
  </si>
  <si>
    <t>20OZ BIG RED VANILLA FLOAT PET LS24</t>
  </si>
  <si>
    <t>0 71817-07037 1</t>
  </si>
  <si>
    <t>Big Red Vanilla Float</t>
  </si>
  <si>
    <t>20OZ CAN DRY GINGER ALE CRANBRY PET LS24</t>
  </si>
  <si>
    <t>20OZ CAN DRY BLACKBRY GNGR ALE PET LS24</t>
  </si>
  <si>
    <t>20OZ CAN DRY VANILLA CREAM PET LS24</t>
  </si>
  <si>
    <t>20OZ CAN DRY SPRK ORGNL PET LS24</t>
  </si>
  <si>
    <t>Canada Dry Vanilla Cream</t>
  </si>
  <si>
    <t>2L CANFLD ORIGINAL SLTZR PET LS8</t>
  </si>
  <si>
    <t>0 78400-00043 2</t>
  </si>
  <si>
    <t>2L CANFLD LEMON SLTZR PET LS8</t>
  </si>
  <si>
    <t>0 78400-00042 5</t>
  </si>
  <si>
    <t>2L CANFLD LIME SLTZR PET LS8</t>
  </si>
  <si>
    <t>0 78400-00044 9</t>
  </si>
  <si>
    <t>20OZ COTTON CLUB CHERIKEE RED PET LS24</t>
  </si>
  <si>
    <t>0 73220-67003 2</t>
  </si>
  <si>
    <t>2L COTTON CLUB LSS SWT ALE PET LS8</t>
  </si>
  <si>
    <t>0 73220-01100 2</t>
  </si>
  <si>
    <t>2L DT COTTON CLUB GINGER ALE PET LS8</t>
  </si>
  <si>
    <t>0 73220-24314 4</t>
  </si>
  <si>
    <t>2L COTTON CLUB CLUB SODA PET LS8</t>
  </si>
  <si>
    <t>0 73220-29962 2</t>
  </si>
  <si>
    <t>2L COTTON CLUB CHERIKEE RED PET LS8</t>
  </si>
  <si>
    <t>0 73220-00095 2</t>
  </si>
  <si>
    <t>2L COTTON CLUB TONIC WATER PET LS8</t>
  </si>
  <si>
    <t>0 73220-38600 1</t>
  </si>
  <si>
    <t>2L COTTON CLUB 50/50 PET LS8</t>
  </si>
  <si>
    <t>0 73220-01000 5</t>
  </si>
  <si>
    <t>Cotton Club Club Soda</t>
  </si>
  <si>
    <t>Cotton Club Tonic Water</t>
  </si>
  <si>
    <t>32OZ SNPREM TEA LEMON PET LS12</t>
  </si>
  <si>
    <t>0 76183-32374 8</t>
  </si>
  <si>
    <t>32OZ DT SNPREM TEA LEMON PET LS12</t>
  </si>
  <si>
    <t>0 76183-32376 2</t>
  </si>
  <si>
    <t>20OZ SNPREM TEA LEMON PET LS24</t>
  </si>
  <si>
    <t>0 76183-20200 5</t>
  </si>
  <si>
    <t>20OZ DT SNPREM TEA LEMON PET LS24</t>
  </si>
  <si>
    <t>0 76183-20210 4</t>
  </si>
  <si>
    <t>20OZ SNPREM TEA RASPBERRY PET LS24</t>
  </si>
  <si>
    <t>0 76183-20202 9</t>
  </si>
  <si>
    <t>20OZ SNPREM TEA HLF&amp;HLF LEMADE PET LS24</t>
  </si>
  <si>
    <t>0 76183-00170 7</t>
  </si>
  <si>
    <t>20OZ SNPREM APPLE PET LS24</t>
  </si>
  <si>
    <t>0 76183-20208 1</t>
  </si>
  <si>
    <t>20OZ SNPREM MANGO MADNESS PET LS24</t>
  </si>
  <si>
    <t>0 76183-20204 3</t>
  </si>
  <si>
    <t>20OZ SNPREM FRUIT PUNCH PET LS24</t>
  </si>
  <si>
    <t>0 76183-20205 0</t>
  </si>
  <si>
    <t>100% Juiced - Fruit Punch</t>
  </si>
  <si>
    <t>100% Juiced - Green Apple</t>
  </si>
  <si>
    <t>100% Juiced - Grape</t>
  </si>
  <si>
    <t>100% Juiced - Orange Mango</t>
  </si>
  <si>
    <t>11.5OZ SNPREM TEA LEMON CN LS24</t>
  </si>
  <si>
    <t>0 76183-12374 4</t>
  </si>
  <si>
    <t>11.5OZ DT SNPREM TEA LEMON CN LS24</t>
  </si>
  <si>
    <t>0 76183-12376 8</t>
  </si>
  <si>
    <t>11.5OZ SNPREM TEA PEACH CN LS24</t>
  </si>
  <si>
    <t>0 76183-12356 0</t>
  </si>
  <si>
    <t>11.5OZ SNPREM TEA RASPBERRY CN LS24</t>
  </si>
  <si>
    <t>0 76183-12378 2</t>
  </si>
  <si>
    <t>11.5OZ SNPREM KIWI STRAWBERRY CN LS24</t>
  </si>
  <si>
    <t>0 76183-12363 8</t>
  </si>
  <si>
    <t>11.5OZ SNPREM MANGO MADNESS CN LS24</t>
  </si>
  <si>
    <t>0 76183-12364 5</t>
  </si>
  <si>
    <t>8OZ SNPREM TEA LEMON PET 6PKX4</t>
  </si>
  <si>
    <t>0 76183-08374 1</t>
  </si>
  <si>
    <t>8OZ SNPREM KIWI STRAWBERRY PET 6PKX4</t>
  </si>
  <si>
    <t>0 76183-08363 5</t>
  </si>
  <si>
    <t>8OZ SNPREM FRUIT PUNCH PET 6PKX4</t>
  </si>
  <si>
    <t>0 76183-08372 7</t>
  </si>
  <si>
    <t>5gal Bag-In-Box</t>
  </si>
  <si>
    <t>5GAL DR PEPPER BIB</t>
  </si>
  <si>
    <t>0 54900-71054 5</t>
  </si>
  <si>
    <t>5GAL DR PEPPER SCHOLLE BIB</t>
  </si>
  <si>
    <t>5GAL DT DR PEPPER BIB</t>
  </si>
  <si>
    <t>0 54900-72047 6</t>
  </si>
  <si>
    <t>5GAL 7UP BIB</t>
  </si>
  <si>
    <t>0 78000-20001 0</t>
  </si>
  <si>
    <t>5GAL IBC ROOT BEER BIB</t>
  </si>
  <si>
    <t>0 88500-90183 6</t>
  </si>
  <si>
    <t>5GAL ROCHESTER ROOT BEER BIB</t>
  </si>
  <si>
    <t>0 88500-90319 9</t>
  </si>
  <si>
    <t>5GAL SUNKIST ORANGE BIB</t>
  </si>
  <si>
    <t>0 88500-90111 9</t>
  </si>
  <si>
    <t>5GAL VERNORS GINGER ALE BIB</t>
  </si>
  <si>
    <t>0 88500-90169 0</t>
  </si>
  <si>
    <t>5GAL SQUIRT BIB</t>
  </si>
  <si>
    <t>0 88500-90137 9</t>
  </si>
  <si>
    <t>5GAL HAW PUNCH LEMONADE NCRB BIB</t>
  </si>
  <si>
    <t>0 88500-00120 8</t>
  </si>
  <si>
    <t>5GAL HAW PUNCH FRT JCY RD BIB</t>
  </si>
  <si>
    <t>0 88500-90280 2</t>
  </si>
  <si>
    <t>5GAL BIG RED BIB</t>
  </si>
  <si>
    <t>0 71817-00055 2</t>
  </si>
  <si>
    <t>5GAL DT RC COLA BIB</t>
  </si>
  <si>
    <t>0 88500-90229 1</t>
  </si>
  <si>
    <t>5GAL RC COLA BIB</t>
  </si>
  <si>
    <t>0 88500-90226 0</t>
  </si>
  <si>
    <t>5GAL SUN PLUS RASPBERRY SELTZER BIB</t>
  </si>
  <si>
    <t>8 34093-00559 4</t>
  </si>
  <si>
    <t>5GAL NATURE TREE PREM TEA BIB</t>
  </si>
  <si>
    <t>8 34093-00976 9</t>
  </si>
  <si>
    <t>5GAL NATURE TREE RASPBERRY BIB</t>
  </si>
  <si>
    <t>8 34093-00977 6</t>
  </si>
  <si>
    <t>Dr Pepper (Scholle)</t>
  </si>
  <si>
    <t>IBC Root Beer</t>
  </si>
  <si>
    <t>Rochester Root Beer</t>
  </si>
  <si>
    <t>Hawaiian Punch Lemonade</t>
  </si>
  <si>
    <t>Sun Plus Raspberry Seltzer</t>
  </si>
  <si>
    <t>Nature Tree Premium Tea</t>
  </si>
  <si>
    <t>Nature Tree Raspberry</t>
  </si>
  <si>
    <t>5 Gallon</t>
  </si>
  <si>
    <t>3gal Bag-In-Box</t>
  </si>
  <si>
    <t>3GAL MAGIC MIXR SWT &amp; SOUR BIB</t>
  </si>
  <si>
    <t>8 34093-00961 5</t>
  </si>
  <si>
    <t>3GAL MAGIC MIXR MARGARITA BIB</t>
  </si>
  <si>
    <t>8 34093-31039 1</t>
  </si>
  <si>
    <t>3GAL NATURE TREE TEA BIB</t>
  </si>
  <si>
    <t>1 23456-78912 8</t>
  </si>
  <si>
    <t>3GAL NON-BRANDED CRANBERRY BIB</t>
  </si>
  <si>
    <t>8 34093-00971 4</t>
  </si>
  <si>
    <t>3GAL NON-BRANDED ORANGE 50% BIB</t>
  </si>
  <si>
    <t>8 34093-00991 2</t>
  </si>
  <si>
    <t>3GAL NON-BRANDED TONIC WTR BIB</t>
  </si>
  <si>
    <t>8 34093-00870 0</t>
  </si>
  <si>
    <t>3GAL NON-BRANDED PINEAPPLE BIB</t>
  </si>
  <si>
    <t>8 34093-00994 3</t>
  </si>
  <si>
    <t>3GAL NON-BRANDED ORANGE 100% BIB</t>
  </si>
  <si>
    <t>8 34093-00965 3</t>
  </si>
  <si>
    <t>3GAL NON-BRANDED ENERGY BIB</t>
  </si>
  <si>
    <t>0 00000-00000 0</t>
  </si>
  <si>
    <t>Magic Mixer - Sweet &amp; Sour</t>
  </si>
  <si>
    <t>Magic Mixer - Margarita</t>
  </si>
  <si>
    <t>Nature Tree Tea</t>
  </si>
  <si>
    <t>Cranberry BIB</t>
  </si>
  <si>
    <t>50% Orange BIB</t>
  </si>
  <si>
    <t>Tonic Water BIB</t>
  </si>
  <si>
    <t>Pineapple BIB</t>
  </si>
  <si>
    <t>100% Orange BIB</t>
  </si>
  <si>
    <t>Energy BIB</t>
  </si>
  <si>
    <t>3 Gallon</t>
  </si>
  <si>
    <t>2.5gal Bag-In-Box</t>
  </si>
  <si>
    <t>2.5 Gallon</t>
  </si>
  <si>
    <t>2.5GAL DR PEPPER BIB</t>
  </si>
  <si>
    <t>0 54900-71056 9</t>
  </si>
  <si>
    <t>2.5GAL DT DR PEPPER BIB</t>
  </si>
  <si>
    <t>0 54900-72049 0</t>
  </si>
  <si>
    <t>2.5GAL 7UP BIB</t>
  </si>
  <si>
    <t>0 78000-20011 9</t>
  </si>
  <si>
    <t>2.5GAL DT 7UP BIB</t>
  </si>
  <si>
    <t>0 78000-30005 5</t>
  </si>
  <si>
    <t>2.5GAL IBC ROOT BEER BIB</t>
  </si>
  <si>
    <t>0 88500-90224 6</t>
  </si>
  <si>
    <t>2.5GAL SUNDROP BIB</t>
  </si>
  <si>
    <t>0 88500-90172 0</t>
  </si>
  <si>
    <t>2.5GAL SUNKIST ORANGE BIB</t>
  </si>
  <si>
    <t>0 88500-90119 5</t>
  </si>
  <si>
    <t>2.5GAL SUNKIST STRAWBERRY BIB</t>
  </si>
  <si>
    <t>0 88500-00109 3</t>
  </si>
  <si>
    <t>2.5GAL SUNKIST GRAPE BIB</t>
  </si>
  <si>
    <t>0 88500-00108 6</t>
  </si>
  <si>
    <t>2.5GAL SUNKIST CHRY LIMEADE BIB</t>
  </si>
  <si>
    <t>0 88500-90204 8</t>
  </si>
  <si>
    <t>2.5GAL CAN DRY GINGER ALE BIB</t>
  </si>
  <si>
    <t>0 88500-90125 6</t>
  </si>
  <si>
    <t>2.5GAL CAN DRY TONIC WATER BIB</t>
  </si>
  <si>
    <t>0 88500-90177 5</t>
  </si>
  <si>
    <t>2.5GAL SQUIRT BIB</t>
  </si>
  <si>
    <t>0 88500-90171 3</t>
  </si>
  <si>
    <t>2.5GAL HAW PUNCH FRT JCY RD BIB</t>
  </si>
  <si>
    <t>0 88500-90277 2</t>
  </si>
  <si>
    <t>2.5GAL HAW PUNCH FRT JCY RED BIB FCB</t>
  </si>
  <si>
    <t>0 88500-90321 2</t>
  </si>
  <si>
    <t>2.5GAL HAW PUNCH LEMONADE BIB NCRB</t>
  </si>
  <si>
    <t>0 88500-00118 5</t>
  </si>
  <si>
    <t>2.5GAL HAW PUNCH PINK LEMONADE BIB NCRB</t>
  </si>
  <si>
    <t>0 88500-00121 5</t>
  </si>
  <si>
    <t>2.5GAL BIG RED BIB</t>
  </si>
  <si>
    <t>0 71817-00255 6</t>
  </si>
  <si>
    <t>2.5GAL DT RITE COLA BIB</t>
  </si>
  <si>
    <t>0 88500-90246 8</t>
  </si>
  <si>
    <t>2.5GAL DT RC COLA BIB</t>
  </si>
  <si>
    <t>0 88500-90228 4</t>
  </si>
  <si>
    <t>2.5GAL RC COLA BIB</t>
  </si>
  <si>
    <t>0 88500-90248 2</t>
  </si>
  <si>
    <t>2.5GAL ALL SPORT BLUE RAZ ICE BIB</t>
  </si>
  <si>
    <t>8 11145-01025 6</t>
  </si>
  <si>
    <t>2.5GAL STEWARTS CRAFT CREAM SODA BIB</t>
  </si>
  <si>
    <t>0 88500-00131 4</t>
  </si>
  <si>
    <t>2.5GAL STEWARTS CRAFT ROOT BEER BIB</t>
  </si>
  <si>
    <t>0 88500-00130 7</t>
  </si>
  <si>
    <t>2.5GAL STEWARTS CRAFT CHERRY LIMEADE BIB</t>
  </si>
  <si>
    <t>0 88500-00135 2</t>
  </si>
  <si>
    <t>2.5GAL STEWARTS CRAFT BLACK CHERRY BIB</t>
  </si>
  <si>
    <t>0 88500-00134 5</t>
  </si>
  <si>
    <t>2.5GAL STEWARTS CRAFT GINGER BEER BIB</t>
  </si>
  <si>
    <t>0 88500-00136 9</t>
  </si>
  <si>
    <t>2.5GAL STEWARTS CRAFT ORANGE N CREAM BIB</t>
  </si>
  <si>
    <t>0 88500-00133 8</t>
  </si>
  <si>
    <t>2.5GAL STEWARTS CRAFT COLA BIB</t>
  </si>
  <si>
    <t>0 88500-00128 4</t>
  </si>
  <si>
    <t>2.5GAL DT STEWARTS CRAFT COLA BIB</t>
  </si>
  <si>
    <t>0 88500-00129 1</t>
  </si>
  <si>
    <t>2.5GAL MISTIC TEA BIB</t>
  </si>
  <si>
    <t>0 88500-90263 5</t>
  </si>
  <si>
    <t>2.5GAL NANT BRZ CRAFT WTRMLN LMNADE BIB</t>
  </si>
  <si>
    <t>0 88500-00137 6</t>
  </si>
  <si>
    <t>2.5GAL NANT BRZ CRAFT ORANGE MANGO BIB</t>
  </si>
  <si>
    <t>0 88500-00138 3</t>
  </si>
  <si>
    <t>Hawaiian Punch Fruit Juicy Red (FCB)</t>
  </si>
  <si>
    <t>Hawaiian Punch Pink Lemonade</t>
  </si>
  <si>
    <t>All Sport Blue Raz Ice</t>
  </si>
  <si>
    <t>Stewart's Craft Soda - Cream Soda</t>
  </si>
  <si>
    <t>Stewart's Craft Soda - Root Beer</t>
  </si>
  <si>
    <t>Stewart's Craft Soda - Cherry Limeade</t>
  </si>
  <si>
    <t>Stewart's Craft Soda - Black Cherry</t>
  </si>
  <si>
    <t>Stewart's Craft Soda - Ginger Beer</t>
  </si>
  <si>
    <t>Stewart's Craft Soda - Orange Cream</t>
  </si>
  <si>
    <t>Stewart's Craft Soda - Cola</t>
  </si>
  <si>
    <t>Stewart's Craft Soda - Diet Cola</t>
  </si>
  <si>
    <t>Mistic Tea</t>
  </si>
  <si>
    <t>Nantucket Breeze - Watermelon Lemonade</t>
  </si>
  <si>
    <t>Nantucket Breeze - Orange Mango</t>
  </si>
  <si>
    <t>2gal Bag-In-Box</t>
  </si>
  <si>
    <t>2GAL MAGIC MIXR BLOODY MARY BIB</t>
  </si>
  <si>
    <t>2GAL NON-BRANDED GRAPEFRUIT BIB</t>
  </si>
  <si>
    <t>8 34093-00987 5</t>
  </si>
  <si>
    <t>Magic Mixer - Bloody Mary</t>
  </si>
  <si>
    <t>Grapefruit BIB</t>
  </si>
  <si>
    <t>2 Gallon</t>
  </si>
  <si>
    <t>1.25L bottles</t>
  </si>
  <si>
    <t>1.25L DR PEPPER PET LS12</t>
  </si>
  <si>
    <t>0 78000-08239 5</t>
  </si>
  <si>
    <t>1.25L DT DR PEPPER PET LS12</t>
  </si>
  <si>
    <t>0 78000-01101 2</t>
  </si>
  <si>
    <t>1.25L 7UP PET LS12</t>
  </si>
  <si>
    <t>0 78000-02659 7</t>
  </si>
  <si>
    <t>1.25L A&amp;W ROOT BEER PET LS12</t>
  </si>
  <si>
    <t>0 78000-02657 3</t>
  </si>
  <si>
    <t>1.25L SUNKIST ORANGE PET LS12</t>
  </si>
  <si>
    <t>0 78000-02598 9</t>
  </si>
  <si>
    <t>1.25L SQUIRT PET LS12</t>
  </si>
  <si>
    <t>0 78000-03069 3</t>
  </si>
  <si>
    <t>1.25L RC COLA PET LS12</t>
  </si>
  <si>
    <t>0 78000-03071 6</t>
  </si>
  <si>
    <t>12OZ DT CAN DRY GINGER ALE PET 8PKX3 BB</t>
  </si>
  <si>
    <t>0 78000-14888 6</t>
  </si>
  <si>
    <t>20OZ CAN DRY BLK CHERRY WSH PET LS24</t>
  </si>
  <si>
    <t>0 78000-16040 6</t>
  </si>
  <si>
    <t>Canada Dry Black Cherry Wishniak</t>
  </si>
  <si>
    <t>10OZ CAN DRY BITTER LEMON PET 6PKX4 HC</t>
  </si>
  <si>
    <t>0 78000-00366 6</t>
  </si>
  <si>
    <t>Canada Dry Bitter Lemon</t>
  </si>
  <si>
    <t>2L DT RUBY RED SQUIRT PET LS8</t>
  </si>
  <si>
    <t>0 78000-01946 9</t>
  </si>
  <si>
    <t>2L SUNKIST PINEAPPLE PET LS8</t>
  </si>
  <si>
    <t>0 78000-12446 0</t>
  </si>
  <si>
    <t>2L SUNKIST PINK LEMONADE NCRB PET LS8</t>
  </si>
  <si>
    <t>0 78000-02770 9</t>
  </si>
  <si>
    <t>0 78000-15640 9</t>
  </si>
  <si>
    <t>0 78000-02606 1</t>
  </si>
  <si>
    <t>0 78000-15840 3</t>
  </si>
  <si>
    <t>0 78000-14740 7</t>
  </si>
  <si>
    <t>20OZ VERNORS GINGER ALE PET LS24</t>
  </si>
  <si>
    <t>0 78000-18040 4</t>
  </si>
  <si>
    <t>20OZ DT VERNORS GINGER ALE PET LS24</t>
  </si>
  <si>
    <t>0 78000-18240 8</t>
  </si>
  <si>
    <t>7.5OZ VERNORS GINGER ALE SCN 6PKX4 BB</t>
  </si>
  <si>
    <t>0 78000-00206 5</t>
  </si>
  <si>
    <t>0 78000-00207 2</t>
  </si>
  <si>
    <t>12OZ VERNORS GINGER ALE PET 8PKX3 BB</t>
  </si>
  <si>
    <t>0 78000-18074 9</t>
  </si>
  <si>
    <t>12OZ DT VERNORS GINGER ALE PET 8PKX3 BB</t>
  </si>
  <si>
    <t>0 78000-18274 3</t>
  </si>
  <si>
    <t>Dr Enuf Energy</t>
  </si>
  <si>
    <t>Diet Dr Enuf Energy</t>
  </si>
  <si>
    <t>Dr Enuf Cherry</t>
  </si>
  <si>
    <t>10OZ DR ENUF ENERGY GLS LS24</t>
  </si>
  <si>
    <t>0 94306-00981 2</t>
  </si>
  <si>
    <t>10OZ DT DR ENUF ENERGY GLS LS24</t>
  </si>
  <si>
    <t>0 94306-00881 5</t>
  </si>
  <si>
    <t>10OZ DR ENUF CHERRY GLS LS24</t>
  </si>
  <si>
    <t>0 94306-00781 8</t>
  </si>
  <si>
    <t>12OZ DR ENUF ENERGY GLS LS24</t>
  </si>
  <si>
    <t>0 94306-00983 6</t>
  </si>
  <si>
    <t>12OZ DT DR ENUF ENERGY GLS LS24</t>
  </si>
  <si>
    <t>0 94306-00883 9</t>
  </si>
  <si>
    <t>12OZ DR ENUF ENERGY CHERRY GLS LS24</t>
  </si>
  <si>
    <t>0 94306-00783 2</t>
  </si>
  <si>
    <t>20OZ 7UP PET LS24 PP099</t>
  </si>
  <si>
    <t>20OZ DT 7UP PET LS24 PP099</t>
  </si>
  <si>
    <t>20OZ CHERRY 7UP PET LS24 PP099</t>
  </si>
  <si>
    <t>20OZ A&amp;W ROOT BEER PET LS24 PP099</t>
  </si>
  <si>
    <t>20OZ DT A&amp;W ROOT BEER PET LS24 PP099</t>
  </si>
  <si>
    <t>20OZ A&amp;W CRM SODA PET LS24 PP099</t>
  </si>
  <si>
    <t>20OZ SUNKIST ORANGE PET LS24 PP099</t>
  </si>
  <si>
    <t>20OZ DT SUNKIST ORANGE PET LS24 PP099</t>
  </si>
  <si>
    <t>20OZ SUNKIST STRAWBERRY PET LS24 PP099</t>
  </si>
  <si>
    <t>20OZ SUNKIST GRAPE PET LS24 PP099</t>
  </si>
  <si>
    <t>20OZ SUNKIST PINEAPPLE PET LS24 PP099</t>
  </si>
  <si>
    <t>20OZ SUNKIST LMNDE NCRB PET LS24 PP099</t>
  </si>
  <si>
    <t>20OZ CAN DRY GINGER ALE PET LS24 PP099</t>
  </si>
  <si>
    <t>20OZ SQUIRT PET LS24 PP099</t>
  </si>
  <si>
    <t>20OZ RUBY RED SQUIRT PET LS24 PP099</t>
  </si>
  <si>
    <t>20OZ HAW PUNCH FRT JCY RD PET LS24 PP099</t>
  </si>
  <si>
    <t>20OZ TAHITIAN TRT FRT PCH PET LS24 PP099</t>
  </si>
  <si>
    <t>20OZ CACTUS COOLER PET LS24 PP099</t>
  </si>
  <si>
    <t>20OZ BIG RED PET LS24 PP099</t>
  </si>
  <si>
    <t>20OZ BIG BLUE PET LS24 PP099</t>
  </si>
  <si>
    <t>20OZ RC COLA PET LS24 PP099</t>
  </si>
  <si>
    <t>2L FROZEN RUN BIRCH BEER PET LS8</t>
  </si>
  <si>
    <t>0 18934-01238 9</t>
  </si>
  <si>
    <t>2L GRAF 50/50 PET LS8</t>
  </si>
  <si>
    <t>0 72570-12500 1</t>
  </si>
  <si>
    <t>2L DT GRAF 50/50 PET LS8</t>
  </si>
  <si>
    <t>0 72570-12501 8</t>
  </si>
  <si>
    <t>2L PENN DUTCH BIRCH BEER PET LS8</t>
  </si>
  <si>
    <t>0 71573-00167 1</t>
  </si>
  <si>
    <t>2L DT PENN DUTCH BIRCH BEER PET LS8</t>
  </si>
  <si>
    <t>0 71573-12398 4</t>
  </si>
  <si>
    <t>2L SCHW GINGER ALE PET LS8</t>
  </si>
  <si>
    <t>0 78000-20646 3</t>
  </si>
  <si>
    <t>2L TOM TUCKER MINT GINGER ALE PET LS8</t>
  </si>
  <si>
    <t>0 75230-90002 4</t>
  </si>
  <si>
    <t>Frozen Run Birch Beer</t>
  </si>
  <si>
    <t>Graf 50/50</t>
  </si>
  <si>
    <t>Diet Graf 50/50</t>
  </si>
  <si>
    <t>Tom Tucker Mint Ginger Ale</t>
  </si>
  <si>
    <t>12oz glass bottles</t>
  </si>
  <si>
    <t>12OZ DR PEPPER GLS LS24</t>
  </si>
  <si>
    <t>0 78000-08256 2</t>
  </si>
  <si>
    <t>12OZ DT DR PEPPER GLS LS24</t>
  </si>
  <si>
    <t>12OZ 7UP GLS LS24</t>
  </si>
  <si>
    <t>0 78000-00007 8</t>
  </si>
  <si>
    <t>12OZ A&amp;W ROOT BEER GLS LS24</t>
  </si>
  <si>
    <t>0 78000-00258 4</t>
  </si>
  <si>
    <t>12OZ IBC ROOT BEER SUGR GLS LS24</t>
  </si>
  <si>
    <t>12OZ SUNDROP GLS LS24</t>
  </si>
  <si>
    <t>0 78000-00649 0</t>
  </si>
  <si>
    <t>12OZ SUNKIST ORANGE GLS LS24</t>
  </si>
  <si>
    <t>0 78000-11383 9</t>
  </si>
  <si>
    <t>12OZ BIG RED GLS LS24</t>
  </si>
  <si>
    <t>0 71817-00012 5</t>
  </si>
  <si>
    <t>12OZ BIG RED SUGAR CANE GLS LS24</t>
  </si>
  <si>
    <t>0 71817-79999 9</t>
  </si>
  <si>
    <t>12OZ NEHI PEACH GLS LS24</t>
  </si>
  <si>
    <t>0 29500-26252 7</t>
  </si>
  <si>
    <t>12OZ NEHI GRAPE GLS LS24</t>
  </si>
  <si>
    <t>0 29500-21252 2</t>
  </si>
  <si>
    <t>12OZ NEHI ORANGE GLS LS24</t>
  </si>
  <si>
    <t>0 29500-20252 3</t>
  </si>
  <si>
    <t>12OZ RC COLA SUGR GLS LS24</t>
  </si>
  <si>
    <t>0 78000-00198 3</t>
  </si>
  <si>
    <t>Big Red Sugar Cane</t>
  </si>
  <si>
    <t>12OZ 7UP CN 12PKX2 DEP</t>
  </si>
  <si>
    <t>12OZ 7UP CN 12PKX2 BEARS</t>
  </si>
  <si>
    <t>7Up (Deposit)</t>
  </si>
  <si>
    <t>7Up (No Deposit)</t>
  </si>
  <si>
    <t>7Up (Chicago Bears)</t>
  </si>
  <si>
    <t>12OZ DT 7UP CN 12PKX2 DEP</t>
  </si>
  <si>
    <t>12OZ A&amp;W ROOT BEER CN 12PKX2 DEP</t>
  </si>
  <si>
    <t>A&amp;W Root Beer (No Deposit)</t>
  </si>
  <si>
    <t>A&amp;W Root Beer (Deposit)</t>
  </si>
  <si>
    <t>12OZ DT RITE COLA CN 12PKX2 DEP</t>
  </si>
  <si>
    <t>Diet Rite Cola (Deposit)</t>
  </si>
  <si>
    <t>12OZ DR PEPPER CN 12PKX2 BEARS</t>
  </si>
  <si>
    <t>Dr Pepper (Deposit)</t>
  </si>
  <si>
    <t>Dr Pepper (No Deposit)</t>
  </si>
  <si>
    <t>Dr Pepper (Chicago Bears)</t>
  </si>
  <si>
    <t>12OZ DT DR PEPPER CN 12PKX2 BEARS</t>
  </si>
  <si>
    <t>Diet Dr Pepper (No Deposit)</t>
  </si>
  <si>
    <t>Diet Dr Pepper (Deposit)</t>
  </si>
  <si>
    <t>Diet Dr Pepper (Chicago Bears)</t>
  </si>
  <si>
    <t>12OZ SQUIRT CN 12PKX2 OAKLAND A'S</t>
  </si>
  <si>
    <t>Squirt (Oakland A's)</t>
  </si>
  <si>
    <t>12OZ SUNKIST ORANGE CN 12PKX2 DEP</t>
  </si>
  <si>
    <t>12OZ SUNKIST ORANGE CN 12PKX2 ANA</t>
  </si>
  <si>
    <t>Sunkist Orange (No Deposit)</t>
  </si>
  <si>
    <t>Sunkist Orange (Deposit)</t>
  </si>
  <si>
    <t>Sunkist Orange (Anaheim Ducks)</t>
  </si>
  <si>
    <t>12OZ VERNORS GINGER ALE CN 12PKX2 DEP</t>
  </si>
  <si>
    <t>12OZ DT VERNORS GINGER ALE CN 12PKX2 DEP</t>
  </si>
  <si>
    <t>2L 7UP PET LS8 BOX</t>
  </si>
  <si>
    <t>7Up (Box)</t>
  </si>
  <si>
    <t>2L A&amp;W ROOT BEER PET LS8 BOX</t>
  </si>
  <si>
    <t>A&amp;W Root Beer (Box)</t>
  </si>
  <si>
    <t>2L CAN DRY GINGER ALE PET LS8 BOX</t>
  </si>
  <si>
    <t>Canada Dry Ginger Ale (Box)</t>
  </si>
  <si>
    <t>2L SUNKIST ORANGE PET LS8 BOX</t>
  </si>
  <si>
    <t>Sunkist Orange (Box)</t>
  </si>
  <si>
    <t>2L CAN DRY TONIC WATER PET LS8</t>
  </si>
  <si>
    <t>0 78000-15346 0</t>
  </si>
  <si>
    <t>2L CAN DRY SPRK ORGNL PET LS8</t>
  </si>
  <si>
    <t>0 78000-14746 9</t>
  </si>
  <si>
    <t>2L CAN DRY SPRK LEM LIM PET LS8</t>
  </si>
  <si>
    <t>0 78000-16546 3</t>
  </si>
  <si>
    <t>2L CAN DRY SPRK MND ORNG PET LS8</t>
  </si>
  <si>
    <t>0 78000-15546 4</t>
  </si>
  <si>
    <t>2L CAN DRY SPRK CRANBRY LIME PET LS8</t>
  </si>
  <si>
    <t>0 78000-14246 4</t>
  </si>
  <si>
    <t>2L CAN DRY SPRK RASPBERRY PET LS8</t>
  </si>
  <si>
    <t>0 78000-15446 7</t>
  </si>
  <si>
    <t>Canada Dry Sparkling Cranberry Lime</t>
  </si>
  <si>
    <t>2L DR BROWN CREAM SODA PET LS6</t>
  </si>
  <si>
    <t>0 73970-31107 0</t>
  </si>
  <si>
    <t>2L DT DR BROWN CREAM SODA PET LS6</t>
  </si>
  <si>
    <t>0 73970-31207 7</t>
  </si>
  <si>
    <t>2L DR BROWN BLACK CHERRY PET LS6</t>
  </si>
  <si>
    <t>0 73970-31104 9</t>
  </si>
  <si>
    <t>2L DT DR BROWN BLACK CHERRY PET LS6</t>
  </si>
  <si>
    <t>0 73970-31204 6</t>
  </si>
  <si>
    <t>2L DR BROWN ROOT BEER PET LS6</t>
  </si>
  <si>
    <t>0 73970-31111 7</t>
  </si>
  <si>
    <t>2L CAN DRY SPRK ORGNL PET LS6</t>
  </si>
  <si>
    <t>2L CAN DRY SPRK LEM LIM PET LS6</t>
  </si>
  <si>
    <t>2L CAN DRY SPRK MND ORNG PET LS6</t>
  </si>
  <si>
    <t>2L CAN DRY GINGER ALE PET LS6</t>
  </si>
  <si>
    <t>2L DT CAN DRY GINGER ALE PET LS6</t>
  </si>
  <si>
    <t>Dr. Brown's Root Beer</t>
  </si>
  <si>
    <t>12OZ 7UP PET 8PKX3 BB CWBY</t>
  </si>
  <si>
    <t>12OZ DT 7UP PET 8PKX3 BB CWBY</t>
  </si>
  <si>
    <t>7Up (Dallas Cowboys)</t>
  </si>
  <si>
    <t>12OZ A&amp;W ROOT BEER CN 12PKX2 ANA</t>
  </si>
  <si>
    <t>A&amp;W Root Beer (Anaheim Ducks)</t>
  </si>
  <si>
    <t>12OZ DR PEPPER CN 6PKX4 BPLT HC</t>
  </si>
  <si>
    <t>Dr Pepper (BPLT)</t>
  </si>
  <si>
    <t>12OZ DR PEPPER CN 6PKX4 HER HC</t>
  </si>
  <si>
    <t>0 78000-00977 4</t>
  </si>
  <si>
    <t>Dr Pepper (HER)</t>
  </si>
  <si>
    <t>12OZ DT DR PEPPER CN 6PKX4 BPLT HC</t>
  </si>
  <si>
    <t>Diet Dr Pepper (BPLT)</t>
  </si>
  <si>
    <t>12OZ 7UP CN 6PKX4 BPLT HC</t>
  </si>
  <si>
    <t>7Up (BPLT)</t>
  </si>
  <si>
    <t>12OZ 7UP CN 6PKX4 CHEP HC</t>
  </si>
  <si>
    <t>7Up (Chep)</t>
  </si>
  <si>
    <t>12OZ DT 7UP CN 6PKX4 CHEP HC</t>
  </si>
  <si>
    <t>12OZ A&amp;W ROOT BEER CN 6PKX4 BPLT HC</t>
  </si>
  <si>
    <t>A&amp;W Root Beer (BPLT)</t>
  </si>
  <si>
    <t>12OZ DT A&amp;W ROOT BEER CN 6PKX4 HC</t>
  </si>
  <si>
    <t>0 78000-00256 0</t>
  </si>
  <si>
    <t>CORE Organic 18oz bottles</t>
  </si>
  <si>
    <t>Apple &amp; Eve</t>
  </si>
  <si>
    <t>8OZ APPLE&amp;EVE APPLE JCE PET LS24</t>
  </si>
  <si>
    <t>0 76301-59081 6</t>
  </si>
  <si>
    <t>8OZ APPLE&amp;EVE ORANGE JCE PET LS24</t>
  </si>
  <si>
    <t>0 76301-59082 3</t>
  </si>
  <si>
    <t>8OZ APPLE&amp;EVE FRUIT PUNCH JCE PET LS24</t>
  </si>
  <si>
    <t>0 76301-59083 0</t>
  </si>
  <si>
    <t>16OZ APPLE&amp;EVE APPLE JCE PET LS12</t>
  </si>
  <si>
    <t>0 76301-58001 5</t>
  </si>
  <si>
    <t>16OZ APPLE&amp;EVE ORANGE JCE PET LS12</t>
  </si>
  <si>
    <t>0 76301-58002 2</t>
  </si>
  <si>
    <t>16OZ APPLE&amp;EVE CRANBERRY JCE PET LS12</t>
  </si>
  <si>
    <t>0 76301-58003 9</t>
  </si>
  <si>
    <t>16OZ APPLE&amp;EVE FRUIT PUNCH PET LS12</t>
  </si>
  <si>
    <t>0 76301-58017 6</t>
  </si>
  <si>
    <t>16OZ APPLE&amp;EVE CRNBRY MANGO PET LS12</t>
  </si>
  <si>
    <t>0 76301-58037 4</t>
  </si>
  <si>
    <t>8oz Apple Juice</t>
  </si>
  <si>
    <t>8oz Orange Juice</t>
  </si>
  <si>
    <t>8oz Fruit Punch</t>
  </si>
  <si>
    <t>16oz Apple Juice</t>
  </si>
  <si>
    <t>16oz Orange Juice</t>
  </si>
  <si>
    <t>16oz Cranberry Juice</t>
  </si>
  <si>
    <t>16oz Fruit Punch</t>
  </si>
  <si>
    <t>16oz Cranberry Mango</t>
  </si>
  <si>
    <t>23OZ ARIZ TEA AP HLF&amp;HLF LT CN LS24</t>
  </si>
  <si>
    <t>20OZ ARIZ TEA AP HF&amp;HF LT PET LS24 GLB</t>
  </si>
  <si>
    <t>6 13008-72346 0</t>
  </si>
  <si>
    <t>20oz PET Arnold Palmer Lite Half &amp; Half Tea</t>
  </si>
  <si>
    <t>Arnold Palmer Lite Half &amp; Half Tea (Not Priced)</t>
  </si>
  <si>
    <t>20OZ BIG RED PET LS24 SPTWN</t>
  </si>
  <si>
    <t>20OZ BIG BLUE PET LS24 SPTWN</t>
  </si>
  <si>
    <t>20OZ BIG RED ZERO PET LS24 SPTWN</t>
  </si>
  <si>
    <t>Big Red (SPTWN)</t>
  </si>
  <si>
    <t>Big Red Zero (SPTWN)</t>
  </si>
  <si>
    <t>Big Blue (SPTWN)</t>
  </si>
  <si>
    <t>Canada Dry Mixers 10oz 6 pack glass bottles</t>
  </si>
  <si>
    <t>0 78000-00123 5</t>
  </si>
  <si>
    <t>10OZ DT CAN DRY TON WTR GLS 6PKX4 HC RO</t>
  </si>
  <si>
    <t>0 78000-00131 0</t>
  </si>
  <si>
    <t>10OZ CAN DRY CLUB SODA GLS 6PKX4 HC RO</t>
  </si>
  <si>
    <t>0 78000-00119 8</t>
  </si>
  <si>
    <t>10OZ CAN DRY GINGER ALE GLS 6PKX4 HC RO</t>
  </si>
  <si>
    <t>0 78000-00168 6</t>
  </si>
  <si>
    <t>10OZ CAN DRY BITTER LEM GLS 6PKX4 HC RO</t>
  </si>
  <si>
    <t>0 78000-00139 6</t>
  </si>
  <si>
    <t>10OZ CAN DRY SPRK ORGNL GLS 6PKX4 HC</t>
  </si>
  <si>
    <t>0 78000-00125 9</t>
  </si>
  <si>
    <t>12OZ CAN DRY GNGR ALE PET 8PKX3 BB CWBY</t>
  </si>
  <si>
    <t>Canada Dry Ginger Ale (Dallas Cowboys)</t>
  </si>
  <si>
    <t>Snapple Premium 16oz bottles - 12 count</t>
  </si>
  <si>
    <t>Snapple Premium 16oz bottles - 24 count</t>
  </si>
  <si>
    <t>12oz cans - 24 count</t>
  </si>
  <si>
    <t>2L bottles - 6 count</t>
  </si>
  <si>
    <t>1L CAN DRY GINGER ALE PET LS12</t>
  </si>
  <si>
    <t>1L DT CAN DRY GINGER ALE PET LS12</t>
  </si>
  <si>
    <t>0 78000-14845 9</t>
  </si>
  <si>
    <t>1L CAN DRY TONIC WATER PET LS12</t>
  </si>
  <si>
    <t>1L DT CAN DRY TONIC WATER PET LS12</t>
  </si>
  <si>
    <t>1L CAN DRY CLUB SODA PET LS12</t>
  </si>
  <si>
    <t>1L CAN DRY SPRK ORIGINAL PET LS12</t>
  </si>
  <si>
    <t>0 78000-14745 2</t>
  </si>
  <si>
    <t>1L CAN DRY SPRK LEM LIM PET LS12</t>
  </si>
  <si>
    <t>0 78000-16545 6</t>
  </si>
  <si>
    <t>1L CAN DRY SPRK RASPBERRY PET LS12</t>
  </si>
  <si>
    <t>0 78000-15445 0</t>
  </si>
  <si>
    <t>1L CAN DRY SPRK MND ORNG PET LS12</t>
  </si>
  <si>
    <t>0 78000-15545 7</t>
  </si>
  <si>
    <t>12OZ DR PEPPER PET 8PKX3 BB CWBY</t>
  </si>
  <si>
    <t>12OZ DT DR PEPPER PET 8PKX3 BB CWBY</t>
  </si>
  <si>
    <t>Dr Pepper (Dallas Cowboys)</t>
  </si>
  <si>
    <t>Diet Dr Pepper (Dallas Cowboys)</t>
  </si>
  <si>
    <t>12OZ DR PEPPER PET 8PKX3 PBSK</t>
  </si>
  <si>
    <t>0 78000-08274 6</t>
  </si>
  <si>
    <t>Dr Pepper (PBSK)</t>
  </si>
  <si>
    <t>12OZ DT DR PEPPER PET 8PKX3 PBSK</t>
  </si>
  <si>
    <t>0 78000-08374 3</t>
  </si>
  <si>
    <t>Diet Dr Pepper (PBSK)</t>
  </si>
  <si>
    <t>16OZ DR PEPPER CN LS24 SC PROMO</t>
  </si>
  <si>
    <t>Dr Pepper (Promo)</t>
  </si>
  <si>
    <t>12OZ DR PEPPER CN 24PK CB CWBY</t>
  </si>
  <si>
    <t>12OZ CHERRY DR PEPPER CN 24PK CB CWBY</t>
  </si>
  <si>
    <t>Cherry Dr Pepper (Dallas Cowboys)</t>
  </si>
  <si>
    <t>20OZ FROZEN RUN BIRCH BEER PET LS24</t>
  </si>
  <si>
    <t>0 18934-01230 3</t>
  </si>
  <si>
    <t>Orangina</t>
  </si>
  <si>
    <t>16OZ ORANGINA SPRKLNG ORNG GLS LS24</t>
  </si>
  <si>
    <t>0 50968-10009 0</t>
  </si>
  <si>
    <t>1L ORANGINA SPRKLNG ORNG GLS LS12</t>
  </si>
  <si>
    <t>0 50968-33001 5</t>
  </si>
  <si>
    <t>10OZ ORANGINA SPRKL ORNG GLS 4PKX6 PB</t>
  </si>
  <si>
    <t>0 50968-40010 7</t>
  </si>
  <si>
    <t>1.75L ORANGINA SPRKLNG ORNG PET LS8</t>
  </si>
  <si>
    <t>0 50968-58001 4</t>
  </si>
  <si>
    <t>10oz glass 4 pack</t>
  </si>
  <si>
    <t>1.75L PET bottle</t>
  </si>
  <si>
    <t>1.75L</t>
  </si>
  <si>
    <t>12oz can 6 pack</t>
  </si>
  <si>
    <t>16oz glass bottle</t>
  </si>
  <si>
    <t>1L glass bottle</t>
  </si>
  <si>
    <t>11OZ YOO-HOO CHOCOLATE CN 12PKX2 SK</t>
  </si>
  <si>
    <t>0 72350-02056 4</t>
  </si>
  <si>
    <t>11OZ YOO-HOO CHOCOLATE CN 24PK STKR</t>
  </si>
  <si>
    <t>0 72350-24003 0</t>
  </si>
  <si>
    <t>Snapple Spring Water</t>
  </si>
  <si>
    <t>0.5L SNWATER SPRING PET LS24</t>
  </si>
  <si>
    <t>0 76183-05110 8</t>
  </si>
  <si>
    <t>16OZ SNPREM TEA LEMON PET LS24 NYNJ</t>
  </si>
  <si>
    <t>_NYNJ</t>
  </si>
  <si>
    <t>16OZ DT SNPREM TEA LEMON PET LS24 NYNJ</t>
  </si>
  <si>
    <t>16OZ SNPREM TEA PEACH PET LS24 NYNJ</t>
  </si>
  <si>
    <t>16OZ DT SNPREM TEA PEACH PET LS24 NYNJ</t>
  </si>
  <si>
    <t>16OZ SNPREM TEA MANGO PET LS24 NYNJ</t>
  </si>
  <si>
    <t>16OZ SNPREM APPLE PET LS24 NYNJ</t>
  </si>
  <si>
    <t>16OZ SNPREM KIWI STRWBRY PET LS24 NYNJ</t>
  </si>
  <si>
    <t>20OZ SCHW GINGER ALE PET LS24</t>
  </si>
  <si>
    <t>0 78000-20640 1</t>
  </si>
  <si>
    <t>1L SCHW GINGER ALE PET LS12</t>
  </si>
  <si>
    <t>0 78000-20645 6</t>
  </si>
  <si>
    <t>Schweppes Mixers 1L bottles - 15 count</t>
  </si>
  <si>
    <t>1L SCHW TONIC WATER PET LS15</t>
  </si>
  <si>
    <t>1L DT SCHW TONIC WATER PET LS15</t>
  </si>
  <si>
    <t>1L SCHW CLUB SODA PET LS15</t>
  </si>
  <si>
    <t>Schweppes Mixers 10oz 6 pack glass bottles</t>
  </si>
  <si>
    <t>10OZ SCHW TONIC WATER GLS 6PKX4</t>
  </si>
  <si>
    <t>0 78000-00357 4</t>
  </si>
  <si>
    <t>10OZ SCHW CLUB SODA GLS 6PKX4</t>
  </si>
  <si>
    <t>0 78000-00361 1</t>
  </si>
  <si>
    <t>10OZ SCHW GINGER ALE GLS 6PKX4</t>
  </si>
  <si>
    <t>0 78000-00343 7</t>
  </si>
  <si>
    <t>Dr Pepper Real Sugar</t>
  </si>
  <si>
    <t>12OZ DR PEPPER SUGR GLS 24PK</t>
  </si>
  <si>
    <t>0 78000-80987 9</t>
  </si>
  <si>
    <t>12oz 4 pack glass bottles</t>
  </si>
  <si>
    <t>12OZ DR PEPPER SUGR GLS 4PKX6</t>
  </si>
  <si>
    <t>0 78000-08294 4</t>
  </si>
  <si>
    <t>12OZ IBC CREAM SODA SUGR GLS 4PKX6</t>
  </si>
  <si>
    <t>12OZ CRUSH ORANGE SUGR GLS 4PKX6</t>
  </si>
  <si>
    <t>0 78000-02756 3</t>
  </si>
  <si>
    <t>8oz 6 pack glass bottles</t>
  </si>
  <si>
    <t>8OZ DR PEPPER SUGR GLS 6PKX4</t>
  </si>
  <si>
    <t>0 78000-00335 2</t>
  </si>
  <si>
    <t>12OZ IBC CREAM SODA SUGR GLS LS12</t>
  </si>
  <si>
    <t>Nantucket Nectars 16oz glass bottles - 24 count</t>
  </si>
  <si>
    <t>16OZ NANT NECT APPLE 100% GLS LS24</t>
  </si>
  <si>
    <t>16OZ NANT NECT ORANGE MNG GLS LS24</t>
  </si>
  <si>
    <t>Mistic 16oz glass bottles - 24 count</t>
  </si>
  <si>
    <t>0 89396-15629 4</t>
  </si>
  <si>
    <t>0 89396-15626 3</t>
  </si>
  <si>
    <t>0 89396-15608 9</t>
  </si>
  <si>
    <t>Mango Mania</t>
  </si>
  <si>
    <t>Tropical Haze</t>
  </si>
  <si>
    <t>Lemon Iced Tea</t>
  </si>
  <si>
    <t>Mistic 64oz bottles</t>
  </si>
  <si>
    <t>2pk Orange Carrot</t>
  </si>
  <si>
    <t>64OZ MISTIC HC JC ORNG CRT PET 2PKX4 PR</t>
  </si>
  <si>
    <t>0 89396-64296 4</t>
  </si>
  <si>
    <t>64OZ MISTIC HC JC ORNG CRT PET LS8 PR</t>
  </si>
  <si>
    <t>64OZ MISTIC HC JC MNGO CRT PET LS8 PR</t>
  </si>
  <si>
    <t>0 89396-64297 1</t>
  </si>
  <si>
    <t>64OZ MISTIC HC JC TRP CRT PET LS8 PR</t>
  </si>
  <si>
    <t>0 89396-64290 2</t>
  </si>
  <si>
    <t>Crystal Cascade</t>
  </si>
  <si>
    <t>1Gal</t>
  </si>
  <si>
    <t>20OZ CRYSTAL CASCADE WATER PET LS24</t>
  </si>
  <si>
    <t>8 17748-00004 5</t>
  </si>
  <si>
    <t>1GAL CRYSTAL CASCADE WATER PET LS6</t>
  </si>
  <si>
    <t>8 17748-00006 9</t>
  </si>
  <si>
    <t>Perrier</t>
  </si>
  <si>
    <t>11OZ PERRIER WATER GLS 4PKX6</t>
  </si>
  <si>
    <t>0 74780-00006 2</t>
  </si>
  <si>
    <t>11OZ PERRIER LEMON GLS 4PKX6</t>
  </si>
  <si>
    <t>0 74780-00020 8</t>
  </si>
  <si>
    <t>11OZ PERRIER LIME GLS 4PKX6</t>
  </si>
  <si>
    <t>0 74780-00024 6</t>
  </si>
  <si>
    <t>0.5L PERRIER PET LS24</t>
  </si>
  <si>
    <t>0 74780-00070 3</t>
  </si>
  <si>
    <t>750ML PERRIER GLS LS12</t>
  </si>
  <si>
    <t>0 74780-00005 5</t>
  </si>
  <si>
    <t>750ML PERRIER LEMON GLS LS12</t>
  </si>
  <si>
    <t>0 74780-00007 9</t>
  </si>
  <si>
    <t>750ML PERRIER LIME GLS LS12</t>
  </si>
  <si>
    <t>0 74780-00009 3</t>
  </si>
  <si>
    <t>.5L Water PET</t>
  </si>
  <si>
    <t>15.5oz Chocolate glass bottle</t>
  </si>
  <si>
    <t>12oz Chocolate glass bottle 4 pack</t>
  </si>
  <si>
    <t>11oz Chocolate can</t>
  </si>
  <si>
    <t>11oz Chocolate can 6 pack</t>
  </si>
  <si>
    <t>11oz Chocolate can 12 pack</t>
  </si>
  <si>
    <t>11oz Chocolate drink box</t>
  </si>
  <si>
    <t>11oz Strawberry drink box</t>
  </si>
  <si>
    <t>Poland Spring</t>
  </si>
  <si>
    <t>16OZ POLAND SPRING WATER PET 24PK NYVND</t>
  </si>
  <si>
    <t>0 75720-36541 8</t>
  </si>
  <si>
    <t>16OZ POLAND SPRING WATER PET 24PK NJVND</t>
  </si>
  <si>
    <t>0 75720-19407 0</t>
  </si>
  <si>
    <t>0.5L POLAND SPRING WATER PET LS24 NY</t>
  </si>
  <si>
    <t>0 75720-00081 4</t>
  </si>
  <si>
    <t>0.5L POLAND SPRING WATER PET LS24 NJ</t>
  </si>
  <si>
    <t>0.5L POLAND SPRING LIME SLTZR PET LS24</t>
  </si>
  <si>
    <t>0 75720-44573 8</t>
  </si>
  <si>
    <t>0.5L POLAND SPRING BRY SLTZR PET LS24</t>
  </si>
  <si>
    <t>0 75720-44613 1</t>
  </si>
  <si>
    <t>0.5L POLAND SPRING ORANGE SLTZR PET LS24</t>
  </si>
  <si>
    <t>0 75720-44574 5</t>
  </si>
  <si>
    <t>0.5L POLAND SPRING SLTZR PET LS24</t>
  </si>
  <si>
    <t>0 75720-44576 9</t>
  </si>
  <si>
    <t>24OZ POLAND SPRING WATER PET 28PK NY</t>
  </si>
  <si>
    <t>0 75720-43115 1</t>
  </si>
  <si>
    <t>24OZ POLAND SPRING WATER PET 28PK NJ</t>
  </si>
  <si>
    <t>0 75720-71005 8</t>
  </si>
  <si>
    <t>1L POLAND SPRING WATER PET LS18 NY</t>
  </si>
  <si>
    <t>0 75720-00061 6</t>
  </si>
  <si>
    <t>1L POLAND SPRING WATER PET LS18 NJ</t>
  </si>
  <si>
    <t>24oz</t>
  </si>
  <si>
    <t>20OZ DEJA BLUE PET LS24 FCLGP</t>
  </si>
  <si>
    <t>20oz (FCLGP)</t>
  </si>
  <si>
    <t>20OZ DEJA BLUE PET LS24 PP079</t>
  </si>
  <si>
    <t>0 78000-01197 5</t>
  </si>
  <si>
    <t>20oz (Clear)</t>
  </si>
  <si>
    <t>20oz (Chicago Bears)</t>
  </si>
  <si>
    <t>20oz (Cleveland Browns)</t>
  </si>
  <si>
    <t>79¢ 20oz</t>
  </si>
  <si>
    <t>1L DEJA BLUE PET LS15</t>
  </si>
  <si>
    <t>1L DEJA BLUE PET LS15 FLTCP CLEAR</t>
  </si>
  <si>
    <t>1L DEJA BLUE PET LS15 BEARS</t>
  </si>
  <si>
    <t>1L DEJA BLUE PET LS12 FLTCP</t>
  </si>
  <si>
    <t>1L DEJA BLUE PET LS12 PP099</t>
  </si>
  <si>
    <t>0 78000-01198 2</t>
  </si>
  <si>
    <t>1L (Clear)</t>
  </si>
  <si>
    <t>1L (Chicago Bears)</t>
  </si>
  <si>
    <t>1.5L DEJA BLUE PET LS12 FLTCP</t>
  </si>
  <si>
    <t>0 78000-09263 9</t>
  </si>
  <si>
    <t>12OZ DEJA BLUE PET LS24 FLTCP</t>
  </si>
  <si>
    <t>0 78000-09256 1</t>
  </si>
  <si>
    <t>12OZ DEJA BLUE PET LS24</t>
  </si>
  <si>
    <t>0.5L DEJA BLUE PET 24PK FCLGP</t>
  </si>
  <si>
    <t>0.5L DEJA BLUE PET 24PK BEARS</t>
  </si>
  <si>
    <t>0.5L DEJA BLUE PET 6PKX4 FLTCP</t>
  </si>
  <si>
    <t>0 78000-09242 4</t>
  </si>
  <si>
    <t>0.5L DEJA BLUE PET 12PKX2 FCLGP</t>
  </si>
  <si>
    <t>12OZ DEJA BLUE CN 6PKX4 HC</t>
  </si>
  <si>
    <t>0 78000-09201 1</t>
  </si>
  <si>
    <t xml:space="preserve">CSD - 24 cans - loose </t>
  </si>
  <si>
    <t>CSD - 2L - 6 count</t>
  </si>
  <si>
    <t>CSD - Mexican glass</t>
  </si>
  <si>
    <t>BIB - 5 Gal</t>
  </si>
  <si>
    <t>BIB - 3 Gal</t>
  </si>
  <si>
    <t>BIB - 2.5 Gal</t>
  </si>
  <si>
    <t>BIB - 2 Gal</t>
  </si>
  <si>
    <t>Dr Enuf</t>
  </si>
  <si>
    <t>CSD - 12oz glass</t>
  </si>
  <si>
    <t>CSD - 12oz glass - 4pk</t>
  </si>
  <si>
    <t>CSD - 8oz glass</t>
  </si>
  <si>
    <t>Schweppes - 1L - 15ct</t>
  </si>
  <si>
    <t>Schweppes - 10oz Glass</t>
  </si>
  <si>
    <t>CSD - 1.25L</t>
  </si>
  <si>
    <t>CSD - 12oz 8pk bottles</t>
  </si>
  <si>
    <t>Snapple 16oz - 12ct</t>
  </si>
  <si>
    <t>Snapple 16oz - 24ct</t>
  </si>
  <si>
    <t>Snapple 16oz - 12pk</t>
  </si>
  <si>
    <t>Snapple 11.5oz cans</t>
  </si>
  <si>
    <t>Snapple 8oz 6pk</t>
  </si>
  <si>
    <t>Mistic 16oz - 12ct</t>
  </si>
  <si>
    <t>Mistic 16oz - 24ct</t>
  </si>
  <si>
    <t>Mistic 64oz</t>
  </si>
  <si>
    <t>Nantucket Nectars 16oz</t>
  </si>
  <si>
    <t>Nantucket Nectars 16oz - 24ct</t>
  </si>
  <si>
    <t>Peñafiel - 600ml</t>
  </si>
  <si>
    <t>Peñafiel - 1.5L</t>
  </si>
  <si>
    <t>16oz Original glass bottle</t>
  </si>
  <si>
    <t>16oz Picante glass bottle</t>
  </si>
  <si>
    <t>16oz Preparado glass bottle</t>
  </si>
  <si>
    <t>750mL Water glass bottle</t>
  </si>
  <si>
    <t>750mL Lemon glass bottle</t>
  </si>
  <si>
    <t>750mL Lime glass bottle</t>
  </si>
  <si>
    <t>1.25 Liter PET bottles (12 units per case)</t>
  </si>
  <si>
    <t>CSD - 2L Core (Value)</t>
  </si>
  <si>
    <t>2 Liter PET bottles (6 units per case)</t>
  </si>
  <si>
    <t>12oz glass bottles (24 units per case)</t>
  </si>
  <si>
    <t>12oz glass bottles 4 pack (6 units per case)</t>
  </si>
  <si>
    <t>8oz glass bottles 6 pack (4 units per case)</t>
  </si>
  <si>
    <t>Dr Enuf 10oz glass bottles (24 units per case)</t>
  </si>
  <si>
    <t>Dr Enuf 12oz glass bottles (24 units per case)</t>
  </si>
  <si>
    <t>Canada Dry Sparkling Water 1L bottles</t>
  </si>
  <si>
    <t>Canada Dry Mixers 1L bottles - 12 count</t>
  </si>
  <si>
    <t>CDSW - 8pk cans</t>
  </si>
  <si>
    <t>CDSW - 12pk cans</t>
  </si>
  <si>
    <t>CDSW - .5L 6pks</t>
  </si>
  <si>
    <t>CDSW - 1L</t>
  </si>
  <si>
    <t>CDSW - 2L</t>
  </si>
  <si>
    <t>CD Mixers - 1L</t>
  </si>
  <si>
    <t>CD Mixers - 1L - 12ct</t>
  </si>
  <si>
    <t>CD Mixers - 10oz PET</t>
  </si>
  <si>
    <t>CD Mixers - 10oz Glass</t>
  </si>
  <si>
    <t>Schweppes Mixers 10oz glass bottles 6 pack (4 - 6pk per case)</t>
  </si>
  <si>
    <t>5 Gallon BIB</t>
  </si>
  <si>
    <t>Fountain Syrup Bag-In-Box</t>
  </si>
  <si>
    <t>3 Gallon BIB</t>
  </si>
  <si>
    <t>2.5 Gallon BIB</t>
  </si>
  <si>
    <t>2 Gallon BIB</t>
  </si>
  <si>
    <t>Straight Up Tea 18.5oz bottles</t>
  </si>
  <si>
    <t>Straight Up Tea 18.5oz 6 pack bottles</t>
  </si>
  <si>
    <t>Straight Up Tea 64oz bottles</t>
  </si>
  <si>
    <t>Straight Up Tea 18.5oz PET bottles (12 units per case)</t>
  </si>
  <si>
    <t>Straight Up Tea 18.5oz PET bottles 6 pack (4 - 6pk per case)</t>
  </si>
  <si>
    <t>Straight Up Tea 64oz PET bottles (8 units per case)</t>
  </si>
  <si>
    <t>Snapple 20oz PET bottles (24 units per case)</t>
  </si>
  <si>
    <t>Snapple 16oz PET bottles (24 units per case)</t>
  </si>
  <si>
    <t>Snapple 16oz glass bottles 6 pack (4 - 6pk per case)</t>
  </si>
  <si>
    <t>Snapple 16oz glass bottles 12 pack (2 - 12pk per case)</t>
  </si>
  <si>
    <t>Snapple 11.5oz cans (24 units per case)</t>
  </si>
  <si>
    <t>Snapple 8oz PET bottles 6 pack (4 - 6pk per case)</t>
  </si>
  <si>
    <t>AriZona 23oz cans 99¢ PPD (24 units per case)</t>
  </si>
  <si>
    <t>Mistic 16oz glass bottles (12 units per case)</t>
  </si>
  <si>
    <t>Mistic 16oz glass bottles (24 units per case)</t>
  </si>
  <si>
    <t>Mistic 64oz PET bottles (8 units per case)</t>
  </si>
  <si>
    <t>Nantucket Nectars 16oz glass bottles (12 units per case)</t>
  </si>
  <si>
    <t>Nantucket Nectars 16oz glass bottles (24 units per case)</t>
  </si>
  <si>
    <t>Core Organic 18oz PET bottles (12 units per case)</t>
  </si>
  <si>
    <t>Apple &amp; Eve 16oz PET bottles (12 units per case)</t>
  </si>
  <si>
    <t>Apple &amp; Eve 8oz PET bottles (24 units per case)</t>
  </si>
  <si>
    <t>Orangina 16oz glass bottles (24 units per case)</t>
  </si>
  <si>
    <t>Orangina 1L glass bottles (12 units per case)</t>
  </si>
  <si>
    <t>Orangina 1.75L PET bottles (8 units per case)</t>
  </si>
  <si>
    <t>Orangina 10oz glass bottles 4 pack (6 - 4pk per case)</t>
  </si>
  <si>
    <t>Clamato 32oz PET bottles (12 units per case)</t>
  </si>
  <si>
    <t>Clamato 64oz PET bottles (8 units per case)</t>
  </si>
  <si>
    <t>Venom Energy Drink 16oz cans 99¢ PPD (24 units per case)</t>
  </si>
  <si>
    <t>Vita Coco .5L tetra pack (12 units per case)</t>
  </si>
  <si>
    <t>Vita Coco 330mL tetra pack (12 units per case)</t>
  </si>
  <si>
    <t>Vita Coco .5L tetra pack 4 pack (6 - 4pk per case)</t>
  </si>
  <si>
    <t>.5L 24 pack (Chicago Bears)</t>
  </si>
  <si>
    <t>12oz (Flat Cap)</t>
  </si>
  <si>
    <t>1L (Flat Cap)</t>
  </si>
  <si>
    <t>Deja Blue 12oz PET bottles (24 units per case)</t>
  </si>
  <si>
    <t>Deja Blue 20oz PET bottles 79¢ PPD (24 units per case)</t>
  </si>
  <si>
    <t>Perrier .5L PET bottles (24 units per case)</t>
  </si>
  <si>
    <t>Perrier 750mL glass bottles (12 units per case)</t>
  </si>
  <si>
    <t>Poland Spring 16oz PET bottles 24 pack NY (1 - 24pk per case)</t>
  </si>
  <si>
    <t>Poland Spring 16oz PET bottles 24 pack NJ (1 - 24pk per case)</t>
  </si>
  <si>
    <t>Poland Spring .5L PET bottles NY (24 units per case)</t>
  </si>
  <si>
    <t>Poland Spring .5L PET bottles NJ (24 units per case)</t>
  </si>
  <si>
    <t>Poland Spring Seltzer Water .5L PET bottles (24 units per case)</t>
  </si>
  <si>
    <t>Poland Spring 24oz PET bottles NY (28 units per case)</t>
  </si>
  <si>
    <t>Poland Spring 24oz PET bottles NJ (28 units per case)</t>
  </si>
  <si>
    <t>Poland Spring 1L PET bottles NY (18 units per case)</t>
  </si>
  <si>
    <t>Poland Spring 1L PET bottles NJ (18 units per case)</t>
  </si>
  <si>
    <t>.5L (New York)</t>
  </si>
  <si>
    <t>.5L (New Jersey)</t>
  </si>
  <si>
    <t>24oz (New York)</t>
  </si>
  <si>
    <t>24oz (New Jersey)</t>
  </si>
  <si>
    <t>1L (New York)</t>
  </si>
  <si>
    <t>1L (New Jersey)</t>
  </si>
  <si>
    <t>Crystal Cascade 20oz PET bottles (24 units per case)</t>
  </si>
  <si>
    <t>60mL</t>
  </si>
  <si>
    <t>Mistic 64oz PET bottles 2 pack (4 - 2pk per case)</t>
  </si>
  <si>
    <t>Crystal Cascade 1 Gallon PET jugs (6 units per case)</t>
  </si>
  <si>
    <t>Schweppes Mixers 1L PET bottles (15 units per case)</t>
  </si>
  <si>
    <t>Schweppes Mixers 1L PET bottles (12 units per case)</t>
  </si>
  <si>
    <t>Vita Coco 1L tetra pack (12 units per case)</t>
  </si>
  <si>
    <t>Peñafiel 1.5L PET bottles (12 units per case)</t>
  </si>
  <si>
    <t>Perrier 330mL glass bottles 4 pack (6 - 4pk per case)</t>
  </si>
  <si>
    <t>330mL Water glass bottle 4pk</t>
  </si>
  <si>
    <t>330mL Lemon glass bottle 4pk</t>
  </si>
  <si>
    <t>330mL Lime glass bottle 4pk</t>
  </si>
  <si>
    <t>Core Hydration 1.3L PET bottles (12 units per case)</t>
  </si>
  <si>
    <t>Deja Blue 1L PET bottles (15 units per case)</t>
  </si>
  <si>
    <t>Deja Blue 1L PET bottles (12 units per case)</t>
  </si>
  <si>
    <t>Deja Blue .5L PET bottles 6 pack (4 - 6pk per case)</t>
  </si>
  <si>
    <t>Deja Blue .5L PET bottles 24 pack (1 - 24pk per case)</t>
  </si>
  <si>
    <t>evian Water 1L PET bottles (12 units per case)</t>
  </si>
  <si>
    <t>evian Water 1.5L PET bottles (12 units per case)</t>
  </si>
  <si>
    <t>evian Water 1L PET bottles 6 pack (2 - 6pk per case)</t>
  </si>
  <si>
    <t>evian Water 1.25L PET bottles 4 pack (2 - 4pk per case)</t>
  </si>
  <si>
    <t>Snapple Spring Water .5L PET bottles (24 units per case)</t>
  </si>
  <si>
    <t>12oz glass bottles (12 units per case)</t>
  </si>
  <si>
    <t>AriZona 23oz cans (24 units per case)</t>
  </si>
  <si>
    <t>AriZona 20oz PET bottles (24 units per case)</t>
  </si>
  <si>
    <t>Deja Blue 1.5L PET bottles (12 units per case)</t>
  </si>
  <si>
    <t>Deja Blue 12oz cans 6 pack (4 - 6pk per case)</t>
  </si>
  <si>
    <t>Orangina 12oz cans 6 pack (4 - 6pk per case)</t>
  </si>
  <si>
    <t>Deja Blue 1L PET bottles 99¢ PPD (12 units per case)</t>
  </si>
  <si>
    <t>99¢ 1L</t>
  </si>
  <si>
    <t>12OZ CRUSH ORANGE CN 12PKX2</t>
  </si>
  <si>
    <t>12OZ DT CRUSH ORANGE CN 12PKX2</t>
  </si>
  <si>
    <t>12OZ CRUSH GRAPE CN 12PKX2</t>
  </si>
  <si>
    <t>12OZ CRUSH STRAWBERRY CN 12PKX2</t>
  </si>
  <si>
    <t>Diet Cotton Club Ginger Ale</t>
  </si>
  <si>
    <t>20OZ CRUSH ORANGE PET LS24</t>
  </si>
  <si>
    <t>20OZ CRUSH GRAPE PET LS24</t>
  </si>
  <si>
    <t>20OZ CRUSH STRAWBERRY PET LS24</t>
  </si>
  <si>
    <t>2L DR PEPPER TEN PET LS8</t>
  </si>
  <si>
    <t>2L CRUSH ORANGE PET LS8</t>
  </si>
  <si>
    <t>2L CRUSH GRAPE PET LS8</t>
  </si>
  <si>
    <t>2L CRUSH STRAWBERRY PET LS8</t>
  </si>
  <si>
    <t>0.5L CHERRY DR PEPPER PET 6PKX4</t>
  </si>
  <si>
    <t>0.5L CRUSH ORANGE PET 6PKX4</t>
  </si>
  <si>
    <t>355ML 7UP GLS LS12 MXSGR</t>
  </si>
  <si>
    <t>355ML SQUIRT GLS LS12 MXSGR</t>
  </si>
  <si>
    <t>Stewart’s Fountain Classics 12oz 4 pack glass bottles</t>
  </si>
  <si>
    <t>Dr Enuf glass bottles</t>
  </si>
  <si>
    <t>Canada Dry Sparkling Water 12oz 8 pack cans</t>
  </si>
  <si>
    <t>12OZ CAN DRY SPRK LEMLIM CN 8PKX3 NSDM</t>
  </si>
  <si>
    <t>12OZ CAN DRY SPRK MNDORG CN 8PKX3 NSDM</t>
  </si>
  <si>
    <t>Canada Dry Sparkling Water 12oz 12 pack cans</t>
  </si>
  <si>
    <t>Canada Dry Sparkling Water 2L bottles</t>
  </si>
  <si>
    <t>1L SCHW TONIC WATER PET LS12</t>
  </si>
  <si>
    <t>1L DT SCHW TONIC WATER PET LS12</t>
  </si>
  <si>
    <t>1L SCHW CLUB SODA PET LS12</t>
  </si>
  <si>
    <t>1L SCHW LEMON SOUR PET LS12</t>
  </si>
  <si>
    <t>64OZ SNPREM TEA MANGO PET LS8</t>
  </si>
  <si>
    <t>32OZ SNPREM TEA MANGO PET LS12</t>
  </si>
  <si>
    <t>16OZ SNPREM TEA PEACH PET LS12</t>
  </si>
  <si>
    <t>16OZ DT SNPREM TEA PEACH PET LS12</t>
  </si>
  <si>
    <t>16OZ SNPREM TEA MANGO PET LS12</t>
  </si>
  <si>
    <t>16OZ SNPREM TEA RASPBERRY PET LS12</t>
  </si>
  <si>
    <t>16OZ DT SNPREM TEA RASP PET LS12</t>
  </si>
  <si>
    <t>16OZ SNPREM TEA HLF&amp;HLF LMD PET LS12</t>
  </si>
  <si>
    <t>16OZ DT SNPREM TEA HLF&amp;HLFLMD PET LS12</t>
  </si>
  <si>
    <t>16OZ SNPREM APPLE PET LS12</t>
  </si>
  <si>
    <t>16OZ SNPREM KIWI STRAWBERRY PET LS12</t>
  </si>
  <si>
    <t>16OZ SNPREM MANGO MDNESS PET LS12</t>
  </si>
  <si>
    <t>16OZ SNPREM FRUIT PUNCH PET LS12</t>
  </si>
  <si>
    <t>Snapple 8oz 6 pack bottles</t>
  </si>
  <si>
    <t>AriZona 23oz 99¢ pre-priced cans</t>
  </si>
  <si>
    <t>16OZ MISTIC HC JC ORNG CRT GLS LS12</t>
  </si>
  <si>
    <t>16OZ MISTIC HC JC MNGO CRT GLS LS12</t>
  </si>
  <si>
    <t>16OZ MISTIC HC JC TROP CRT GLS LS12</t>
  </si>
  <si>
    <t>16OZ MISTIC HC JC PCH CRT GLS LS12</t>
  </si>
  <si>
    <t>16OZ MISTIC HC JC STRW BAN GLS LS12</t>
  </si>
  <si>
    <t>16OZ MISTIC HC JC ORNG MNG GLS LS12</t>
  </si>
  <si>
    <t>16OZ MISTIC TRP JC BAH BLBRY GLS LS12</t>
  </si>
  <si>
    <t>16OZ MISTIC TRP JC FRUIT PUNCH GLS LS12</t>
  </si>
  <si>
    <t>16OZ MISTIC TRP JC KIWI STRWB GLS LS12</t>
  </si>
  <si>
    <t>16OZ MISTIC TRP JC GRP STRWB GLS LS12</t>
  </si>
  <si>
    <t>16OZ MISTIC TRP JC PEACH BCH GLS LS12</t>
  </si>
  <si>
    <t>16OZ MISTIC TRP JC LOTTA CLDA GLS LS12</t>
  </si>
  <si>
    <t>16OZ MISTIC TRP JC WTRMLN KIWI GLS LS12</t>
  </si>
  <si>
    <t>16OZ MISTIC TRP JC BAH BLBRY GLS LS24</t>
  </si>
  <si>
    <t>16OZ MISTIC TRP JC FRUIT PUNCH GLS LS24</t>
  </si>
  <si>
    <t>16OZ MISTIC TRP JC KIWI STRWB GLS LS24</t>
  </si>
  <si>
    <t>16OZ MISTIC TRP JC GRP STRWB GLS LS24</t>
  </si>
  <si>
    <t>16OZ MISTIC TRP JC HAZE GLS LS24</t>
  </si>
  <si>
    <t>16OZ MISTIC TRP JC MANGO MANIA GLS LS24</t>
  </si>
  <si>
    <t>16OZ MISTIC TRP JC LOTTA CLDA GLS LS24</t>
  </si>
  <si>
    <t>16OZ MISTIC TRP JC WTRMLN KIWI GLS LS24</t>
  </si>
  <si>
    <t>16OZ MISTIC TRP TEA LEMON GLS LS24</t>
  </si>
  <si>
    <t>16OZ NANT NECT APPLE 100% GLS LS12</t>
  </si>
  <si>
    <t>16OZ NANT NECT ORANGE MNG GLS LS12</t>
  </si>
  <si>
    <t>16OZ NANT NECT ORANGE 100% GLS LS12</t>
  </si>
  <si>
    <t>16OZ NANT NECT CRANBRY GLS LS12</t>
  </si>
  <si>
    <t>16OZ NANT NECT RED PLUM GLS LS12</t>
  </si>
  <si>
    <t>16OZ NANT NECT PIN ORNG GVA GLS LS12</t>
  </si>
  <si>
    <t>16OZ NANT NECT SQZD LEMADE GLS LS12</t>
  </si>
  <si>
    <t>16OZ NANT NECT POMG PEAR GLS LS12</t>
  </si>
  <si>
    <t>16OZ NANT NECT SQZD HALF&amp;HLF GLS LS12</t>
  </si>
  <si>
    <t>16OZ NANT NECT PEACH ORNG 100% GLS LS12</t>
  </si>
  <si>
    <t>16OZ NANT NECT MANGO LEMONADE GLS LS12</t>
  </si>
  <si>
    <t>16OZ NANT NECT POMG CHRY 100% GLS LS12</t>
  </si>
  <si>
    <t>16OZ NANT NECT WTRMLN STRW GLS LS12</t>
  </si>
  <si>
    <t>16OZ NANT NECT GRAPEADE GLS LS12</t>
  </si>
  <si>
    <t>Bai 18oz bottles</t>
  </si>
  <si>
    <t>Bai 18oz 6 pack bottles</t>
  </si>
  <si>
    <t>16OZ XYIENCE CRAN RAZZ CN LS12</t>
  </si>
  <si>
    <t>16OZ XYIENCE MELON MAYHEM CN LS12</t>
  </si>
  <si>
    <t>16OZ XYIENCE TANGERINE CN LS12</t>
  </si>
  <si>
    <t>0.5L VITA COCO PRESSED COCONUT DB LS12</t>
  </si>
  <si>
    <t>18OZ BAI ANTIOXIDANT WATER PET LS12</t>
  </si>
  <si>
    <t>1L BAI ANTIOXIDANT WATER PET LS12</t>
  </si>
  <si>
    <t>20OZ DEJA BLUE PET LS24 FLTCP CLEAR</t>
  </si>
  <si>
    <t>20OZ DEJA BLUE PET LS24 BEARS</t>
  </si>
  <si>
    <t>PRODUCT NUMBER</t>
  </si>
  <si>
    <t>8 13694-02529 3</t>
  </si>
  <si>
    <t>8 19858-02002 9</t>
  </si>
  <si>
    <t>8 34093-00000 1</t>
  </si>
  <si>
    <t>Overview Tab</t>
  </si>
  <si>
    <t>Account/Facility Data Tabs</t>
  </si>
  <si>
    <t>** Use Salient/Margin Minder to get this data</t>
  </si>
  <si>
    <t>Save as an excel file</t>
  </si>
  <si>
    <t>New Item Tab</t>
  </si>
  <si>
    <t>http://www.jonathangrimm.com</t>
  </si>
  <si>
    <t xml:space="preserve">Questions/comments/corrections? </t>
  </si>
  <si>
    <t>Wholesale pricing may not be accurate in your area</t>
  </si>
  <si>
    <t>0.5L DEJA BLUE PET 24PK CLB</t>
  </si>
  <si>
    <t>Filter options: (Columns M-S)</t>
  </si>
  <si>
    <t>While it would have been nice to work off of UPCs instead of Product numbers, there were issues with data validation-</t>
  </si>
  <si>
    <t>Keurig Dr Pepper Pricing sheets</t>
  </si>
  <si>
    <r>
      <t>Under bookmarks, select "</t>
    </r>
    <r>
      <rPr>
        <sz val="11"/>
        <color rgb="FFFF0000"/>
        <rFont val="Calibri"/>
        <family val="2"/>
        <scheme val="minor"/>
      </rPr>
      <t>Product List with UPC</t>
    </r>
    <r>
      <rPr>
        <sz val="11"/>
        <color theme="1"/>
        <rFont val="Calibri"/>
        <family val="2"/>
        <scheme val="minor"/>
      </rPr>
      <t>" (created during Salient training)</t>
    </r>
  </si>
  <si>
    <t>20oz PET bottles value brands (24 units per case)</t>
  </si>
  <si>
    <t>20oz bottles - Value Brands</t>
  </si>
  <si>
    <t>CSD - 20oz value</t>
  </si>
  <si>
    <t>I do not know what or if you carry value brands for 2Ls or 20oz in your facility or account</t>
  </si>
  <si>
    <t xml:space="preserve">As an example: </t>
  </si>
  <si>
    <r>
      <t xml:space="preserve">Only the </t>
    </r>
    <r>
      <rPr>
        <b/>
        <sz val="11"/>
        <color theme="1"/>
        <rFont val="Calibri"/>
        <family val="2"/>
        <scheme val="minor"/>
      </rPr>
      <t>product number</t>
    </r>
    <r>
      <rPr>
        <b/>
        <i/>
        <sz val="11"/>
        <color theme="1"/>
        <rFont val="Calibri"/>
        <family val="2"/>
        <scheme val="minor"/>
      </rPr>
      <t xml:space="preserve"> data column (Column A) is used, the rest can be deleted </t>
    </r>
    <r>
      <rPr>
        <b/>
        <sz val="11"/>
        <color theme="1"/>
        <rFont val="Calibri"/>
        <family val="2"/>
        <scheme val="minor"/>
      </rPr>
      <t>(and should be when sharing this file)</t>
    </r>
  </si>
  <si>
    <t>Set time frame from 100 to 150 days and single period to capture currently selling items</t>
  </si>
  <si>
    <t>CSD - 20oz (Core value)</t>
  </si>
  <si>
    <r>
      <t xml:space="preserve">For the headers, I take the average of the group's prices to make them disappear with the </t>
    </r>
    <r>
      <rPr>
        <b/>
        <sz val="11"/>
        <color theme="1"/>
        <rFont val="Calibri"/>
        <family val="2"/>
        <scheme val="minor"/>
      </rPr>
      <t>Active Pricing</t>
    </r>
    <r>
      <rPr>
        <sz val="11"/>
        <color theme="1"/>
        <rFont val="Calibri"/>
        <family val="2"/>
        <scheme val="minor"/>
      </rPr>
      <t xml:space="preserve"> filter if no items in the group have pricing</t>
    </r>
  </si>
  <si>
    <t>12oz 24 pack cans - Cube</t>
  </si>
  <si>
    <t>/</t>
  </si>
  <si>
    <t>Blended</t>
  </si>
  <si>
    <t>Multiple</t>
  </si>
  <si>
    <t>Blended margins assume a multi-buy rate of:</t>
  </si>
  <si>
    <t>*Also affects blended margin disclaimer at bottom of sheet</t>
  </si>
  <si>
    <t>UPCs Tab / UPCs - Alpha Tab</t>
  </si>
  <si>
    <t>_Footer</t>
  </si>
  <si>
    <t>Notes:</t>
  </si>
  <si>
    <r>
      <t xml:space="preserve">Same goes for the </t>
    </r>
    <r>
      <rPr>
        <b/>
        <sz val="11"/>
        <color theme="1"/>
        <rFont val="Calibri"/>
        <family val="2"/>
        <scheme val="minor"/>
      </rPr>
      <t>Active items</t>
    </r>
    <r>
      <rPr>
        <sz val="11"/>
        <color theme="1"/>
        <rFont val="Calibri"/>
        <family val="2"/>
        <scheme val="minor"/>
      </rPr>
      <t xml:space="preserve"> filters- it's just a COUNTIF on the items in the group</t>
    </r>
  </si>
  <si>
    <t>7Up facilities will need to use Brand filters of "DR PEPPER" and "_LTO - DR PEPPER" to remove all Dr Pepper items</t>
  </si>
  <si>
    <t>2L bottles</t>
  </si>
  <si>
    <t>* See note on Value Brands below</t>
  </si>
  <si>
    <r>
      <t xml:space="preserve">** Note on </t>
    </r>
    <r>
      <rPr>
        <b/>
        <sz val="11"/>
        <color theme="1"/>
        <rFont val="Calibri"/>
        <family val="2"/>
        <scheme val="minor"/>
      </rPr>
      <t>Value Brands</t>
    </r>
    <r>
      <rPr>
        <sz val="11"/>
        <color theme="1"/>
        <rFont val="Calibri"/>
        <family val="2"/>
        <scheme val="minor"/>
      </rPr>
      <t>:</t>
    </r>
  </si>
  <si>
    <t>_LTO - DR PEPPER</t>
  </si>
  <si>
    <r>
      <t xml:space="preserve">The product flow on the </t>
    </r>
    <r>
      <rPr>
        <b/>
        <sz val="11"/>
        <color theme="1"/>
        <rFont val="Calibri"/>
        <family val="2"/>
        <scheme val="minor"/>
      </rPr>
      <t>UPCs Tab</t>
    </r>
    <r>
      <rPr>
        <sz val="11"/>
        <color theme="1"/>
        <rFont val="Calibri"/>
        <family val="2"/>
        <scheme val="minor"/>
      </rPr>
      <t xml:space="preserve"> is aligned with my product catalog (on my jonathangrimm.com website)</t>
    </r>
  </si>
  <si>
    <t>The printable area should automatically adjust to account for the presence (or absence) of multi-buy column data</t>
  </si>
  <si>
    <r>
      <t xml:space="preserve">Print the </t>
    </r>
    <r>
      <rPr>
        <b/>
        <sz val="11"/>
        <color theme="1"/>
        <rFont val="Calibri"/>
        <family val="2"/>
        <scheme val="minor"/>
      </rPr>
      <t>Overview Tab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theme="1"/>
        <rFont val="Calibri"/>
        <family val="2"/>
        <scheme val="minor"/>
      </rPr>
      <t>UPCs Tab</t>
    </r>
    <r>
      <rPr>
        <sz val="11"/>
        <color theme="1"/>
        <rFont val="Calibri"/>
        <family val="2"/>
        <scheme val="minor"/>
      </rPr>
      <t xml:space="preserve"> (as needed) to an Adobe </t>
    </r>
    <r>
      <rPr>
        <b/>
        <sz val="11"/>
        <color theme="1"/>
        <rFont val="Calibri"/>
        <family val="2"/>
        <scheme val="minor"/>
      </rPr>
      <t>.PDF</t>
    </r>
    <r>
      <rPr>
        <sz val="11"/>
        <color theme="1"/>
        <rFont val="Calibri"/>
        <family val="2"/>
        <scheme val="minor"/>
      </rPr>
      <t xml:space="preserve"> for distribution</t>
    </r>
  </si>
  <si>
    <r>
      <t xml:space="preserve">*If adding to the </t>
    </r>
    <r>
      <rPr>
        <b/>
        <sz val="11"/>
        <color theme="1"/>
        <rFont val="Calibri"/>
        <family val="2"/>
        <scheme val="minor"/>
      </rPr>
      <t>New Items Tab</t>
    </r>
    <r>
      <rPr>
        <sz val="11"/>
        <color theme="1"/>
        <rFont val="Calibri"/>
        <family val="2"/>
        <scheme val="minor"/>
      </rPr>
      <t>, use a Product Number of "</t>
    </r>
    <r>
      <rPr>
        <b/>
        <sz val="11"/>
        <color theme="1"/>
        <rFont val="Calibri"/>
        <family val="2"/>
        <scheme val="minor"/>
      </rPr>
      <t>1000xxxx</t>
    </r>
    <r>
      <rPr>
        <sz val="11"/>
        <color theme="1"/>
        <rFont val="Calibri"/>
        <family val="2"/>
        <scheme val="minor"/>
      </rPr>
      <t>" for items that do not have one assigned yet</t>
    </r>
  </si>
  <si>
    <r>
      <t xml:space="preserve">List of all current items, in case you need to manually add an item to </t>
    </r>
    <r>
      <rPr>
        <b/>
        <sz val="11"/>
        <color theme="1"/>
        <rFont val="Calibri"/>
        <family val="2"/>
        <scheme val="minor"/>
      </rPr>
      <t>Account Data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Facility Data</t>
    </r>
    <r>
      <rPr>
        <sz val="11"/>
        <color theme="1"/>
        <rFont val="Calibri"/>
        <family val="2"/>
        <scheme val="minor"/>
      </rPr>
      <t xml:space="preserve"> lists</t>
    </r>
  </si>
  <si>
    <r>
      <t xml:space="preserve">Making a copy of an item in the </t>
    </r>
    <r>
      <rPr>
        <b/>
        <sz val="11"/>
        <color theme="1"/>
        <rFont val="Calibri"/>
        <family val="2"/>
        <scheme val="minor"/>
      </rPr>
      <t>middle</t>
    </r>
    <r>
      <rPr>
        <sz val="11"/>
        <color theme="1"/>
        <rFont val="Calibri"/>
        <family val="2"/>
        <scheme val="minor"/>
      </rPr>
      <t xml:space="preserve"> of a group and editing the name/info works better than pasting at the top or bottom- </t>
    </r>
  </si>
  <si>
    <r>
      <rPr>
        <b/>
        <sz val="11"/>
        <color theme="1"/>
        <rFont val="Calibri"/>
        <family val="2"/>
        <scheme val="minor"/>
      </rPr>
      <t>Brands</t>
    </r>
    <r>
      <rPr>
        <sz val="11"/>
        <color theme="1"/>
        <rFont val="Calibri"/>
        <family val="2"/>
        <scheme val="minor"/>
      </rPr>
      <t>- Notable brands are entered to allow for inclusion/exclusion (i.e. Dr Pepper for 7up territories, Crush for areas that don't carry it, etc.)</t>
    </r>
  </si>
  <si>
    <r>
      <rPr>
        <b/>
        <sz val="11"/>
        <color theme="1"/>
        <rFont val="Calibri"/>
        <family val="2"/>
        <scheme val="minor"/>
      </rPr>
      <t>Packages</t>
    </r>
    <r>
      <rPr>
        <sz val="11"/>
        <color theme="1"/>
        <rFont val="Calibri"/>
        <family val="2"/>
        <scheme val="minor"/>
      </rPr>
      <t>- Allows filtering for a package that is available, but not sold to that store or chain (or if you only want certain packages listed- just select those packages and "_Footer" as well)</t>
    </r>
  </si>
  <si>
    <r>
      <t xml:space="preserve">Pricing entered on the </t>
    </r>
    <r>
      <rPr>
        <b/>
        <sz val="11"/>
        <color theme="1"/>
        <rFont val="Calibri"/>
        <family val="2"/>
        <scheme val="minor"/>
      </rPr>
      <t>Overview Tab</t>
    </r>
    <r>
      <rPr>
        <sz val="11"/>
        <color theme="1"/>
        <rFont val="Calibri"/>
        <family val="2"/>
        <scheme val="minor"/>
      </rPr>
      <t xml:space="preserve"> changes the individual item pricing entries on the </t>
    </r>
    <r>
      <rPr>
        <b/>
        <sz val="11"/>
        <color theme="1"/>
        <rFont val="Calibri"/>
        <family val="2"/>
        <scheme val="minor"/>
      </rPr>
      <t>UPCs Tabs</t>
    </r>
  </si>
  <si>
    <r>
      <t xml:space="preserve">Pricing data is pulled from the </t>
    </r>
    <r>
      <rPr>
        <b/>
        <sz val="11"/>
        <color theme="1"/>
        <rFont val="Calibri"/>
        <family val="2"/>
        <scheme val="minor"/>
      </rPr>
      <t>Overview Tab</t>
    </r>
  </si>
  <si>
    <r>
      <rPr>
        <b/>
        <sz val="11"/>
        <color theme="1"/>
        <rFont val="Calibri"/>
        <family val="2"/>
        <scheme val="minor"/>
      </rPr>
      <t>Account Active</t>
    </r>
    <r>
      <rPr>
        <sz val="11"/>
        <color theme="1"/>
        <rFont val="Calibri"/>
        <family val="2"/>
        <scheme val="minor"/>
      </rPr>
      <t xml:space="preserve">- only items from the </t>
    </r>
    <r>
      <rPr>
        <b/>
        <sz val="11"/>
        <color theme="1"/>
        <rFont val="Calibri"/>
        <family val="2"/>
        <scheme val="minor"/>
      </rPr>
      <t>Account Data Tab</t>
    </r>
    <r>
      <rPr>
        <sz val="11"/>
        <color theme="1"/>
        <rFont val="Calibri"/>
        <family val="2"/>
        <scheme val="minor"/>
      </rPr>
      <t xml:space="preserve"> are included</t>
    </r>
  </si>
  <si>
    <r>
      <rPr>
        <b/>
        <sz val="11"/>
        <color theme="1"/>
        <rFont val="Calibri"/>
        <family val="2"/>
        <scheme val="minor"/>
      </rPr>
      <t>New items</t>
    </r>
    <r>
      <rPr>
        <sz val="11"/>
        <color theme="1"/>
        <rFont val="Calibri"/>
        <family val="2"/>
        <scheme val="minor"/>
      </rPr>
      <t xml:space="preserve">- only items from the </t>
    </r>
    <r>
      <rPr>
        <b/>
        <sz val="11"/>
        <color theme="1"/>
        <rFont val="Calibri"/>
        <family val="2"/>
        <scheme val="minor"/>
      </rPr>
      <t>New Items Tab</t>
    </r>
    <r>
      <rPr>
        <sz val="11"/>
        <color theme="1"/>
        <rFont val="Calibri"/>
        <family val="2"/>
        <scheme val="minor"/>
      </rPr>
      <t xml:space="preserve"> are included</t>
    </r>
  </si>
  <si>
    <r>
      <rPr>
        <b/>
        <sz val="11"/>
        <color theme="1"/>
        <rFont val="Calibri"/>
        <family val="2"/>
        <scheme val="minor"/>
      </rPr>
      <t>Account Active + New</t>
    </r>
    <r>
      <rPr>
        <sz val="11"/>
        <color theme="1"/>
        <rFont val="Calibri"/>
        <family val="2"/>
        <scheme val="minor"/>
      </rPr>
      <t xml:space="preserve">- shows items that occur in either </t>
    </r>
    <r>
      <rPr>
        <b/>
        <sz val="11"/>
        <color theme="1"/>
        <rFont val="Calibri"/>
        <family val="2"/>
        <scheme val="minor"/>
      </rPr>
      <t>Account Data Tab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New Items Tab</t>
    </r>
  </si>
  <si>
    <r>
      <t xml:space="preserve">** If you do not have Salient access, just manually enter "DNC" (or whatever you choose) as a PACKAGE value for </t>
    </r>
    <r>
      <rPr>
        <i/>
        <u/>
        <sz val="11"/>
        <color theme="1"/>
        <rFont val="Calibri"/>
        <family val="2"/>
        <scheme val="minor"/>
      </rPr>
      <t>individual items</t>
    </r>
    <r>
      <rPr>
        <i/>
        <sz val="11"/>
        <color theme="1"/>
        <rFont val="Calibri"/>
        <family val="2"/>
        <scheme val="minor"/>
      </rPr>
      <t xml:space="preserve"> you do not want to include in the final list </t>
    </r>
  </si>
  <si>
    <r>
      <t xml:space="preserve">Load your excel file and copy at a minimum the first data column (containing product numbers) and paste it to the appropriate </t>
    </r>
    <r>
      <rPr>
        <b/>
        <sz val="11"/>
        <color theme="1"/>
        <rFont val="Calibri"/>
        <family val="2"/>
        <scheme val="minor"/>
      </rPr>
      <t>Account Data/Facility Data Tab</t>
    </r>
  </si>
  <si>
    <r>
      <t xml:space="preserve">If an </t>
    </r>
    <r>
      <rPr>
        <u/>
        <sz val="11"/>
        <color theme="1"/>
        <rFont val="Calibri"/>
        <family val="2"/>
        <scheme val="minor"/>
      </rPr>
      <t>account</t>
    </r>
    <r>
      <rPr>
        <sz val="11"/>
        <color theme="1"/>
        <rFont val="Calibri"/>
        <family val="2"/>
        <scheme val="minor"/>
      </rPr>
      <t xml:space="preserve"> will not be carrying that product, just move the Product Number to Column C</t>
    </r>
  </si>
  <si>
    <t>Only the product number column is used</t>
  </si>
  <si>
    <r>
      <t xml:space="preserve">If your </t>
    </r>
    <r>
      <rPr>
        <u/>
        <sz val="11"/>
        <color theme="1"/>
        <rFont val="Calibri"/>
        <family val="2"/>
        <scheme val="minor"/>
      </rPr>
      <t>facility</t>
    </r>
    <r>
      <rPr>
        <sz val="11"/>
        <color theme="1"/>
        <rFont val="Calibri"/>
        <family val="2"/>
        <scheme val="minor"/>
      </rPr>
      <t xml:space="preserve"> will not be carrying an item, you can either delete that row or move the Product Number to Column C</t>
    </r>
  </si>
  <si>
    <r>
      <t xml:space="preserve">You will need to tweak the entries under the "20oz - Value Brands" and "2L - Value Brands" on the </t>
    </r>
    <r>
      <rPr>
        <b/>
        <sz val="11"/>
        <color theme="1"/>
        <rFont val="Calibri"/>
        <family val="2"/>
        <scheme val="minor"/>
      </rPr>
      <t>UPCs Tab</t>
    </r>
  </si>
  <si>
    <r>
      <t xml:space="preserve">If your facility does not consider those brands in the value category, you will need to rename the PACKAGES column data for those individual </t>
    </r>
    <r>
      <rPr>
        <b/>
        <sz val="11"/>
        <color theme="1"/>
        <rFont val="Calibri"/>
        <family val="2"/>
        <scheme val="minor"/>
      </rPr>
      <t>"2L bottles"</t>
    </r>
    <r>
      <rPr>
        <sz val="11"/>
        <color theme="1"/>
        <rFont val="Calibri"/>
        <family val="2"/>
        <scheme val="minor"/>
      </rPr>
      <t xml:space="preserve"> back to "CSD - 2L Core"</t>
    </r>
  </si>
  <si>
    <t>Excel has a bad habit of adjusting the data ranges and missing what you've just entered..double check the data ranges in those item's group headers (Columns O through S)</t>
  </si>
  <si>
    <t xml:space="preserve">          20028335</t>
  </si>
  <si>
    <t xml:space="preserve">1L EVIAN SPRING WTR PET LS12            </t>
  </si>
  <si>
    <t xml:space="preserve">          20028089</t>
  </si>
  <si>
    <t xml:space="preserve">8OZ PEETS BLACK &amp; WHITE COFFEE CN LS12  </t>
  </si>
  <si>
    <t xml:space="preserve">          20028337</t>
  </si>
  <si>
    <t xml:space="preserve">500ML EVIAN SPRING WTR PET LS24         </t>
  </si>
  <si>
    <t xml:space="preserve">          20028088</t>
  </si>
  <si>
    <t xml:space="preserve">8OZ PEETS MOCHA COFFEE CN LS12          </t>
  </si>
  <si>
    <t xml:space="preserve">          20028331</t>
  </si>
  <si>
    <t xml:space="preserve">500ML EVIAN SPRING WTR PET 6PKX4        </t>
  </si>
  <si>
    <t>DISCONTINUED ITEMS</t>
  </si>
  <si>
    <t>Be aware using brand filters (like DR PEPPER) might remove all remaining items in a group- check for these instances and use the PACKAGES filter to remove the header</t>
  </si>
  <si>
    <t>Discontinued Tab</t>
  </si>
  <si>
    <t>List of discontinued items for your facility/area</t>
  </si>
  <si>
    <t>Discontinued items list by area- there are two columns of data (product number and description) for each area named at the top</t>
  </si>
  <si>
    <t>Vita Coco drink boxes</t>
  </si>
  <si>
    <t>VitaCoco - Header</t>
  </si>
  <si>
    <t>Examples include: Independent Grocery, Independent Convenience, Tier 1 CMA Convenience, Tel-sell, On-Premise, Hy-Vees, Krogers, etc.)</t>
  </si>
  <si>
    <r>
      <rPr>
        <u/>
        <sz val="11"/>
        <color theme="1"/>
        <rFont val="Calibri"/>
        <family val="2"/>
        <scheme val="minor"/>
      </rPr>
      <t>Plains Region</t>
    </r>
    <r>
      <rPr>
        <sz val="11"/>
        <color theme="1"/>
        <rFont val="Calibri"/>
        <family val="2"/>
        <scheme val="minor"/>
      </rPr>
      <t xml:space="preserve"> data is included as an example</t>
    </r>
  </si>
  <si>
    <r>
      <t xml:space="preserve">Copy the relevant columns to the </t>
    </r>
    <r>
      <rPr>
        <b/>
        <sz val="11"/>
        <color theme="1"/>
        <rFont val="Calibri"/>
        <family val="2"/>
        <scheme val="minor"/>
      </rPr>
      <t>Discontinued Tab</t>
    </r>
    <r>
      <rPr>
        <sz val="11"/>
        <color theme="1"/>
        <rFont val="Calibri"/>
        <family val="2"/>
        <scheme val="minor"/>
      </rPr>
      <t xml:space="preserve">, making sure to just </t>
    </r>
    <r>
      <rPr>
        <b/>
        <i/>
        <sz val="11"/>
        <color theme="1"/>
        <rFont val="Calibri"/>
        <family val="2"/>
        <scheme val="minor"/>
      </rPr>
      <t>paste</t>
    </r>
    <r>
      <rPr>
        <sz val="11"/>
        <color theme="1"/>
        <rFont val="Calibri"/>
        <family val="2"/>
        <scheme val="minor"/>
      </rPr>
      <t xml:space="preserve"> the data,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insert columns</t>
    </r>
  </si>
  <si>
    <t>At this point you may wish to use the PACKAGES filter instead of account specific info to show the retailer other available products</t>
  </si>
  <si>
    <r>
      <t xml:space="preserve">Entering a </t>
    </r>
    <r>
      <rPr>
        <u/>
        <sz val="11"/>
        <color theme="1"/>
        <rFont val="Calibri"/>
        <family val="2"/>
        <scheme val="minor"/>
      </rPr>
      <t>dollar amount</t>
    </r>
    <r>
      <rPr>
        <sz val="11"/>
        <color theme="1"/>
        <rFont val="Calibri"/>
        <family val="2"/>
        <scheme val="minor"/>
      </rPr>
      <t xml:space="preserve"> in Column M creates a border, activates the Multiple/Blended Gross Margin header, and adjusts printable area</t>
    </r>
  </si>
  <si>
    <t>You may want to delete the individual rows of items that are discontinued (and headers if all items)- the remaining formula ranges should adjust</t>
  </si>
  <si>
    <t>The text of these columns is just white- change the font color to black to edit BRANDS or PACKAGES entries as needed</t>
  </si>
  <si>
    <r>
      <t xml:space="preserve">**Just paste values- do </t>
    </r>
    <r>
      <rPr>
        <b/>
        <u/>
        <sz val="11"/>
        <color theme="1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"Insert Copied Cells" as this may cause Excel to incorrectly adjust its formula ranges</t>
    </r>
  </si>
  <si>
    <r>
      <rPr>
        <b/>
        <sz val="11"/>
        <color theme="1"/>
        <rFont val="Calibri"/>
        <family val="2"/>
        <scheme val="minor"/>
      </rPr>
      <t>Discontinued Items</t>
    </r>
    <r>
      <rPr>
        <sz val="11"/>
        <color theme="1"/>
        <rFont val="Calibri"/>
        <family val="2"/>
        <scheme val="minor"/>
      </rPr>
      <t xml:space="preserve">- only items from the </t>
    </r>
    <r>
      <rPr>
        <b/>
        <sz val="11"/>
        <color theme="1"/>
        <rFont val="Calibri"/>
        <family val="2"/>
        <scheme val="minor"/>
      </rPr>
      <t>Discontinued Tab</t>
    </r>
    <r>
      <rPr>
        <sz val="11"/>
        <color theme="1"/>
        <rFont val="Calibri"/>
        <family val="2"/>
        <scheme val="minor"/>
      </rPr>
      <t xml:space="preserve"> are included (or excluded)</t>
    </r>
  </si>
  <si>
    <r>
      <t xml:space="preserve">**Conditional formatting changes an item's information to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if it appears on the </t>
    </r>
    <r>
      <rPr>
        <b/>
        <sz val="11"/>
        <color theme="1"/>
        <rFont val="Calibri"/>
        <family val="2"/>
        <scheme val="minor"/>
      </rPr>
      <t>New Items Tab</t>
    </r>
    <r>
      <rPr>
        <sz val="11"/>
        <color theme="1"/>
        <rFont val="Calibri"/>
        <family val="2"/>
        <scheme val="minor"/>
      </rPr>
      <t>, and highlights</t>
    </r>
    <r>
      <rPr>
        <sz val="11"/>
        <rFont val="Calibri"/>
        <family val="2"/>
        <scheme val="minor"/>
      </rPr>
      <t xml:space="preserve"> yellow</t>
    </r>
    <r>
      <rPr>
        <sz val="11"/>
        <color theme="1"/>
        <rFont val="Calibri"/>
        <family val="2"/>
        <scheme val="minor"/>
      </rPr>
      <t xml:space="preserve"> if it is on the </t>
    </r>
    <r>
      <rPr>
        <b/>
        <sz val="11"/>
        <color theme="1"/>
        <rFont val="Calibri"/>
        <family val="2"/>
        <scheme val="minor"/>
      </rPr>
      <t>Discontinued Items Tab</t>
    </r>
  </si>
  <si>
    <t>You may wish to copy more columns to sort on sales, then delete rows that contain items no longer carried</t>
  </si>
  <si>
    <r>
      <t xml:space="preserve">The </t>
    </r>
    <r>
      <rPr>
        <b/>
        <sz val="11"/>
        <color theme="1"/>
        <rFont val="Calibri"/>
        <family val="2"/>
        <scheme val="minor"/>
      </rPr>
      <t>UPCs - Alpha Tab</t>
    </r>
    <r>
      <rPr>
        <sz val="11"/>
        <color theme="1"/>
        <rFont val="Calibri"/>
        <family val="2"/>
        <scheme val="minor"/>
      </rPr>
      <t xml:space="preserve"> is arranged alphabetically by brand (after  CSDs), then by size from smallest to largest, then multi-packs</t>
    </r>
  </si>
  <si>
    <t>At this time Club packages are not included</t>
  </si>
  <si>
    <t>If you don't want the New Items information to appear in red or discontinued items highlighted in yellow, just delete the conditional formatting rule</t>
  </si>
  <si>
    <t>Stewarts 12oz glass bottles (24 units per case)</t>
  </si>
  <si>
    <t>Stewart’s Fountain Classics 12oz glass bottles</t>
  </si>
  <si>
    <t>Stewart's - singles</t>
  </si>
  <si>
    <t>Stewart's - 4pk</t>
  </si>
  <si>
    <r>
      <t xml:space="preserve">Individual item </t>
    </r>
    <r>
      <rPr>
        <u/>
        <sz val="11"/>
        <color theme="1"/>
        <rFont val="Calibri"/>
        <family val="2"/>
        <scheme val="minor"/>
      </rPr>
      <t>Gross Margin %</t>
    </r>
    <r>
      <rPr>
        <sz val="11"/>
        <color theme="1"/>
        <rFont val="Calibri"/>
        <family val="2"/>
        <scheme val="minor"/>
      </rPr>
      <t xml:space="preserve"> is reported- any </t>
    </r>
    <r>
      <rPr>
        <u/>
        <sz val="11"/>
        <color theme="1"/>
        <rFont val="Calibri"/>
        <family val="2"/>
        <scheme val="minor"/>
      </rPr>
      <t>Blended Margin %</t>
    </r>
    <r>
      <rPr>
        <sz val="11"/>
        <color theme="1"/>
        <rFont val="Calibri"/>
        <family val="2"/>
        <scheme val="minor"/>
      </rPr>
      <t xml:space="preserve"> is only reflected on the </t>
    </r>
    <r>
      <rPr>
        <b/>
        <sz val="11"/>
        <color theme="1"/>
        <rFont val="Calibri"/>
        <family val="2"/>
        <scheme val="minor"/>
      </rPr>
      <t>Overview Tab</t>
    </r>
  </si>
  <si>
    <t>0 98794-00026 9</t>
  </si>
  <si>
    <t>0 98794-50500 9</t>
  </si>
  <si>
    <t>0 98794-00027 6</t>
  </si>
  <si>
    <t>0 98794-80500 0</t>
  </si>
  <si>
    <t>0 98794-00028 3</t>
  </si>
  <si>
    <t>Black Cherry Wishniak</t>
  </si>
  <si>
    <t>0 98794-00029 0</t>
  </si>
  <si>
    <t>0 98794-00030 6</t>
  </si>
  <si>
    <t>0 98794-00031 3</t>
  </si>
  <si>
    <t>0 98794-00033 7</t>
  </si>
  <si>
    <t>0 98794-00032 0</t>
  </si>
  <si>
    <r>
      <t xml:space="preserve">Enter appropriate </t>
    </r>
    <r>
      <rPr>
        <u/>
        <sz val="11"/>
        <color theme="1"/>
        <rFont val="Calibri"/>
        <family val="2"/>
        <scheme val="minor"/>
      </rPr>
      <t>Wholesale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Case Cost</t>
    </r>
    <r>
      <rPr>
        <sz val="11"/>
        <color theme="1"/>
        <rFont val="Calibri"/>
        <family val="2"/>
        <scheme val="minor"/>
      </rPr>
      <t xml:space="preserve">, and </t>
    </r>
    <r>
      <rPr>
        <u/>
        <sz val="11"/>
        <color theme="1"/>
        <rFont val="Calibri"/>
        <family val="2"/>
        <scheme val="minor"/>
      </rPr>
      <t>Suggested Retail</t>
    </r>
    <r>
      <rPr>
        <sz val="11"/>
        <color theme="1"/>
        <rFont val="Calibri"/>
        <family val="2"/>
        <scheme val="minor"/>
      </rPr>
      <t xml:space="preserve"> pricing for each product group-  unit price, allowance, and margin % values are calculated based on your entries</t>
    </r>
  </si>
  <si>
    <r>
      <t xml:space="preserve">*Clear existing data </t>
    </r>
    <r>
      <rPr>
        <b/>
        <i/>
        <sz val="11"/>
        <color theme="1"/>
        <rFont val="Calibri"/>
        <family val="2"/>
        <scheme val="minor"/>
      </rPr>
      <t>before</t>
    </r>
    <r>
      <rPr>
        <b/>
        <sz val="11"/>
        <color theme="1"/>
        <rFont val="Calibri"/>
        <family val="2"/>
        <scheme val="minor"/>
      </rPr>
      <t xml:space="preserve"> pasting new to avoid overlap- select the </t>
    </r>
    <r>
      <rPr>
        <b/>
        <u/>
        <sz val="11"/>
        <color theme="1"/>
        <rFont val="Calibri"/>
        <family val="2"/>
        <scheme val="minor"/>
      </rPr>
      <t>cells</t>
    </r>
    <r>
      <rPr>
        <b/>
        <sz val="11"/>
        <color theme="1"/>
        <rFont val="Calibri"/>
        <family val="2"/>
        <scheme val="minor"/>
      </rPr>
      <t xml:space="preserve"> and use the "Delete" key (do </t>
    </r>
    <r>
      <rPr>
        <b/>
        <u/>
        <sz val="11"/>
        <color theme="1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delete rows as this may cause Excel to incorrectly adjust its formula ranges)</t>
    </r>
  </si>
  <si>
    <r>
      <t xml:space="preserve">For </t>
    </r>
    <r>
      <rPr>
        <u/>
        <sz val="11"/>
        <color theme="1"/>
        <rFont val="Calibri"/>
        <family val="2"/>
        <scheme val="minor"/>
      </rPr>
      <t>account data</t>
    </r>
    <r>
      <rPr>
        <sz val="11"/>
        <color theme="1"/>
        <rFont val="Calibri"/>
        <family val="2"/>
        <scheme val="minor"/>
      </rPr>
      <t>, select either the chain or specific account(s) using the "By:" or adding to your data path</t>
    </r>
  </si>
  <si>
    <r>
      <t xml:space="preserve">For </t>
    </r>
    <r>
      <rPr>
        <u/>
        <sz val="11"/>
        <color theme="1"/>
        <rFont val="Calibri"/>
        <family val="2"/>
        <scheme val="minor"/>
      </rPr>
      <t>facility data</t>
    </r>
    <r>
      <rPr>
        <sz val="11"/>
        <color theme="1"/>
        <rFont val="Calibri"/>
        <family val="2"/>
        <scheme val="minor"/>
      </rPr>
      <t>, select the appropriate area/branch using the "By:" or adding to your data path</t>
    </r>
  </si>
  <si>
    <r>
      <t xml:space="preserve">On the </t>
    </r>
    <r>
      <rPr>
        <b/>
        <sz val="11"/>
        <color theme="1"/>
        <rFont val="Calibri"/>
        <family val="2"/>
        <scheme val="minor"/>
      </rPr>
      <t>UPCs Tabs-</t>
    </r>
    <r>
      <rPr>
        <sz val="11"/>
        <color theme="1"/>
        <rFont val="Calibri"/>
        <family val="2"/>
        <scheme val="minor"/>
      </rPr>
      <t xml:space="preserve"> the </t>
    </r>
    <r>
      <rPr>
        <u/>
        <sz val="11"/>
        <color theme="1"/>
        <rFont val="Calibri"/>
        <family val="2"/>
        <scheme val="minor"/>
      </rPr>
      <t>Wholesale</t>
    </r>
    <r>
      <rPr>
        <sz val="11"/>
        <color theme="1"/>
        <rFont val="Calibri"/>
        <family val="2"/>
        <scheme val="minor"/>
      </rPr>
      <t xml:space="preserve">, </t>
    </r>
    <r>
      <rPr>
        <u/>
        <sz val="11"/>
        <color theme="1"/>
        <rFont val="Calibri"/>
        <family val="2"/>
        <scheme val="minor"/>
      </rPr>
      <t>Case Cost</t>
    </r>
    <r>
      <rPr>
        <sz val="11"/>
        <color theme="1"/>
        <rFont val="Calibri"/>
        <family val="2"/>
        <scheme val="minor"/>
      </rPr>
      <t xml:space="preserve">, and </t>
    </r>
    <r>
      <rPr>
        <u/>
        <sz val="11"/>
        <color theme="1"/>
        <rFont val="Calibri"/>
        <family val="2"/>
        <scheme val="minor"/>
      </rPr>
      <t>SRP</t>
    </r>
    <r>
      <rPr>
        <sz val="11"/>
        <color theme="1"/>
        <rFont val="Calibri"/>
        <family val="2"/>
        <scheme val="minor"/>
      </rPr>
      <t xml:space="preserve"> are hard linked to their respective product group cells on the </t>
    </r>
    <r>
      <rPr>
        <b/>
        <sz val="11"/>
        <color theme="1"/>
        <rFont val="Calibri"/>
        <family val="2"/>
        <scheme val="minor"/>
      </rPr>
      <t>Overview Tab</t>
    </r>
  </si>
  <si>
    <r>
      <t xml:space="preserve">**Be aware using the </t>
    </r>
    <r>
      <rPr>
        <b/>
        <sz val="11"/>
        <color theme="1"/>
        <rFont val="Calibri"/>
        <family val="2"/>
        <scheme val="minor"/>
      </rPr>
      <t>Discontinued Items</t>
    </r>
    <r>
      <rPr>
        <sz val="11"/>
        <color theme="1"/>
        <rFont val="Calibri"/>
        <family val="2"/>
        <scheme val="minor"/>
      </rPr>
      <t xml:space="preserve"> filter might remove </t>
    </r>
    <r>
      <rPr>
        <u/>
        <sz val="11"/>
        <color theme="1"/>
        <rFont val="Calibri"/>
        <family val="2"/>
        <scheme val="minor"/>
      </rPr>
      <t>all remaining items in a group</t>
    </r>
    <r>
      <rPr>
        <sz val="11"/>
        <color theme="1"/>
        <rFont val="Calibri"/>
        <family val="2"/>
        <scheme val="minor"/>
      </rPr>
      <t>- check for these instances and use the PACKAGES filter to remove the header</t>
    </r>
  </si>
  <si>
    <r>
      <t>Included is a best guess of  "</t>
    </r>
    <r>
      <rPr>
        <b/>
        <sz val="11"/>
        <color theme="1"/>
        <rFont val="Calibri"/>
        <family val="2"/>
        <scheme val="minor"/>
      </rPr>
      <t>2L - Value Brands"</t>
    </r>
    <r>
      <rPr>
        <sz val="11"/>
        <color theme="1"/>
        <rFont val="Calibri"/>
        <family val="2"/>
        <scheme val="minor"/>
      </rPr>
      <t xml:space="preserve"> that might be carried, and on the </t>
    </r>
    <r>
      <rPr>
        <b/>
        <sz val="11"/>
        <color theme="1"/>
        <rFont val="Calibri"/>
        <family val="2"/>
        <scheme val="minor"/>
      </rPr>
      <t>UPCs Tab</t>
    </r>
    <r>
      <rPr>
        <sz val="11"/>
        <color theme="1"/>
        <rFont val="Calibri"/>
        <family val="2"/>
        <scheme val="minor"/>
      </rPr>
      <t xml:space="preserve"> the PACKAGES column data for the corresponding "</t>
    </r>
    <r>
      <rPr>
        <b/>
        <sz val="11"/>
        <color theme="1"/>
        <rFont val="Calibri"/>
        <family val="2"/>
        <scheme val="minor"/>
      </rPr>
      <t>2L bottles"</t>
    </r>
    <r>
      <rPr>
        <sz val="11"/>
        <color theme="1"/>
        <rFont val="Calibri"/>
        <family val="2"/>
        <scheme val="minor"/>
      </rPr>
      <t xml:space="preserve"> is renamed to "CSD - 2L Core (Value)"</t>
    </r>
  </si>
  <si>
    <r>
      <t xml:space="preserve">This allows filtering the </t>
    </r>
    <r>
      <rPr>
        <u/>
        <sz val="11"/>
        <color theme="1"/>
        <rFont val="Calibri"/>
        <family val="2"/>
        <scheme val="minor"/>
      </rPr>
      <t>value brands</t>
    </r>
    <r>
      <rPr>
        <sz val="11"/>
        <color theme="1"/>
        <rFont val="Calibri"/>
        <family val="2"/>
        <scheme val="minor"/>
      </rPr>
      <t xml:space="preserve"> items out of the </t>
    </r>
    <r>
      <rPr>
        <b/>
        <sz val="11"/>
        <color theme="1"/>
        <rFont val="Calibri"/>
        <family val="2"/>
        <scheme val="minor"/>
      </rPr>
      <t>"2L bottles"</t>
    </r>
    <r>
      <rPr>
        <sz val="11"/>
        <color theme="1"/>
        <rFont val="Calibri"/>
        <family val="2"/>
        <scheme val="minor"/>
      </rPr>
      <t xml:space="preserve"> </t>
    </r>
    <r>
      <rPr>
        <u/>
        <sz val="11"/>
        <color theme="1"/>
        <rFont val="Calibri"/>
        <family val="2"/>
        <scheme val="minor"/>
      </rPr>
      <t>core flavors</t>
    </r>
    <r>
      <rPr>
        <sz val="11"/>
        <color theme="1"/>
        <rFont val="Calibri"/>
        <family val="2"/>
        <scheme val="minor"/>
      </rPr>
      <t xml:space="preserve"> list by using the PACKAGES filter.</t>
    </r>
  </si>
  <si>
    <r>
      <t>You will also need to delete those unnecessary items from the "</t>
    </r>
    <r>
      <rPr>
        <b/>
        <sz val="11"/>
        <color theme="1"/>
        <rFont val="Calibri"/>
        <family val="2"/>
        <scheme val="minor"/>
      </rPr>
      <t>2L - Value Brands"</t>
    </r>
    <r>
      <rPr>
        <sz val="11"/>
        <color theme="1"/>
        <rFont val="Calibri"/>
        <family val="2"/>
        <scheme val="minor"/>
      </rPr>
      <t xml:space="preserve"> product group to prevent being double listed under "</t>
    </r>
    <r>
      <rPr>
        <b/>
        <sz val="11"/>
        <color theme="1"/>
        <rFont val="Calibri"/>
        <family val="2"/>
        <scheme val="minor"/>
      </rPr>
      <t>2L bottles</t>
    </r>
    <r>
      <rPr>
        <sz val="11"/>
        <color theme="1"/>
        <rFont val="Calibri"/>
        <family val="2"/>
        <scheme val="minor"/>
      </rPr>
      <t>" core flavors</t>
    </r>
  </si>
  <si>
    <t>This sheet is a living document, with ongoing changes and tweaks as new items and functionality is integrated</t>
  </si>
  <si>
    <r>
      <t>The same applies for "</t>
    </r>
    <r>
      <rPr>
        <b/>
        <sz val="11"/>
        <color theme="1"/>
        <rFont val="Calibri"/>
        <family val="2"/>
        <scheme val="minor"/>
      </rPr>
      <t>20oz - Value Brands</t>
    </r>
    <r>
      <rPr>
        <sz val="11"/>
        <color theme="1"/>
        <rFont val="Calibri"/>
        <family val="2"/>
        <scheme val="minor"/>
      </rPr>
      <t>"</t>
    </r>
  </si>
  <si>
    <t>I've attempted to explain how this all works as thoroughly and as simply as possible</t>
  </si>
  <si>
    <t>My ask is for clarification and corrections to make this better for everyone who uses it</t>
  </si>
  <si>
    <t>I could also use some clarification and brand flow/package information for regional items such as Cactus Cooler, Cotton Club, Dr. Brown's, etc.</t>
  </si>
  <si>
    <t>I do not know which of these groups are price-aligned or if they need to be separate, and I'd rather fix the master copy than have someone else "fix it" with each revision</t>
  </si>
  <si>
    <t>I am aware that some product groupings on the Overview Tab are holdovers from previous documents</t>
  </si>
  <si>
    <r>
      <t xml:space="preserve">Entering a </t>
    </r>
    <r>
      <rPr>
        <u/>
        <sz val="11"/>
        <color theme="1"/>
        <rFont val="Calibri"/>
        <family val="2"/>
        <scheme val="minor"/>
      </rPr>
      <t>multiple value</t>
    </r>
    <r>
      <rPr>
        <sz val="11"/>
        <color theme="1"/>
        <rFont val="Calibri"/>
        <family val="2"/>
        <scheme val="minor"/>
      </rPr>
      <t xml:space="preserve"> in Column K makes visible the "/" character in Column L</t>
    </r>
  </si>
  <si>
    <t>Sparkling Waters</t>
  </si>
  <si>
    <t>Functional / Enhanced Waters</t>
  </si>
  <si>
    <t>Still Waters</t>
  </si>
  <si>
    <t>Mineral Waters</t>
  </si>
  <si>
    <t>Coconut Waters</t>
  </si>
  <si>
    <t>Dairy Beverages</t>
  </si>
  <si>
    <t>Enhanced Unflavored Waters</t>
  </si>
  <si>
    <t>Bai Super Teas 18oz bottles</t>
  </si>
  <si>
    <t>Bai - Super Teas</t>
  </si>
  <si>
    <t>Poland Spring Seltzer Water .5L bottles</t>
  </si>
  <si>
    <r>
      <t xml:space="preserve">Entering pricing values in the "Multiple" column will change the formula in </t>
    </r>
    <r>
      <rPr>
        <u/>
        <sz val="11"/>
        <color theme="1"/>
        <rFont val="Calibri"/>
        <family val="2"/>
        <scheme val="minor"/>
      </rPr>
      <t>Gross Margin %</t>
    </r>
    <r>
      <rPr>
        <sz val="11"/>
        <color theme="1"/>
        <rFont val="Calibri"/>
        <family val="2"/>
        <scheme val="minor"/>
      </rPr>
      <t xml:space="preserve"> to a </t>
    </r>
    <r>
      <rPr>
        <u/>
        <sz val="11"/>
        <color theme="1"/>
        <rFont val="Calibri"/>
        <family val="2"/>
        <scheme val="minor"/>
      </rPr>
      <t>Blended Margin %</t>
    </r>
  </si>
  <si>
    <r>
      <t xml:space="preserve">*You will need to manually copy the appropriate data columns for your area from the </t>
    </r>
    <r>
      <rPr>
        <b/>
        <sz val="11"/>
        <color theme="1"/>
        <rFont val="Calibri"/>
        <family val="2"/>
        <scheme val="minor"/>
      </rPr>
      <t>Disco Data Tab</t>
    </r>
  </si>
  <si>
    <r>
      <t xml:space="preserve">"_LTO" under Brands filter will not take out </t>
    </r>
    <r>
      <rPr>
        <b/>
        <sz val="11"/>
        <color theme="1"/>
        <rFont val="Calibri"/>
        <family val="2"/>
        <scheme val="minor"/>
      </rPr>
      <t>LTO Dr Pepper</t>
    </r>
    <r>
      <rPr>
        <sz val="11"/>
        <color theme="1"/>
        <rFont val="Calibri"/>
        <family val="2"/>
        <scheme val="minor"/>
      </rPr>
      <t xml:space="preserve"> items- they are under "_LTO - DR PEPPER"</t>
    </r>
  </si>
  <si>
    <r>
      <t xml:space="preserve">If manually entering new items into the </t>
    </r>
    <r>
      <rPr>
        <b/>
        <sz val="11"/>
        <color theme="1"/>
        <rFont val="Calibri"/>
        <family val="2"/>
        <scheme val="minor"/>
      </rPr>
      <t>UPCs Tab</t>
    </r>
    <r>
      <rPr>
        <sz val="11"/>
        <color theme="1"/>
        <rFont val="Calibri"/>
        <family val="2"/>
        <scheme val="minor"/>
      </rPr>
      <t>, try not to break the formulas</t>
    </r>
  </si>
  <si>
    <t>I could use some assistance from a Marketing Manager/Brand Ambassador to get the "Corporate-official" product group designation for all items on the overview page</t>
  </si>
  <si>
    <t>I'm not a fan of the combined "Teas / Juice drinks" but Snapple and Mistic create too many one-off subcategories</t>
  </si>
  <si>
    <t>Bai 18oz PET bottles (12 units per case)</t>
  </si>
  <si>
    <t>Bai Super Teas 18oz PET bottles (12 units per case)</t>
  </si>
  <si>
    <t>Bai Bubbles 11.5oz cans (12 units per case)</t>
  </si>
  <si>
    <t>Bai Bubbles 11.5oz cans 4 pack (6 - 4pk per case)</t>
  </si>
  <si>
    <t>FROZEN RUN</t>
  </si>
  <si>
    <t>TOM TUCKER</t>
  </si>
  <si>
    <t>GRAF</t>
  </si>
  <si>
    <r>
      <t>The printable area by default is Columns C through L (</t>
    </r>
    <r>
      <rPr>
        <u/>
        <sz val="11"/>
        <color theme="1"/>
        <rFont val="Calibri"/>
        <family val="2"/>
        <scheme val="minor"/>
      </rPr>
      <t>UPC Code</t>
    </r>
    <r>
      <rPr>
        <sz val="11"/>
        <color theme="1"/>
        <rFont val="Calibri"/>
        <family val="2"/>
        <scheme val="minor"/>
      </rPr>
      <t xml:space="preserve"> to </t>
    </r>
    <r>
      <rPr>
        <u/>
        <sz val="11"/>
        <color theme="1"/>
        <rFont val="Calibri"/>
        <family val="2"/>
        <scheme val="minor"/>
      </rPr>
      <t>Gross Margin %</t>
    </r>
    <r>
      <rPr>
        <sz val="11"/>
        <color theme="1"/>
        <rFont val="Calibri"/>
        <family val="2"/>
        <scheme val="minor"/>
      </rPr>
      <t>)</t>
    </r>
  </si>
  <si>
    <r>
      <t xml:space="preserve">This may cause some issues with </t>
    </r>
    <r>
      <rPr>
        <u/>
        <sz val="11"/>
        <color theme="1"/>
        <rFont val="Calibri"/>
        <family val="2"/>
        <scheme val="minor"/>
      </rPr>
      <t>Deposit/No Deposit</t>
    </r>
    <r>
      <rPr>
        <sz val="11"/>
        <color theme="1"/>
        <rFont val="Calibri"/>
        <family val="2"/>
        <scheme val="minor"/>
      </rPr>
      <t xml:space="preserve"> cans and LTO packages (Halloween cans, themed branding, etc)</t>
    </r>
  </si>
  <si>
    <r>
      <t xml:space="preserve">**You may want to copy the new items your facility will be carrying to the </t>
    </r>
    <r>
      <rPr>
        <b/>
        <u/>
        <sz val="11"/>
        <color theme="1"/>
        <rFont val="Calibri"/>
        <family val="2"/>
        <scheme val="minor"/>
      </rPr>
      <t>Facility Data Tab</t>
    </r>
    <r>
      <rPr>
        <b/>
        <sz val="11"/>
        <color theme="1"/>
        <rFont val="Calibri"/>
        <family val="2"/>
        <scheme val="minor"/>
      </rPr>
      <t xml:space="preserve"> to create future-proof pricing sheets</t>
    </r>
  </si>
  <si>
    <r>
      <t xml:space="preserve">If you do not, the other filters on the </t>
    </r>
    <r>
      <rPr>
        <b/>
        <sz val="11"/>
        <color theme="1"/>
        <rFont val="Calibri"/>
        <family val="2"/>
        <scheme val="minor"/>
      </rPr>
      <t>UPCs Tabs</t>
    </r>
    <r>
      <rPr>
        <sz val="11"/>
        <color theme="1"/>
        <rFont val="Calibri"/>
        <family val="2"/>
        <scheme val="minor"/>
      </rPr>
      <t xml:space="preserve"> will not reflect new items when "Facility Active Items" filter is set to TRUE</t>
    </r>
  </si>
  <si>
    <t>Bai Antioxidant Water 18oz PET bottles (12 units per case)</t>
  </si>
  <si>
    <t>Bai Antioxidant Water 1L PET bottles (12 units per case)</t>
  </si>
  <si>
    <t>Alternately, you can just use Keys-&gt;Product-&gt;List Product</t>
  </si>
  <si>
    <t xml:space="preserve">          10119764</t>
  </si>
  <si>
    <t xml:space="preserve">          20028090</t>
  </si>
  <si>
    <t xml:space="preserve">8OZ PEETS VANILLA LATTE COFFEE CN LS12  </t>
  </si>
  <si>
    <t xml:space="preserve">          20028087</t>
  </si>
  <si>
    <t xml:space="preserve">          20028336</t>
  </si>
  <si>
    <t xml:space="preserve">750ML EVIAN SPRING WTR PET LS12 SPTCP   </t>
  </si>
  <si>
    <t xml:space="preserve">          20028329</t>
  </si>
  <si>
    <t xml:space="preserve">          20028330</t>
  </si>
  <si>
    <t xml:space="preserve">1.5L EVIAN SPRING WTR PET LS12          </t>
  </si>
  <si>
    <t xml:space="preserve">          20028332</t>
  </si>
  <si>
    <t xml:space="preserve">          20028334</t>
  </si>
  <si>
    <t xml:space="preserve">310ML EVIAN SPRING WTR PET LS24         </t>
  </si>
  <si>
    <t xml:space="preserve">          20028333</t>
  </si>
  <si>
    <r>
      <t xml:space="preserve">* </t>
    </r>
    <r>
      <rPr>
        <u/>
        <sz val="11"/>
        <color theme="1"/>
        <rFont val="Calibri"/>
        <family val="2"/>
        <scheme val="minor"/>
      </rPr>
      <t>2/$3</t>
    </r>
    <r>
      <rPr>
        <sz val="11"/>
        <color theme="1"/>
        <rFont val="Calibri"/>
        <family val="2"/>
        <scheme val="minor"/>
      </rPr>
      <t xml:space="preserve"> data for 20oz is included as an example- just delete the "2" and the "$3" to reset to standard </t>
    </r>
    <r>
      <rPr>
        <u/>
        <sz val="11"/>
        <color theme="1"/>
        <rFont val="Calibri"/>
        <family val="2"/>
        <scheme val="minor"/>
      </rPr>
      <t>Gross Margin %</t>
    </r>
  </si>
  <si>
    <t>So.. Blended margin%:</t>
  </si>
  <si>
    <t>When you hear blended margin multi-buy rate of 30%, you assume 30% of transactions are the multi buy.</t>
  </si>
  <si>
    <t>"=IF(K11&gt;0,((((((M11/K11)*($B$209)*K11)+(1-$B$209)*H11))/((K11*($B$209))+(1-$B$209)))-F11)/(((((M11/K11)*($B$209)*K11)+(1-$B$209)*H11))/((K11*($B$209))+(1-$B$209))),(H11-F11)/H11)"</t>
  </si>
  <si>
    <t xml:space="preserve">This format actually calculates the correct blended margin based upon the multi-buy percentage as well as the multi-buy </t>
  </si>
  <si>
    <t>This allows for 2/$x or 3/$x to be accurately calculated.</t>
  </si>
  <si>
    <r>
      <t xml:space="preserve">Typical response is to assume 30% of </t>
    </r>
    <r>
      <rPr>
        <b/>
        <sz val="11"/>
        <color theme="1"/>
        <rFont val="Calibri"/>
        <family val="2"/>
        <scheme val="minor"/>
      </rPr>
      <t>volume</t>
    </r>
    <r>
      <rPr>
        <sz val="11"/>
        <color theme="1"/>
        <rFont val="Calibri"/>
        <family val="2"/>
        <scheme val="minor"/>
      </rPr>
      <t xml:space="preserve"> at the cheaper retail ($1.50), and 70% at regular retail ($1.99).. Which is not exactly the case.</t>
    </r>
  </si>
  <si>
    <r>
      <t xml:space="preserve">On </t>
    </r>
    <r>
      <rPr>
        <b/>
        <sz val="11"/>
        <color theme="1"/>
        <rFont val="Calibri"/>
        <family val="2"/>
        <scheme val="minor"/>
      </rPr>
      <t>ten</t>
    </r>
    <r>
      <rPr>
        <sz val="11"/>
        <color theme="1"/>
        <rFont val="Calibri"/>
        <family val="2"/>
        <scheme val="minor"/>
      </rPr>
      <t xml:space="preserve"> transactions, </t>
    </r>
    <r>
      <rPr>
        <b/>
        <sz val="11"/>
        <color theme="1"/>
        <rFont val="Calibri"/>
        <family val="2"/>
        <scheme val="minor"/>
      </rPr>
      <t>three</t>
    </r>
    <r>
      <rPr>
        <sz val="11"/>
        <color theme="1"/>
        <rFont val="Calibri"/>
        <family val="2"/>
        <scheme val="minor"/>
      </rPr>
      <t xml:space="preserve"> (30%) would be at 2/$3, yielding </t>
    </r>
    <r>
      <rPr>
        <u/>
        <sz val="11"/>
        <color theme="1"/>
        <rFont val="Calibri"/>
        <family val="2"/>
        <scheme val="minor"/>
      </rPr>
      <t>6 bottles</t>
    </r>
    <r>
      <rPr>
        <sz val="11"/>
        <color theme="1"/>
        <rFont val="Calibri"/>
        <family val="2"/>
        <scheme val="minor"/>
      </rPr>
      <t xml:space="preserve"> @</t>
    </r>
    <r>
      <rPr>
        <b/>
        <sz val="11"/>
        <color theme="1"/>
        <rFont val="Calibri"/>
        <family val="2"/>
        <scheme val="minor"/>
      </rPr>
      <t>$1.50</t>
    </r>
    <r>
      <rPr>
        <sz val="11"/>
        <color theme="1"/>
        <rFont val="Calibri"/>
        <family val="2"/>
        <scheme val="minor"/>
      </rPr>
      <t xml:space="preserve"> and the remaining transactions (70%) would be </t>
    </r>
    <r>
      <rPr>
        <u/>
        <sz val="11"/>
        <color theme="1"/>
        <rFont val="Calibri"/>
        <family val="2"/>
        <scheme val="minor"/>
      </rPr>
      <t>7 bottles</t>
    </r>
    <r>
      <rPr>
        <sz val="11"/>
        <color theme="1"/>
        <rFont val="Calibri"/>
        <family val="2"/>
        <scheme val="minor"/>
      </rPr>
      <t xml:space="preserve"> at </t>
    </r>
    <r>
      <rPr>
        <b/>
        <sz val="11"/>
        <color theme="1"/>
        <rFont val="Calibri"/>
        <family val="2"/>
        <scheme val="minor"/>
      </rPr>
      <t>$1.99</t>
    </r>
    <r>
      <rPr>
        <sz val="11"/>
        <color theme="1"/>
        <rFont val="Calibri"/>
        <family val="2"/>
        <scheme val="minor"/>
      </rPr>
      <t>.</t>
    </r>
  </si>
  <si>
    <r>
      <t xml:space="preserve">This shifts the "30%" to actually account for </t>
    </r>
    <r>
      <rPr>
        <u/>
        <sz val="11"/>
        <color theme="1"/>
        <rFont val="Calibri"/>
        <family val="2"/>
        <scheme val="minor"/>
      </rPr>
      <t>46.15%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out of </t>
    </r>
    <r>
      <rPr>
        <b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total bottles sold)</t>
    </r>
  </si>
  <si>
    <r>
      <rPr>
        <u/>
        <sz val="11"/>
        <color theme="1"/>
        <rFont val="Calibri"/>
        <family val="2"/>
        <scheme val="minor"/>
      </rPr>
      <t>Blended Margin %</t>
    </r>
    <r>
      <rPr>
        <sz val="11"/>
        <color theme="1"/>
        <rFont val="Calibri"/>
        <family val="2"/>
        <scheme val="minor"/>
      </rPr>
      <t xml:space="preserve"> is calculated based upon the multi-buy percentage entered at the bottom of the sheet (Cell B209)</t>
    </r>
  </si>
  <si>
    <r>
      <t xml:space="preserve">The multi-buy frequency percentage used to calculated blended margin is located at the bottom of the </t>
    </r>
    <r>
      <rPr>
        <b/>
        <sz val="11"/>
        <color theme="1"/>
        <rFont val="Calibri"/>
        <family val="2"/>
        <scheme val="minor"/>
      </rPr>
      <t>Overview Tab</t>
    </r>
    <r>
      <rPr>
        <sz val="11"/>
        <color theme="1"/>
        <rFont val="Calibri"/>
        <family val="2"/>
        <scheme val="minor"/>
      </rPr>
      <t xml:space="preserve">, in cell </t>
    </r>
    <r>
      <rPr>
        <b/>
        <sz val="11"/>
        <color theme="1"/>
        <rFont val="Calibri"/>
        <family val="2"/>
        <scheme val="minor"/>
      </rPr>
      <t>B209</t>
    </r>
  </si>
  <si>
    <r>
      <t xml:space="preserve">If you have one-off pricing (like just RC 20oz at 99¢ ), manually overwrite the formula for that item in the </t>
    </r>
    <r>
      <rPr>
        <u/>
        <sz val="11"/>
        <color theme="1"/>
        <rFont val="Calibri"/>
        <family val="2"/>
        <scheme val="minor"/>
      </rPr>
      <t>Suggested Retail</t>
    </r>
    <r>
      <rPr>
        <sz val="11"/>
        <color theme="1"/>
        <rFont val="Calibri"/>
        <family val="2"/>
        <scheme val="minor"/>
      </rPr>
      <t xml:space="preserve"> column with that price- the </t>
    </r>
    <r>
      <rPr>
        <u/>
        <sz val="11"/>
        <color theme="1"/>
        <rFont val="Calibri"/>
        <family val="2"/>
        <scheme val="minor"/>
      </rPr>
      <t>Gross Margin %</t>
    </r>
    <r>
      <rPr>
        <sz val="11"/>
        <color theme="1"/>
        <rFont val="Calibri"/>
        <family val="2"/>
        <scheme val="minor"/>
      </rPr>
      <t xml:space="preserve"> formula will adjust</t>
    </r>
  </si>
  <si>
    <t>(((((([Multi_Price]/[Multi])*([Multi_rate%])*[Multi])+(1-[Multi_rate%])*[SRP]))/([Multi]*([Multi_rate%]))+(1-[Multi_rate%])))-[Unit_cost])/((((([Multi_Price]/[Multi])*([Multi_rate%])*[Multi])+(1-[Multi_rate%])*[SRP]))/(([Multi]*([Multi_rate%]))+(1-[Multi_rate%])))</t>
  </si>
  <si>
    <t>(((((([Multi_Single_Unit_Price])*([Multi_rate%])*[Multi])+([Remaining_Single_Unit_rate%])*[SRP]))/([Multi]*([Multi_rate%]))+([Remaining_Single_Unit_rate%])))-[Unit_cost])/((((([Multi_Single_Unit_Price])*([Multi_rate%])*[Multi])+([Remaining_Single_Unit_rate%]])*[SRP]))/(([Multi]*([Multi_rate%]))+([Remaining_Single_Unit_rate%])))</t>
  </si>
  <si>
    <t>For $1.99</t>
  </si>
  <si>
    <r>
      <t xml:space="preserve">For example, </t>
    </r>
    <r>
      <rPr>
        <u/>
        <sz val="11"/>
        <color theme="1"/>
        <rFont val="Calibri"/>
        <family val="2"/>
        <scheme val="minor"/>
      </rPr>
      <t>20oz</t>
    </r>
    <r>
      <rPr>
        <sz val="11"/>
        <color theme="1"/>
        <rFont val="Calibri"/>
        <family val="2"/>
        <scheme val="minor"/>
      </rPr>
      <t xml:space="preserve"> at </t>
    </r>
    <r>
      <rPr>
        <b/>
        <sz val="11"/>
        <color theme="1"/>
        <rFont val="Calibri"/>
        <family val="2"/>
        <scheme val="minor"/>
      </rPr>
      <t>2/$3 or $1.99 each</t>
    </r>
    <r>
      <rPr>
        <sz val="11"/>
        <color theme="1"/>
        <rFont val="Calibri"/>
        <family val="2"/>
        <scheme val="minor"/>
      </rPr>
      <t>.</t>
    </r>
  </si>
  <si>
    <t>**If you do not wish to include certain columns, just Hide them- deleting Columns will destroy formulas used elsewhere</t>
  </si>
  <si>
    <t>Omaha</t>
  </si>
  <si>
    <t xml:space="preserve">          10114954</t>
  </si>
  <si>
    <t xml:space="preserve">10OZ CAN DRY GINGER ALE PET 6PKX4 HC    </t>
  </si>
  <si>
    <t xml:space="preserve">          10000756</t>
  </si>
  <si>
    <t xml:space="preserve">10OZ DT CAN DRY TON WTR GLS 6PKX4 HC RO </t>
  </si>
  <si>
    <t xml:space="preserve">          10003019</t>
  </si>
  <si>
    <t xml:space="preserve">          10002431</t>
  </si>
  <si>
    <t xml:space="preserve">12OZ 7UP CN 12PKX2 NOD                  </t>
  </si>
  <si>
    <t xml:space="preserve">          10002456</t>
  </si>
  <si>
    <t xml:space="preserve">12OZ A&amp;W ROOT BEER CN 12PKX2 NOD        </t>
  </si>
  <si>
    <t xml:space="preserve">          10021904</t>
  </si>
  <si>
    <t xml:space="preserve">12OZ CRUSH GRAPE CN 12PKX2              </t>
  </si>
  <si>
    <t xml:space="preserve">          10021944</t>
  </si>
  <si>
    <t xml:space="preserve">12OZ CRUSH ORANGE CN 12PKX2             </t>
  </si>
  <si>
    <t xml:space="preserve">          10021907</t>
  </si>
  <si>
    <t xml:space="preserve">12OZ CRUSH STRAWBERRY CN 12PKX2         </t>
  </si>
  <si>
    <t xml:space="preserve">          10002434</t>
  </si>
  <si>
    <t xml:space="preserve">12OZ DR PEPPER CN 12PKX2 NOD            </t>
  </si>
  <si>
    <t xml:space="preserve">          10002432</t>
  </si>
  <si>
    <t xml:space="preserve">12OZ DT 7UP CN 12PKX2 NOD               </t>
  </si>
  <si>
    <t xml:space="preserve">          10002435</t>
  </si>
  <si>
    <t xml:space="preserve">12OZ DT DR PEPPER CN 12PKX2 NOD         </t>
  </si>
  <si>
    <t xml:space="preserve">          10000368</t>
  </si>
  <si>
    <t xml:space="preserve">12OZ DT STEWARTS ORANGE N CRM GLS 4PKX6 </t>
  </si>
  <si>
    <t xml:space="preserve">          10000851</t>
  </si>
  <si>
    <t xml:space="preserve">12OZ HIRES ROOT BEER CN 12PKX2          </t>
  </si>
  <si>
    <t xml:space="preserve">          10001039</t>
  </si>
  <si>
    <t xml:space="preserve">          10002457</t>
  </si>
  <si>
    <t xml:space="preserve">12OZ SUNKIST ORANGE CN 12PKX2 NOD       </t>
  </si>
  <si>
    <t xml:space="preserve">          10113788</t>
  </si>
  <si>
    <t xml:space="preserve">          10113787</t>
  </si>
  <si>
    <t xml:space="preserve">16OZ DT SNPREM TEA MANGO PET LS12       </t>
  </si>
  <si>
    <t xml:space="preserve">          10099492</t>
  </si>
  <si>
    <t xml:space="preserve">16OZ SNPREM PCH MNGOSTEEN PET LS12      </t>
  </si>
  <si>
    <t xml:space="preserve">          10001622</t>
  </si>
  <si>
    <t xml:space="preserve">2.5GAL DT DR PEPPER BIB                 </t>
  </si>
  <si>
    <t xml:space="preserve">          10068752</t>
  </si>
  <si>
    <t xml:space="preserve">2.5GAL ROCHESTER ROOT BEER BIB          </t>
  </si>
  <si>
    <t xml:space="preserve">          10021992</t>
  </si>
  <si>
    <t xml:space="preserve">20OZ CRUSH GRAPE PET LS24               </t>
  </si>
  <si>
    <t xml:space="preserve">          10021990</t>
  </si>
  <si>
    <t xml:space="preserve">20OZ CRUSH ORANGE PET LS24              </t>
  </si>
  <si>
    <t xml:space="preserve">          10021993</t>
  </si>
  <si>
    <t xml:space="preserve">20OZ CRUSH STRAWBERRY PET LS24          </t>
  </si>
  <si>
    <t xml:space="preserve">          10114996</t>
  </si>
  <si>
    <t xml:space="preserve">          10027683</t>
  </si>
  <si>
    <t xml:space="preserve">20OZ TAHITIAN TRT FRT PUNCH PET LS24    </t>
  </si>
  <si>
    <t xml:space="preserve">          20027024</t>
  </si>
  <si>
    <t xml:space="preserve">          10001602</t>
  </si>
  <si>
    <t xml:space="preserve">2L BIG RED PET LS8 PP099                </t>
  </si>
  <si>
    <t xml:space="preserve">          10021981</t>
  </si>
  <si>
    <t xml:space="preserve">2L CRUSH ORANGE PET LS8                 </t>
  </si>
  <si>
    <t xml:space="preserve">          10109406</t>
  </si>
  <si>
    <t xml:space="preserve">32OZ SNPREM TEA MANGO PET LS12          </t>
  </si>
  <si>
    <t xml:space="preserve">          10010404</t>
  </si>
  <si>
    <t xml:space="preserve">5GAL DR PEPPER BIB FCB                  </t>
  </si>
  <si>
    <t xml:space="preserve">          20028250</t>
  </si>
  <si>
    <t xml:space="preserve">          20028253</t>
  </si>
  <si>
    <t xml:space="preserve">2OZ FORTO 100MG VAN LATTE SHOT LS12     </t>
  </si>
  <si>
    <t xml:space="preserve">          20028252</t>
  </si>
  <si>
    <t>64OZ SNPREM LEMONADE WTRMLN PET LS8</t>
  </si>
  <si>
    <t>16OZ SNPREM LEMONADE WTRMLN GLS 6PKX4</t>
  </si>
  <si>
    <t>16OZ SNPREM LEMNADE BLKCHRY PET LS12</t>
  </si>
  <si>
    <t>16OZ SNPREM LEMNDE STRW PNAPL PET LS12</t>
  </si>
  <si>
    <t>16OZ SNPREM LEMONADE WTRMLN PET LS12</t>
  </si>
  <si>
    <t>8 99407-00288 1</t>
  </si>
  <si>
    <t>Probucha Meyer Lemon</t>
  </si>
  <si>
    <t>16OZ SNPREM LEMONADE WTRMLN PET LS24</t>
  </si>
  <si>
    <t>16OZ SNPREM LEMNDE STRW PNAPL PET LS24</t>
  </si>
  <si>
    <t>16OZ SNPREM LEMNADE BLKCHRY PET LS24</t>
  </si>
  <si>
    <t>16OZ DT SNPREM TEA MANGO PET LS24</t>
  </si>
  <si>
    <t xml:space="preserve">          10000018</t>
  </si>
  <si>
    <t xml:space="preserve">          10000019</t>
  </si>
  <si>
    <t xml:space="preserve">          10000020</t>
  </si>
  <si>
    <t xml:space="preserve">          10000021</t>
  </si>
  <si>
    <t xml:space="preserve">          10000095</t>
  </si>
  <si>
    <t xml:space="preserve">          10000765</t>
  </si>
  <si>
    <t xml:space="preserve">          10001238</t>
  </si>
  <si>
    <t xml:space="preserve">          10001426</t>
  </si>
  <si>
    <t xml:space="preserve">          10001695</t>
  </si>
  <si>
    <t xml:space="preserve">          10002907</t>
  </si>
  <si>
    <t xml:space="preserve">          10031908</t>
  </si>
  <si>
    <t xml:space="preserve">          10060240</t>
  </si>
  <si>
    <t xml:space="preserve">          10064436</t>
  </si>
  <si>
    <t xml:space="preserve">          10064437</t>
  </si>
  <si>
    <t xml:space="preserve">          10068818</t>
  </si>
  <si>
    <t xml:space="preserve">          10069058</t>
  </si>
  <si>
    <t xml:space="preserve">          10084738</t>
  </si>
  <si>
    <t xml:space="preserve">          10088248</t>
  </si>
  <si>
    <t xml:space="preserve">          10089655</t>
  </si>
  <si>
    <t xml:space="preserve">          10099703</t>
  </si>
  <si>
    <t xml:space="preserve">          10111508</t>
  </si>
  <si>
    <t xml:space="preserve">          10114341</t>
  </si>
  <si>
    <t xml:space="preserve">          20012751</t>
  </si>
  <si>
    <t xml:space="preserve">          20012752</t>
  </si>
  <si>
    <t xml:space="preserve">          20012753</t>
  </si>
  <si>
    <t xml:space="preserve">          20022713</t>
  </si>
  <si>
    <t xml:space="preserve">          20025478</t>
  </si>
  <si>
    <t xml:space="preserve">          20025479</t>
  </si>
  <si>
    <t xml:space="preserve">          20026335</t>
  </si>
  <si>
    <t xml:space="preserve">          20026885</t>
  </si>
  <si>
    <r>
      <t xml:space="preserve">      </t>
    </r>
    <r>
      <rPr>
        <u/>
        <sz val="11"/>
        <color theme="1"/>
        <rFont val="Calibri"/>
        <family val="2"/>
        <scheme val="minor"/>
      </rPr>
      <t>[ [($1.50*30%*</t>
    </r>
    <r>
      <rPr>
        <b/>
        <u/>
        <sz val="11"/>
        <color theme="1"/>
        <rFont val="Calibri"/>
        <family val="2"/>
        <scheme val="minor"/>
      </rPr>
      <t>2</t>
    </r>
    <r>
      <rPr>
        <u/>
        <sz val="11"/>
        <color theme="1"/>
        <rFont val="Calibri"/>
        <family val="2"/>
        <scheme val="minor"/>
      </rPr>
      <t>)+(70%*$1.99)] / (</t>
    </r>
    <r>
      <rPr>
        <b/>
        <u/>
        <sz val="11"/>
        <color theme="1"/>
        <rFont val="Calibri"/>
        <family val="2"/>
        <scheme val="minor"/>
      </rPr>
      <t>2</t>
    </r>
    <r>
      <rPr>
        <u/>
        <sz val="11"/>
        <color theme="1"/>
        <rFont val="Calibri"/>
        <family val="2"/>
        <scheme val="minor"/>
      </rPr>
      <t>*30%)+(70%) ] - $1.31 (unit cost)</t>
    </r>
  </si>
  <si>
    <r>
      <t xml:space="preserve">      [ [($1.50*30%*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)+(70%*$1.99)] / (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*30%)+(70%) ]</t>
    </r>
  </si>
  <si>
    <r>
      <t xml:space="preserve">or </t>
    </r>
    <r>
      <rPr>
        <b/>
        <u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/$3:</t>
    </r>
  </si>
  <si>
    <r>
      <t xml:space="preserve">      </t>
    </r>
    <r>
      <rPr>
        <u/>
        <sz val="11"/>
        <color theme="1"/>
        <rFont val="Calibri"/>
        <family val="2"/>
        <scheme val="minor"/>
      </rPr>
      <t>[ [($1.66*30%*</t>
    </r>
    <r>
      <rPr>
        <b/>
        <u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)+(70%*$1.99)] / (</t>
    </r>
    <r>
      <rPr>
        <b/>
        <u/>
        <sz val="11"/>
        <color theme="1"/>
        <rFont val="Calibri"/>
        <family val="2"/>
        <scheme val="minor"/>
      </rPr>
      <t>3</t>
    </r>
    <r>
      <rPr>
        <u/>
        <sz val="11"/>
        <color theme="1"/>
        <rFont val="Calibri"/>
        <family val="2"/>
        <scheme val="minor"/>
      </rPr>
      <t>*30%)+(70%) ] - $1.31 (unit cost)</t>
    </r>
  </si>
  <si>
    <r>
      <t xml:space="preserve">      [ [($1.66*30%*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)+(70%*$1.99)] / (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*30%)+(70%) ]</t>
    </r>
  </si>
  <si>
    <r>
      <t xml:space="preserve">or </t>
    </r>
    <r>
      <rPr>
        <b/>
        <u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/$5:</t>
    </r>
  </si>
  <si>
    <r>
      <t xml:space="preserve">The 30% in the above formulas are from the multi-buy percentage listed at the bottom of the </t>
    </r>
    <r>
      <rPr>
        <b/>
        <u/>
        <sz val="11"/>
        <color theme="1"/>
        <rFont val="Calibri"/>
        <family val="2"/>
        <scheme val="minor"/>
      </rPr>
      <t>Overview Tab</t>
    </r>
    <r>
      <rPr>
        <sz val="11"/>
        <color theme="1"/>
        <rFont val="Calibri"/>
        <family val="2"/>
        <scheme val="minor"/>
      </rPr>
      <t>, and the 70% value is "100% minus that 30%"</t>
    </r>
  </si>
  <si>
    <r>
      <rPr>
        <b/>
        <sz val="11"/>
        <color theme="1"/>
        <rFont val="Calibri"/>
        <family val="2"/>
        <scheme val="minor"/>
      </rPr>
      <t>Facility Active Items</t>
    </r>
    <r>
      <rPr>
        <sz val="11"/>
        <color theme="1"/>
        <rFont val="Calibri"/>
        <family val="2"/>
        <scheme val="minor"/>
      </rPr>
      <t xml:space="preserve">- pulls from the </t>
    </r>
    <r>
      <rPr>
        <b/>
        <sz val="11"/>
        <color theme="1"/>
        <rFont val="Calibri"/>
        <family val="2"/>
        <scheme val="minor"/>
      </rPr>
      <t>Facility Data Tab</t>
    </r>
    <r>
      <rPr>
        <sz val="11"/>
        <color theme="1"/>
        <rFont val="Calibri"/>
        <family val="2"/>
        <scheme val="minor"/>
      </rPr>
      <t xml:space="preserve"> to limit items to those available from your warehouse </t>
    </r>
  </si>
  <si>
    <r>
      <t xml:space="preserve">**Copy an existing Product Number and edit to the new Product Number- the formulas on the </t>
    </r>
    <r>
      <rPr>
        <b/>
        <sz val="11"/>
        <color theme="1"/>
        <rFont val="Calibri"/>
        <family val="2"/>
        <scheme val="minor"/>
      </rPr>
      <t>UPCs Tabs</t>
    </r>
    <r>
      <rPr>
        <sz val="11"/>
        <color theme="1"/>
        <rFont val="Calibri"/>
        <family val="2"/>
        <scheme val="minor"/>
      </rPr>
      <t xml:space="preserve"> use wildcards which require leading white space to work properly</t>
    </r>
  </si>
  <si>
    <t>Bai 18oz PET bottles 6 pack (2 - 6pk per case)</t>
  </si>
  <si>
    <t>18OZ BAI BLUEBERRY BRASILIA PET 6PKX2</t>
  </si>
  <si>
    <t>18OZ BAI COCONUT MOLOKAI PET 6PKX2</t>
  </si>
  <si>
    <t>18OZ BAI WATERMELON KULA PET 6PKX2</t>
  </si>
  <si>
    <t>18OZ BAI CLEMENT COSTA RICA PET 6PKX2</t>
  </si>
  <si>
    <t>18OZ BAI SUPERTEA SWT SOCORRO PET 6PKX2</t>
  </si>
  <si>
    <t>18OZ BAI SUPERTEA PEACH NARINO PET 6PKX2</t>
  </si>
  <si>
    <t>Dr Pepper (Heartland)</t>
  </si>
  <si>
    <t>20OZ DR PEPPER PET LS24 HRTLD</t>
  </si>
  <si>
    <t>20OZ CRUSH CHERRY PET LS24</t>
  </si>
  <si>
    <t>Crush Cherry</t>
  </si>
  <si>
    <t>0 78000-01382 5</t>
  </si>
  <si>
    <t>32OZ CLAMATO SWEET &amp; SPICY PET LS12</t>
  </si>
  <si>
    <t>0 14800-10381 6</t>
  </si>
  <si>
    <t>32oz Sweet &amp; Spicy</t>
  </si>
  <si>
    <t xml:space="preserve">          10105907</t>
  </si>
  <si>
    <t xml:space="preserve">          10105908</t>
  </si>
  <si>
    <t xml:space="preserve">          10105911</t>
  </si>
  <si>
    <t>20OZ CAN DRY GNGR ALE ORANGEADE PET LS24</t>
  </si>
  <si>
    <t xml:space="preserve">          10119253</t>
  </si>
  <si>
    <t xml:space="preserve">          10119292</t>
  </si>
  <si>
    <t xml:space="preserve">          10119609</t>
  </si>
  <si>
    <t xml:space="preserve">          10119610</t>
  </si>
  <si>
    <t xml:space="preserve">          10119611</t>
  </si>
  <si>
    <t xml:space="preserve">          10119612</t>
  </si>
  <si>
    <t xml:space="preserve">          10119615</t>
  </si>
  <si>
    <t xml:space="preserve">          10120686</t>
  </si>
  <si>
    <t xml:space="preserve">          10120687</t>
  </si>
  <si>
    <t xml:space="preserve">          10120690</t>
  </si>
  <si>
    <t xml:space="preserve">          10120764</t>
  </si>
  <si>
    <t xml:space="preserve">          10120767</t>
  </si>
  <si>
    <t xml:space="preserve">          10120768</t>
  </si>
  <si>
    <t xml:space="preserve">          10120772</t>
  </si>
  <si>
    <t xml:space="preserve">          10124149</t>
  </si>
  <si>
    <t xml:space="preserve">          10124150</t>
  </si>
  <si>
    <t xml:space="preserve">          10124151</t>
  </si>
  <si>
    <t xml:space="preserve">          10124152</t>
  </si>
  <si>
    <t xml:space="preserve">          20027687</t>
  </si>
  <si>
    <t xml:space="preserve">          20027688</t>
  </si>
  <si>
    <t xml:space="preserve">          20027689</t>
  </si>
  <si>
    <t xml:space="preserve">          20027690</t>
  </si>
  <si>
    <t xml:space="preserve">          20028242</t>
  </si>
  <si>
    <t xml:space="preserve">          20028249</t>
  </si>
  <si>
    <t xml:space="preserve">          20028269</t>
  </si>
  <si>
    <t xml:space="preserve">          20028270</t>
  </si>
  <si>
    <t xml:space="preserve">          20028271</t>
  </si>
  <si>
    <t xml:space="preserve">          20028338</t>
  </si>
  <si>
    <t>Jonathan.Grimm@kdrp.com</t>
  </si>
  <si>
    <t xml:space="preserve">12OZ HIGH BREW CLS BLACK SPRKL SCN LS12 </t>
  </si>
  <si>
    <t xml:space="preserve">12OZ HIGH BREW VINTG VAN SPRKL SCN LS12 </t>
  </si>
  <si>
    <t>12OZ HIGH BREW MDNT MOCHA SPRKL SCN LS12</t>
  </si>
  <si>
    <t>Midnight Mocha</t>
  </si>
  <si>
    <t>Vintage Vanilla</t>
  </si>
  <si>
    <t>Apple &amp; Eve 12oz PET bottles (15 units per case)</t>
  </si>
  <si>
    <t>12OZ APPLE&amp;EVE ORGNC APL JCE PET LS15</t>
  </si>
  <si>
    <t>12OZ APPLE&amp;EVE ORGNC ORNG JCE PET LS15</t>
  </si>
  <si>
    <t>12OZ APPLE&amp;EVE ORGNC FRTPCH JCE PET LS15</t>
  </si>
  <si>
    <t>0 76301-59125 7</t>
  </si>
  <si>
    <t>0 76301-59126 4</t>
  </si>
  <si>
    <t>0 76301-59127 1</t>
  </si>
  <si>
    <t>Adrenaline Shoc 16oz cans (12 units per case)</t>
  </si>
  <si>
    <t>Adrenaline Shoc 16oz cans</t>
  </si>
  <si>
    <t>16OZ A SHOC SHOC WAVE CN LS12</t>
  </si>
  <si>
    <t>Shoc Wave</t>
  </si>
  <si>
    <t>16OZ A SHOC FROZEN ICE CN LS12</t>
  </si>
  <si>
    <t>Frozen Ice</t>
  </si>
  <si>
    <t>16OZ A SHOC SOUR CANDY CN LS12</t>
  </si>
  <si>
    <t>Sour Candy</t>
  </si>
  <si>
    <t>16OZ A SHOC FRUIT PUNCH CN LS12</t>
  </si>
  <si>
    <t>16OZ A SHOC WATERMELON CN LS12</t>
  </si>
  <si>
    <t>16OZ A SHOC COTTON CANDY CN LS12</t>
  </si>
  <si>
    <t>16OZ A SHOC ACAI BERRY CN LS12</t>
  </si>
  <si>
    <t>Acai Berry</t>
  </si>
  <si>
    <t>16OZ A SHOC PEACH MANGO CN LS12</t>
  </si>
  <si>
    <t>8 10014-53003 1</t>
  </si>
  <si>
    <t>8 10014-53005 5</t>
  </si>
  <si>
    <t>8 10014-53013 0</t>
  </si>
  <si>
    <t>8 10014-53004 8</t>
  </si>
  <si>
    <t>8 10014-53017 8</t>
  </si>
  <si>
    <t>8 10014-53001 7</t>
  </si>
  <si>
    <t>8 10014-53015 4</t>
  </si>
  <si>
    <t>8 10014-53006 2</t>
  </si>
  <si>
    <t>Cotton Candy</t>
  </si>
  <si>
    <t>A Shoc</t>
  </si>
  <si>
    <t>7.5oz cans 10 pack (3 - 10pk per case)</t>
  </si>
  <si>
    <t>7.5oz 10 pack cans</t>
  </si>
  <si>
    <t xml:space="preserve">CSD - 7.5oz 6pk cans </t>
  </si>
  <si>
    <t xml:space="preserve">CSD - 7.5oz 10pk cans </t>
  </si>
  <si>
    <t>7.5OZ DR PEPPER SCN 10PKX3</t>
  </si>
  <si>
    <t>0 78000-02667 2</t>
  </si>
  <si>
    <t>7.5OZ 7UP SCN 10PKX3</t>
  </si>
  <si>
    <t>0 78000-03373 1</t>
  </si>
  <si>
    <t>7.5OZ DT 7UP SCN 10PKX3</t>
  </si>
  <si>
    <t>0 78000-03387 8</t>
  </si>
  <si>
    <t>7.5OZ A&amp;W ROOT BEER SCN 10PKX3</t>
  </si>
  <si>
    <t>0 78000-03389 2</t>
  </si>
  <si>
    <t>7.5OZ SUNKIST ORANGE SCN 10PKX3</t>
  </si>
  <si>
    <t>0 78000-03390 8</t>
  </si>
  <si>
    <t>7.5OZ CAN DRY GINGER ALE SCN 10PKX3</t>
  </si>
  <si>
    <t>7.5OZ DT CAN DRY GINGER ALE SCN 10PKX3</t>
  </si>
  <si>
    <t>0 78000-03388 5</t>
  </si>
  <si>
    <t>7.5OZ VERNORS GINGER ALE SCN 10PKX3</t>
  </si>
  <si>
    <t>0 78000-03399 1</t>
  </si>
  <si>
    <t>7.5OZ SQUIRT SCN 10PKX3</t>
  </si>
  <si>
    <t>0 78000-03391 5</t>
  </si>
  <si>
    <t>7.5OZ BIG RED SCN 10PKX3</t>
  </si>
  <si>
    <t>0 71817-41004 7</t>
  </si>
  <si>
    <t>7.5OZ RC COLA SCN 10PKX3</t>
  </si>
  <si>
    <t>0 78000-03392 2</t>
  </si>
  <si>
    <t>12OZ DR PEPPER CREAM SODA CN 12PKX2</t>
  </si>
  <si>
    <t>12OZ DT DR PEPPER CREAM SODA CN 12PKX2</t>
  </si>
  <si>
    <t>0 78000-03349 6</t>
  </si>
  <si>
    <t>Dr Pepper &amp; Cream Soda</t>
  </si>
  <si>
    <t>Diet Dr Pepper &amp; Cream Soda</t>
  </si>
  <si>
    <t>16OZ DR PEPPER CREAM SODA CN LS24</t>
  </si>
  <si>
    <t>16OZ DT DR PEPPER CREAM SODA CN LS24</t>
  </si>
  <si>
    <t>0 78000-03379 3</t>
  </si>
  <si>
    <t>0 78000-03381 6</t>
  </si>
  <si>
    <t>0.5L DR PEPPER CREAM SODA PET 6PKX4</t>
  </si>
  <si>
    <t>0 78000-03354 0</t>
  </si>
  <si>
    <t>20OZ DR PEPPER CREAM SODA PET LS24</t>
  </si>
  <si>
    <t>20OZ DT DR PEPPER CREAM SODA PET LS24</t>
  </si>
  <si>
    <t>0 78000-03351 9</t>
  </si>
  <si>
    <t>0 78000-03359 5</t>
  </si>
  <si>
    <t>Canada Dry Bold Ginger Ale</t>
  </si>
  <si>
    <r>
      <t>* Feel free to select Column I (</t>
    </r>
    <r>
      <rPr>
        <b/>
        <u/>
        <sz val="11"/>
        <color theme="1"/>
        <rFont val="Calibri"/>
        <family val="2"/>
        <scheme val="minor"/>
      </rPr>
      <t>Gross/Blended Margin%</t>
    </r>
    <r>
      <rPr>
        <b/>
        <sz val="11"/>
        <color theme="1"/>
        <rFont val="Calibri"/>
        <family val="2"/>
        <scheme val="minor"/>
      </rPr>
      <t xml:space="preserve">) and set it to </t>
    </r>
    <r>
      <rPr>
        <b/>
        <u/>
        <sz val="11"/>
        <color theme="1"/>
        <rFont val="Calibri"/>
        <family val="2"/>
        <scheme val="minor"/>
      </rPr>
      <t>no</t>
    </r>
    <r>
      <rPr>
        <b/>
        <sz val="11"/>
        <color theme="1"/>
        <rFont val="Calibri"/>
        <family val="2"/>
        <scheme val="minor"/>
      </rPr>
      <t xml:space="preserve"> decimal places- I have one decimal place by default for calculating margins</t>
    </r>
  </si>
  <si>
    <t>14.5OZ NEURO MEYER LEM PROBUCHA PET LS12</t>
  </si>
  <si>
    <t>16OZ SUNNY DELIGHT CHRY LIMEADE PET LS12</t>
  </si>
  <si>
    <t>Cherry Limeade</t>
  </si>
  <si>
    <t>0 50200-57800 7</t>
  </si>
  <si>
    <t>16OZ SUNNY DELIGHT ORNG PINEAPL PET LS12</t>
  </si>
  <si>
    <t>Orange Pineapple</t>
  </si>
  <si>
    <t>0 50200-56600 4</t>
  </si>
  <si>
    <t>11.1OZ VITA COCO PRESSED COCONUT DB LS12</t>
  </si>
  <si>
    <t>8 98999-01107 3</t>
  </si>
  <si>
    <t>2L SUNKIST PEACH PET LS8 PP119</t>
  </si>
  <si>
    <t>0 78000-03369 4</t>
  </si>
  <si>
    <t>3GAL MAGIC MIXR BLOODY MARY BIB</t>
  </si>
  <si>
    <t>8 34093-00980 6</t>
  </si>
  <si>
    <t>Sunkist Cherry Limeade (FCB)</t>
  </si>
  <si>
    <t>2.5GAL SUNKIST CHRY LIMEADE BIB FCB</t>
  </si>
  <si>
    <t>0 88500-90206 2</t>
  </si>
  <si>
    <t>12OZ CRUSH STRAWBERRY SUGR GLS 4PKX6</t>
  </si>
  <si>
    <t>0 78000-02758 7</t>
  </si>
  <si>
    <t>12OZ SUNKIST STRWBRY LEMADE CN 12PKX2</t>
  </si>
  <si>
    <t>20OZ SUNKIST STRWBRY LEMADE PET LS24</t>
  </si>
  <si>
    <t>7Up (Cleveland Browns)</t>
  </si>
  <si>
    <t>Cherry 7Up (Cleveland Browns)</t>
  </si>
  <si>
    <t>12OZ DT CHERRY 7UP CN 12PKX2 BRWNS</t>
  </si>
  <si>
    <t>12OZ CHERRY 7UP CN 12PKX2 BRWNS</t>
  </si>
  <si>
    <t>12OZ DT 7UP CN 12PKX2 BRWNS</t>
  </si>
  <si>
    <t>12OZ 7UP CN 12PKX2 BRWNS</t>
  </si>
  <si>
    <t>12OZ CAN DRY LEMONADE GA CN 6PKX4 HC</t>
  </si>
  <si>
    <t>12OZ CAN DRY GALE ORANGEADE CN 6PKX4 HC</t>
  </si>
  <si>
    <t>0 78000-00265 2</t>
  </si>
  <si>
    <t>0 78000-00268 3</t>
  </si>
  <si>
    <t>12OZ RC COLA CN 12PKX2 BEARS</t>
  </si>
  <si>
    <t>RC Cola (Chicago Bears)</t>
  </si>
  <si>
    <t>12OZ RC COLA CN 24PK SC</t>
  </si>
  <si>
    <t>0 78000-81629 7</t>
  </si>
  <si>
    <t>16OZ DT SNPREM TEA MANGO GLS 12PKX2</t>
  </si>
  <si>
    <t>1L POLAND SPRING ORIG SLTZR PET LS12</t>
  </si>
  <si>
    <t>0 75720-00001 2</t>
  </si>
  <si>
    <t>1L POLAND SPRING LEMON SLTZR PET LS12</t>
  </si>
  <si>
    <t>0 75720-00040 1</t>
  </si>
  <si>
    <t>1L POLAND SPRING LIME SLTZR PET LS12</t>
  </si>
  <si>
    <t>0 75720-00030 2</t>
  </si>
  <si>
    <t>1L POLAND SPRING TRP BRY SLTZR PET LS12</t>
  </si>
  <si>
    <t>0 75720-44644 5</t>
  </si>
  <si>
    <t>1L POLAND SPRING BLK CHRY SLTZR PET LS12</t>
  </si>
  <si>
    <t>0 75720-90404 4</t>
  </si>
  <si>
    <t>1L POLAND SPRING ORNG MNG SLTZR PET LS12</t>
  </si>
  <si>
    <t>0 75720-44616 2</t>
  </si>
  <si>
    <t>1L POLAND SPRING LMN GNGR SLTZR PET LS12</t>
  </si>
  <si>
    <t>0 75720-44604 9</t>
  </si>
  <si>
    <t>Poland Spring Seltzer Water 1L PET bottles (12 units per case)</t>
  </si>
  <si>
    <t>Poland Spring Seltzer Water 1L bottles</t>
  </si>
  <si>
    <t>Poland Spring - .5L Seltzer</t>
  </si>
  <si>
    <t>Poland Spring - 1L Seltzer</t>
  </si>
  <si>
    <t>10OZ DT SCHW TONIC WATER GLS 6PKX4</t>
  </si>
  <si>
    <t>Schweppes Diet Tonic Water</t>
  </si>
  <si>
    <t>0 78000-00362 8</t>
  </si>
  <si>
    <t>1L SCHW GINGER ALE PET LS15</t>
  </si>
  <si>
    <t>16OZ SNPREM ORANGEADE PET LS24 NYNJ</t>
  </si>
  <si>
    <t>16OZ SNPREM FRUIT PUNCH PET LS24 NYNJ</t>
  </si>
  <si>
    <t>0 76183-00486 9</t>
  </si>
  <si>
    <t>16OZ SNPREM LIMEADE PET LS24</t>
  </si>
  <si>
    <t>16OZ SNPREM LIMEADE PET LS24 EAGLES</t>
  </si>
  <si>
    <t>Acqua Panna 750mL PET bottles (12 units per case)</t>
  </si>
  <si>
    <t>Acqua Panna 1L PET bottles (12 units per case)</t>
  </si>
  <si>
    <t>750ML ACQUA PANNA NAT WTR PET LS12</t>
  </si>
  <si>
    <t>1L ACQUA PANNA NAT SPRING WTR PET LS12</t>
  </si>
  <si>
    <t>Acqua Panna Natural Spring Water</t>
  </si>
  <si>
    <t>Acqua Panna</t>
  </si>
  <si>
    <t>0 41508-60081 1</t>
  </si>
  <si>
    <t>0 41508-92249 4</t>
  </si>
  <si>
    <t>CDSW - 20oz</t>
  </si>
  <si>
    <t>Canada Dry Sparkling Water 20oz bottles</t>
  </si>
  <si>
    <t>20OZ CAN DRY SPRK LEM LIM PET LS24</t>
  </si>
  <si>
    <t>0 78000-16540 1</t>
  </si>
  <si>
    <t>20OZ CAN DRY SPRK POMG CHY LSDM PET LS24</t>
  </si>
  <si>
    <t>0 78000-17140 2</t>
  </si>
  <si>
    <t>20OZ BIG RED PET LS24 BCTRY</t>
  </si>
  <si>
    <t>Big Red (BCTRY)</t>
  </si>
  <si>
    <t>20OZ BIG RED PET LS24 WCAP</t>
  </si>
  <si>
    <t>Big Red (WCAP)</t>
  </si>
  <si>
    <t>20OZ BIG BLUE PET LS24 WCAP</t>
  </si>
  <si>
    <t>Big Blue (WCAP)</t>
  </si>
  <si>
    <t>8OZ HIGH BREW COFFEE CHOC PRTN CN LS12</t>
  </si>
  <si>
    <t>8 54560-00561 2</t>
  </si>
  <si>
    <t>Core Organic 16.9oz PET bottles (12 units per case)</t>
  </si>
  <si>
    <t>CORE Organic 16.9oz bottles</t>
  </si>
  <si>
    <t>CORE Organic - 18oz</t>
  </si>
  <si>
    <t>16.9OZ CORE ORGANIC PEACH MANGO PET LS12</t>
  </si>
  <si>
    <t>16.9OZ CORE ORGANIC TROP COCONUT PET LS12</t>
  </si>
  <si>
    <t>16.9OZ CORE ORGANIC WTRMLN LEMNDE PET LS12</t>
  </si>
  <si>
    <t>16.9OZ CORE ORGANIC WILD BLUBERRY PET LS12</t>
  </si>
  <si>
    <t>16.9OZ CORE ORGANIC STRWBRY BAN PET LS12</t>
  </si>
  <si>
    <t>16.9OZ CORE ORGANIC ORANGE MANGO PET LS12</t>
  </si>
  <si>
    <t>8 19858-02041 8</t>
  </si>
  <si>
    <t>8 19858-02039 5</t>
  </si>
  <si>
    <t xml:space="preserve">          10120765</t>
  </si>
  <si>
    <t xml:space="preserve">          10120459</t>
  </si>
  <si>
    <t xml:space="preserve">          20028241</t>
  </si>
  <si>
    <t xml:space="preserve">          10121439</t>
  </si>
  <si>
    <t xml:space="preserve">          10120770</t>
  </si>
  <si>
    <t xml:space="preserve">          10120769</t>
  </si>
  <si>
    <t xml:space="preserve">          20029372</t>
  </si>
  <si>
    <t xml:space="preserve">          20029375</t>
  </si>
  <si>
    <t xml:space="preserve">          20028240</t>
  </si>
  <si>
    <t xml:space="preserve">          20029370</t>
  </si>
  <si>
    <t xml:space="preserve">          20029373</t>
  </si>
  <si>
    <t xml:space="preserve">          20029374</t>
  </si>
  <si>
    <t xml:space="preserve">          20029371</t>
  </si>
  <si>
    <t xml:space="preserve">          20029377</t>
  </si>
  <si>
    <t xml:space="preserve">          20029376</t>
  </si>
  <si>
    <t xml:space="preserve">          20028106</t>
  </si>
  <si>
    <t xml:space="preserve">          20028107</t>
  </si>
  <si>
    <t xml:space="preserve">          20028239</t>
  </si>
  <si>
    <t>0.5L VITA COCO COCONUT PINEAPLE PET LS12</t>
  </si>
  <si>
    <t xml:space="preserve">          20028108</t>
  </si>
  <si>
    <t xml:space="preserve">          10120458</t>
  </si>
  <si>
    <t xml:space="preserve">          20028105</t>
  </si>
  <si>
    <t xml:space="preserve">          20028109</t>
  </si>
  <si>
    <t xml:space="preserve">          20028116</t>
  </si>
  <si>
    <t xml:space="preserve">          20028257</t>
  </si>
  <si>
    <t xml:space="preserve">          20028258</t>
  </si>
  <si>
    <t>11OZ HIGH BREW TRPL VANILLA BEAN CN LS12</t>
  </si>
  <si>
    <t xml:space="preserve">          20028806</t>
  </si>
  <si>
    <t xml:space="preserve">          20028248</t>
  </si>
  <si>
    <t xml:space="preserve">          20028256</t>
  </si>
  <si>
    <t xml:space="preserve">          10000333</t>
  </si>
  <si>
    <t>0 78000-02665 8</t>
  </si>
  <si>
    <t>0 78000-02945 1</t>
  </si>
  <si>
    <t>Zambia Bing Cherry</t>
  </si>
  <si>
    <t>8 13694-02556 9</t>
  </si>
  <si>
    <t>13.7oz</t>
  </si>
  <si>
    <t>Caramel Dulce</t>
  </si>
  <si>
    <t>Chocolate Truffle</t>
  </si>
  <si>
    <t>Vanilla Crème</t>
  </si>
  <si>
    <t>Coffee &amp; Cream</t>
  </si>
  <si>
    <t>7 85357-02284 3</t>
  </si>
  <si>
    <t>7 85357-02285 0</t>
  </si>
  <si>
    <t>7 85357-02286 7</t>
  </si>
  <si>
    <t>7 85357-02287 4</t>
  </si>
  <si>
    <t>Peet's Blended Coffee</t>
  </si>
  <si>
    <t>Peet's Blended Coffee 13.7oz glass bottles</t>
  </si>
  <si>
    <t>Peet's Blended Coffee 13.7oz glass bottles (12 units per case)</t>
  </si>
  <si>
    <t>Milk Chocolate</t>
  </si>
  <si>
    <t>Forto 60mL shots - 225mg (12 units per case)</t>
  </si>
  <si>
    <t>225mg Chocolate Latte</t>
  </si>
  <si>
    <t>225mg Vanilla Latte</t>
  </si>
  <si>
    <t>2OZ FORTO 225MG CHOC LATTE SHOT LS12</t>
  </si>
  <si>
    <t>2OZ FORTO 225MG VAN LATTE SHOT LS12</t>
  </si>
  <si>
    <t>150mg Hershey's Chocolate Latte</t>
  </si>
  <si>
    <t>150mg Pure Black</t>
  </si>
  <si>
    <t>150mg Vanilla Latte</t>
  </si>
  <si>
    <t>2OZ FORTO 150MG HERSHEY SHOT LS12</t>
  </si>
  <si>
    <t>2OZ FORTO 150MG PURE BLK SHOT LS12</t>
  </si>
  <si>
    <t>2OZ FORTO 150MG VAN LATTE SHOT LS12</t>
  </si>
  <si>
    <t>Forto 60mL shots - 225mg caffeine</t>
  </si>
  <si>
    <t>11OZ FORTO 225MG COFFEE CHO LAT PET LS12</t>
  </si>
  <si>
    <t>11OZ FORTO 225MG COFFEE COF LAT PET LS12</t>
  </si>
  <si>
    <t>11OZ FORTO 225MG COFFEE VAN LAT PET LS12</t>
  </si>
  <si>
    <r>
      <t xml:space="preserve">For workflow, I typically suggest pulling </t>
    </r>
    <r>
      <rPr>
        <u/>
        <sz val="11"/>
        <color theme="1"/>
        <rFont val="Calibri"/>
        <family val="2"/>
        <scheme val="minor"/>
      </rPr>
      <t>facility data</t>
    </r>
    <r>
      <rPr>
        <sz val="11"/>
        <color theme="1"/>
        <rFont val="Calibri"/>
        <family val="2"/>
        <scheme val="minor"/>
      </rPr>
      <t xml:space="preserve"> to make a "2020-KDP_</t>
    </r>
    <r>
      <rPr>
        <b/>
        <sz val="11"/>
        <color theme="1"/>
        <rFont val="Calibri"/>
        <family val="2"/>
        <scheme val="minor"/>
      </rPr>
      <t>(Location)</t>
    </r>
    <r>
      <rPr>
        <sz val="11"/>
        <color theme="1"/>
        <rFont val="Calibri"/>
        <family val="2"/>
        <scheme val="minor"/>
      </rPr>
      <t>-EDV_Pricing-</t>
    </r>
    <r>
      <rPr>
        <b/>
        <sz val="11"/>
        <color theme="1"/>
        <rFont val="Calibri"/>
        <family val="2"/>
        <scheme val="minor"/>
      </rPr>
      <t>(Date)</t>
    </r>
    <r>
      <rPr>
        <sz val="11"/>
        <color theme="1"/>
        <rFont val="Calibri"/>
        <family val="2"/>
        <scheme val="minor"/>
      </rPr>
      <t>.xlsx" (i.e. Omaha, Plains Region, etc.) master file</t>
    </r>
  </si>
  <si>
    <r>
      <t xml:space="preserve">Once you have a baseline of everything your </t>
    </r>
    <r>
      <rPr>
        <b/>
        <sz val="11"/>
        <color theme="1"/>
        <rFont val="Calibri"/>
        <family val="2"/>
        <scheme val="minor"/>
      </rPr>
      <t>warehouse</t>
    </r>
    <r>
      <rPr>
        <sz val="11"/>
        <color theme="1"/>
        <rFont val="Calibri"/>
        <family val="2"/>
        <scheme val="minor"/>
      </rPr>
      <t xml:space="preserve"> offers, enter </t>
    </r>
    <r>
      <rPr>
        <u/>
        <sz val="11"/>
        <color theme="1"/>
        <rFont val="Calibri"/>
        <family val="2"/>
        <scheme val="minor"/>
      </rPr>
      <t>channel/promo plan/chain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pricing</t>
    </r>
    <r>
      <rPr>
        <sz val="11"/>
        <color theme="1"/>
        <rFont val="Calibri"/>
        <family val="2"/>
        <scheme val="minor"/>
      </rPr>
      <t xml:space="preserve"> for individual "2020-KDP_</t>
    </r>
    <r>
      <rPr>
        <b/>
        <sz val="11"/>
        <color theme="1"/>
        <rFont val="Calibri"/>
        <family val="2"/>
        <scheme val="minor"/>
      </rPr>
      <t>(Location)</t>
    </r>
    <r>
      <rPr>
        <sz val="11"/>
        <color theme="1"/>
        <rFont val="Calibri"/>
        <family val="2"/>
        <scheme val="minor"/>
      </rPr>
      <t>-EDV_Pricing_</t>
    </r>
    <r>
      <rPr>
        <b/>
        <sz val="11"/>
        <color theme="1"/>
        <rFont val="Calibri"/>
        <family val="2"/>
        <scheme val="minor"/>
      </rPr>
      <t>(Channel)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(Date)</t>
    </r>
    <r>
      <rPr>
        <sz val="11"/>
        <color theme="1"/>
        <rFont val="Calibri"/>
        <family val="2"/>
        <scheme val="minor"/>
      </rPr>
      <t>.xlsx" versions</t>
    </r>
  </si>
  <si>
    <r>
      <t xml:space="preserve">Once pricing is established, you can pull </t>
    </r>
    <r>
      <rPr>
        <u/>
        <sz val="11"/>
        <color theme="1"/>
        <rFont val="Calibri"/>
        <family val="2"/>
        <scheme val="minor"/>
      </rPr>
      <t>account data</t>
    </r>
    <r>
      <rPr>
        <sz val="11"/>
        <color theme="1"/>
        <rFont val="Calibri"/>
        <family val="2"/>
        <scheme val="minor"/>
      </rPr>
      <t xml:space="preserve"> to make individualized "2020-KDP_</t>
    </r>
    <r>
      <rPr>
        <b/>
        <sz val="11"/>
        <color theme="1"/>
        <rFont val="Calibri"/>
        <family val="2"/>
        <scheme val="minor"/>
      </rPr>
      <t>(Location)</t>
    </r>
    <r>
      <rPr>
        <sz val="11"/>
        <color theme="1"/>
        <rFont val="Calibri"/>
        <family val="2"/>
        <scheme val="minor"/>
      </rPr>
      <t>-EDV_Pricing_</t>
    </r>
    <r>
      <rPr>
        <b/>
        <sz val="11"/>
        <color theme="1"/>
        <rFont val="Calibri"/>
        <family val="2"/>
        <scheme val="minor"/>
      </rPr>
      <t>(Account)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(Date)</t>
    </r>
    <r>
      <rPr>
        <sz val="11"/>
        <color theme="1"/>
        <rFont val="Calibri"/>
        <family val="2"/>
        <scheme val="minor"/>
      </rPr>
      <t>.xlsx" versions as needed</t>
    </r>
  </si>
  <si>
    <t>Change "2020 Convenience Non-CMA" to whatever timeframe and channel/chain you are entering data for</t>
  </si>
  <si>
    <r>
      <t xml:space="preserve">** To achieve </t>
    </r>
    <r>
      <rPr>
        <b/>
        <sz val="11"/>
        <rFont val="Calibri"/>
        <family val="2"/>
        <scheme val="minor"/>
      </rPr>
      <t xml:space="preserve">30% </t>
    </r>
    <r>
      <rPr>
        <b/>
        <u/>
        <sz val="11"/>
        <rFont val="Calibri"/>
        <family val="2"/>
        <scheme val="minor"/>
      </rPr>
      <t>volume</t>
    </r>
    <r>
      <rPr>
        <sz val="11"/>
        <rFont val="Calibri"/>
        <family val="2"/>
        <scheme val="minor"/>
      </rPr>
      <t xml:space="preserve">, use a multi-buy rate of </t>
    </r>
    <r>
      <rPr>
        <b/>
        <u/>
        <sz val="11"/>
        <rFont val="Calibri"/>
        <family val="2"/>
        <scheme val="minor"/>
      </rPr>
      <t>17.65%</t>
    </r>
  </si>
  <si>
    <t>Effective Date:  January 1, 2020</t>
  </si>
  <si>
    <t>Simply Bubbles</t>
  </si>
  <si>
    <t>Zesty Lime</t>
  </si>
  <si>
    <t>Orange</t>
  </si>
  <si>
    <t>Lively Lemon</t>
  </si>
  <si>
    <t>Poland Spring - .5L Sparkling</t>
  </si>
  <si>
    <t>Poland Spring Sparkling Water .5L bottles</t>
  </si>
  <si>
    <t>Poland Spring Sparkling Water 1L bottles</t>
  </si>
  <si>
    <t>Poland Spring - 1L Sparkling</t>
  </si>
  <si>
    <t>16oz 24 pack (New York Vending)</t>
  </si>
  <si>
    <t>16oz 24 pack (New Jersey Vending)</t>
  </si>
  <si>
    <t>8 13694-02559 0</t>
  </si>
  <si>
    <t>Lanai Blackberry Lemonade</t>
  </si>
  <si>
    <t>São Paulo Strawberry Lemonode</t>
  </si>
  <si>
    <t>18OZ BAI BLUEBERY LMND BURNDI PET LS12</t>
  </si>
  <si>
    <t>8 13694-02444 9</t>
  </si>
  <si>
    <t>Burundi Blueberry Lemonade</t>
  </si>
  <si>
    <t>São Paulo Strawberry Lemonade</t>
  </si>
  <si>
    <t>7.5OZ CAN DRY BOLD GINGER SCN 6PKX4</t>
  </si>
  <si>
    <t>12OZ CAN DRY BOLD GINGER CN 12PKX2</t>
  </si>
  <si>
    <t>0 78000-03332 8</t>
  </si>
  <si>
    <t>2L CAN DRY BOLD GINGER PET LS8</t>
  </si>
  <si>
    <t>0 78000-03328 1</t>
  </si>
  <si>
    <t>12OZ CAN DRY BOLD GINGER ALE CN LS24</t>
  </si>
  <si>
    <t>0 78000-03331 1</t>
  </si>
  <si>
    <t>100mg Green Mountain Mocha</t>
  </si>
  <si>
    <t>100mg Donut Shop Sweet &amp; Creamy Latte</t>
  </si>
  <si>
    <t>100mg Green Mountain Pure Black</t>
  </si>
  <si>
    <t>100mg Krispy Kreme Original Glazed</t>
  </si>
  <si>
    <t>100mg Gevalia Espresso</t>
  </si>
  <si>
    <t>Forto 60mL shots - 150mg/100mg caffeine</t>
  </si>
  <si>
    <t>Forto 60mL shots - 150mg/100mg (12 units per case)</t>
  </si>
  <si>
    <t>Yoo-hoo 11oz cans (24 units per case)</t>
  </si>
  <si>
    <t>Yoo-hoo 11oz cans 6 pack (4 - 6pk per case)</t>
  </si>
  <si>
    <t>Yoo-hoo 11oz cans 12 pack (2 - 12pk per case)</t>
  </si>
  <si>
    <t>Yoo-hoo 11oz drink box (12 units per case)</t>
  </si>
  <si>
    <t>Yoo-hoo 12oz glass bottles 4 pack (6 - 4pk per case)</t>
  </si>
  <si>
    <t>Yoo-hoo 15.5oz glass bottles (24 units per case)</t>
  </si>
  <si>
    <t>Diet Rite Tangerine</t>
  </si>
  <si>
    <t>16oz Original</t>
  </si>
  <si>
    <t>16oz Picante</t>
  </si>
  <si>
    <t>16oz Preparado</t>
  </si>
  <si>
    <t>16OZ CLAMATO PET LS12</t>
  </si>
  <si>
    <t>0 14800-00637 7</t>
  </si>
  <si>
    <t>16OZ CLAMATO PICANTE PET LS12</t>
  </si>
  <si>
    <t>0 14800-00638 4</t>
  </si>
  <si>
    <t>16OZ CLAMATO PREPARADO PET LS12</t>
  </si>
  <si>
    <t>Lemon</t>
  </si>
  <si>
    <t>Mint</t>
  </si>
  <si>
    <t>8 56496-00652 7</t>
  </si>
  <si>
    <t>8 56496-00653 4</t>
  </si>
  <si>
    <t>Original .5L 4 pack</t>
  </si>
  <si>
    <t>Pressed Pineapple</t>
  </si>
  <si>
    <t>Pressed Mango</t>
  </si>
  <si>
    <t>Pressed Strawberry Banana</t>
  </si>
  <si>
    <t>8 98999-01184 4</t>
  </si>
  <si>
    <t>8 98999-01171 4</t>
  </si>
  <si>
    <t>16OZ SNPREM PINEAPPLE PET LS12</t>
  </si>
  <si>
    <t>0 76183-00742 6</t>
  </si>
  <si>
    <t>2 Liter PET bottles 99¢ PPD (8 units per case)</t>
  </si>
  <si>
    <t>2L 99¢ pre-priced bottles</t>
  </si>
  <si>
    <t>CSD - 2L 99¢</t>
  </si>
  <si>
    <t>0 78000-00153 2</t>
  </si>
  <si>
    <t>0 78000-01360 3</t>
  </si>
  <si>
    <t>0 78000-01766 3</t>
  </si>
  <si>
    <t>0 78000-05068 4</t>
  </si>
  <si>
    <t>0 78000-01729 8</t>
  </si>
  <si>
    <t>0 78000-01731 1</t>
  </si>
  <si>
    <t>0 78000-02352 7</t>
  </si>
  <si>
    <t>0 78000-02841 6</t>
  </si>
  <si>
    <t>0 78000-02844 7</t>
  </si>
  <si>
    <t>0 78000-01697 0</t>
  </si>
  <si>
    <t>0 78000-01733 5</t>
  </si>
  <si>
    <t>0 50200-00099 7</t>
  </si>
  <si>
    <t>0 71817-79921 0</t>
  </si>
  <si>
    <t>0 71817-00113 9</t>
  </si>
  <si>
    <t>0 71817-79993 7</t>
  </si>
  <si>
    <t>0 71817-79985 2</t>
  </si>
  <si>
    <t>0 29500-26933 5</t>
  </si>
  <si>
    <t>0 29500-21933 0</t>
  </si>
  <si>
    <t>0 78000-05083 7</t>
  </si>
  <si>
    <t>0 78000-05081 3</t>
  </si>
  <si>
    <t>2L SUNKIST PEACH PET LS8 PP099</t>
  </si>
  <si>
    <t>0 78000-03427 1</t>
  </si>
  <si>
    <t>0 78000-03429 5</t>
  </si>
  <si>
    <t>2L SUNKIST STRWBRY LEMADE PET LS8 PP099</t>
  </si>
  <si>
    <t>12OZ DR PEPPER CREAM SODA CN 24PK CB</t>
  </si>
  <si>
    <t>0 78000-03423 3</t>
  </si>
  <si>
    <t>12OZ DR PEPPER CREAM SODA CN 24PK SC</t>
  </si>
  <si>
    <t>0 78000-03422 6</t>
  </si>
  <si>
    <t>0 14800-00639 1</t>
  </si>
  <si>
    <r>
      <t>** To achieve 4</t>
    </r>
    <r>
      <rPr>
        <b/>
        <sz val="11"/>
        <rFont val="Calibri"/>
        <family val="2"/>
        <scheme val="minor"/>
      </rPr>
      <t xml:space="preserve">0% </t>
    </r>
    <r>
      <rPr>
        <b/>
        <u/>
        <sz val="11"/>
        <rFont val="Calibri"/>
        <family val="2"/>
        <scheme val="minor"/>
      </rPr>
      <t>volume</t>
    </r>
    <r>
      <rPr>
        <sz val="11"/>
        <rFont val="Calibri"/>
        <family val="2"/>
        <scheme val="minor"/>
      </rPr>
      <t xml:space="preserve">, use a multi-buy rate of </t>
    </r>
    <r>
      <rPr>
        <b/>
        <u/>
        <sz val="11"/>
        <rFont val="Calibri"/>
        <family val="2"/>
        <scheme val="minor"/>
      </rPr>
      <t>25.00%</t>
    </r>
  </si>
  <si>
    <t>0.5L CAN DRY SPRK ORGNL PET 6PKX4</t>
  </si>
  <si>
    <t>0.5L CAN DRY SPRK MND ORNG PET 6PKX4</t>
  </si>
  <si>
    <t>0.5L CAN DRY SPRK RASPBERRY PET 6PKX4</t>
  </si>
  <si>
    <t>0.5L CAN DRY SPRK TRPL BRY PET 6PKX4</t>
  </si>
  <si>
    <t>18.5OZ SNPREM TEA STRGT SWT PET LS12</t>
  </si>
  <si>
    <t>18.5OZ SNPREM TEA STRGT SRT PET LS12</t>
  </si>
  <si>
    <t>18.5OZ SNPREM TEA STRGT UNS PET LS12</t>
  </si>
  <si>
    <t>18.5OZ SNPREM TEA STRGT UNS PET 6PKX4</t>
  </si>
  <si>
    <t>18.5OZ SNPREM TEA STRGT SWT PET 6PKX4</t>
  </si>
  <si>
    <t>18.5OZ SNPREM TEA STRGT SRT PET 6PKX4</t>
  </si>
  <si>
    <t>12OZ CAN DRY SPRK ORGNL CN 8PKX3 NSDM</t>
  </si>
  <si>
    <t>12OZ CAN DRY SPRK GRPFRT CN8PKX3 NSDM</t>
  </si>
  <si>
    <t>12OZ CAN DRY SPRK RSPBY CN 8PKX3 NSDM</t>
  </si>
  <si>
    <t>12OZ CAN DRY SPRK TRPBRY CN8PKX3 NSDM</t>
  </si>
  <si>
    <t>12OZ CAN DRY SPRK APPLE CN 8PKX3 NSDM</t>
  </si>
  <si>
    <t>12OZ CAN DRY SPRK WTRMLN CN 8PKX3 NSDM</t>
  </si>
  <si>
    <t>12OZ CAN DRY LEMNADE GNGR ALE CN 12PKX2</t>
  </si>
  <si>
    <t>2L CAN DRY LEMONADE GNGR ALE PET LS8</t>
  </si>
  <si>
    <t>18OZ BAI COCONUT PINEAPLE PUNA PETLS12</t>
  </si>
  <si>
    <t>18OZ BAI STRWBRY LEMN SAO PAULOPETLS12</t>
  </si>
  <si>
    <t>18OZ BAI SUPERTEA LMNAD TANZ PET LS12</t>
  </si>
  <si>
    <t>18OZ BAI SUPERTEA SWT SOCORO PET LS12</t>
  </si>
  <si>
    <t>18OZ BAI SUPERTEA PCH NARINO PET LS12</t>
  </si>
  <si>
    <t>18OZ BAI COCONUT MANGO MADGSR PET LS12</t>
  </si>
  <si>
    <t>12OZ DT CAN DRY LEMONADE GA CN 12PKX2</t>
  </si>
  <si>
    <t>20OZ DEJA BLUE PET LS24 BRWNS</t>
  </si>
  <si>
    <t>2L SUNKIST STRWBRY LEMADE PET LS8</t>
  </si>
  <si>
    <t>16OZ HYDRIVE GRAPE PET LS12</t>
  </si>
  <si>
    <t>16OZ HYDRIVE KIWI MELON PET LS12</t>
  </si>
  <si>
    <t>16OZ XYIENCE FROSTBRY BLAST CN LS12</t>
  </si>
  <si>
    <t>30.4OZ CORE HYDRATION WATER PET 6PKX2</t>
  </si>
  <si>
    <t>30.4OZ CORE HYDRATION PET LS12</t>
  </si>
  <si>
    <t>18OZ BAI BING CHERRY ZAMBIA PET LS12</t>
  </si>
  <si>
    <t>7.5OZ DT DR PEPPER SCN 10PKX3 PB</t>
  </si>
  <si>
    <t>0.5L VITA COCO PURE COCONUT PET LS12</t>
  </si>
  <si>
    <t>0.5L VITA COCO PRESSED COCONUT PET LS12</t>
  </si>
  <si>
    <t>0.5L VITA COCO COCONUT MANGO PET LS12</t>
  </si>
  <si>
    <t>0.5L VITA COCO CCNT STRWBRY BAN PET LS12</t>
  </si>
  <si>
    <t>11OZ HIGH BREW TRPL BLACK CN LS12</t>
  </si>
  <si>
    <t>11OZ HIGH BREW TRPL ESPRESSO CN LS12</t>
  </si>
  <si>
    <t>11OZ HIGH BREW TRPL MOCHA PRTN CN LS12</t>
  </si>
  <si>
    <t>14OZ RUNA ENERGY HBSCS BRY GLS LS12 NCRB</t>
  </si>
  <si>
    <t>14OZ RUNA ENERGY PEACH GLS LS12 NCRB</t>
  </si>
  <si>
    <t>14OZ RUNA ENERGY GUAVA GLS LS12 NCRB</t>
  </si>
  <si>
    <t>14OZ RUNA ENERGY LEMON GLS LS12 NCRB</t>
  </si>
  <si>
    <t>14OZ RUNA ENERGY MINT GLS LS12 NCRB</t>
  </si>
  <si>
    <t>Runa Energy 14oz glass bottles</t>
  </si>
  <si>
    <t>Runa Energy 14oz glass bottles (12 units per case)</t>
  </si>
  <si>
    <t>500ML EVIAN SPRING WTR PET 6PKX4</t>
  </si>
  <si>
    <t>500mL 6 pack</t>
  </si>
  <si>
    <t>evian Water 500mL PET bottles 6 pack (4 - 6pk per case)</t>
  </si>
  <si>
    <t>evian Water 500mL PET bottles (24 units per case)</t>
  </si>
  <si>
    <t>330ML EVIAN SPRING WTR PET 12PKX2 SPTCP</t>
  </si>
  <si>
    <t>500ML EVIAN SPRING WTR PET LS24</t>
  </si>
  <si>
    <t>500mL</t>
  </si>
  <si>
    <t>13.7OZ PEETS ICE COF COF+CREAM GLS LS12</t>
  </si>
  <si>
    <t>13.7OZ PEETS ICE COF VAN CREAM GLS LS12</t>
  </si>
  <si>
    <t>13.7OZ PEETS ICE COF CML DULCE GLS LS12</t>
  </si>
  <si>
    <t>13.7OZ PEETS ICE COF CHOC TRFFL GLS LS12</t>
  </si>
  <si>
    <t>20oz 99¢ pre-priced bottles</t>
  </si>
  <si>
    <t>20oz PET bottles 99¢ PPD (24 units per case)</t>
  </si>
  <si>
    <t>0 78000-01040 4</t>
  </si>
  <si>
    <t>0 78000-01041 1</t>
  </si>
  <si>
    <t>0 78000-06017 1</t>
  </si>
  <si>
    <t>0 78000-05073 8</t>
  </si>
  <si>
    <t>0 78000-07109 2</t>
  </si>
  <si>
    <t>0 78000-05084 4</t>
  </si>
  <si>
    <t>0 78000-05072 1</t>
  </si>
  <si>
    <t>0 78000-07114 6</t>
  </si>
  <si>
    <t>0 78000-01677 2</t>
  </si>
  <si>
    <t>0 78000-01676 5</t>
  </si>
  <si>
    <t>0 78000-02065 6</t>
  </si>
  <si>
    <t>0 78000-02802 7</t>
  </si>
  <si>
    <t>0 78000-05032 5</t>
  </si>
  <si>
    <t>0 78000-05075 2</t>
  </si>
  <si>
    <t>0 78000-07118 4</t>
  </si>
  <si>
    <t>0 78000-06042 3</t>
  </si>
  <si>
    <t>0 78000-02038 0</t>
  </si>
  <si>
    <t>0 78000-01165 4</t>
  </si>
  <si>
    <t>0 71817-79937 1</t>
  </si>
  <si>
    <t>0 71817-80000 8</t>
  </si>
  <si>
    <t>0 78000-06050 8</t>
  </si>
  <si>
    <t>20OZ SUNKIST STRWBRY LMND PET LS24 PP099</t>
  </si>
  <si>
    <t>0 78000-03424 0</t>
  </si>
  <si>
    <t>CSD - 20oz 99¢</t>
  </si>
  <si>
    <t>18OZ BAI BLKBRY LEMONADE LANAI PET LS12</t>
  </si>
  <si>
    <t>Vernors Ginger Soda</t>
  </si>
  <si>
    <t>Diet Vernors Ginger Soda</t>
  </si>
  <si>
    <t>Vernors Ginger Soda (Deposit)</t>
  </si>
  <si>
    <t>12OZ CRUSH GRAPE SUGR GLS 4PKX6</t>
  </si>
  <si>
    <t>0 78000-02757 0</t>
  </si>
  <si>
    <t>Dr Pepper (FCB)</t>
  </si>
  <si>
    <t>Big Red (FCB)</t>
  </si>
  <si>
    <t xml:space="preserve">2.5GAL DR PEPPER BIB FCB  </t>
  </si>
  <si>
    <t>0 54900-01053 9</t>
  </si>
  <si>
    <t xml:space="preserve">2.5GAL BIG RED BIB FCB   </t>
  </si>
  <si>
    <t>0 71817-00265 5</t>
  </si>
  <si>
    <t xml:space="preserve">5GAL DR PEPPER BIB FCB    </t>
  </si>
  <si>
    <t>0 54900-80005 5</t>
  </si>
  <si>
    <t>Canfield's Sparkling Seltzer Water .5L 6 pack bottles</t>
  </si>
  <si>
    <t>Canfield's Sparkling Seltzer Water 12oz 12 pack cans</t>
  </si>
  <si>
    <t>Canfield's Sparkling Seltzer Water 2L bottles</t>
  </si>
  <si>
    <t>Canfield's - 12pk cans</t>
  </si>
  <si>
    <t>Canfield's - .5L 6pks</t>
  </si>
  <si>
    <t>Canfield's - 2L</t>
  </si>
  <si>
    <t>Canfield's Seltzer Water .5L PET bottles 6 pack (4 - 6pk per case)</t>
  </si>
  <si>
    <t>Canfield's Seltzer Water 12oz cans 12 pack (2 - 12pk per case)</t>
  </si>
  <si>
    <t>Canfield's Seltzer Water 2L PET bottles (8 units per case)</t>
  </si>
  <si>
    <t>Canada Dry Sparkling .5L PET bottles 6 pack (4 - 6pk per case)</t>
  </si>
  <si>
    <t>Canada Dry Sparkling 12oz cans 8 pack (3 - 8pk per case)</t>
  </si>
  <si>
    <t>Canada Dry Sparkling 12oz cans 12 pack (2 - 12pk per case)</t>
  </si>
  <si>
    <t>Canada Dry Sparkling 20oz PET bottles (24 units per case)</t>
  </si>
  <si>
    <t>Canada Dry Sparkling 1L PET bottles (12 units per case)</t>
  </si>
  <si>
    <t>Canada Dry Sparkling 2L PET bottles (8 units per case)</t>
  </si>
  <si>
    <t>Canada Dry Mixers 10oz glass bottles 6 pack (4 - 6pk per case)</t>
  </si>
  <si>
    <t>Canada Dry Mixers 10oz PET bottles 6 pack (4 - 6pk per case)</t>
  </si>
  <si>
    <t>Canada Dry Mixers 1L PET bottles (15 units per case)</t>
  </si>
  <si>
    <t>Canada Dry Mixers 1L PET bottles (12 units per case)</t>
  </si>
  <si>
    <t>CANFIELD'S</t>
  </si>
  <si>
    <t>DR. BROWN'S</t>
  </si>
  <si>
    <t>Canada Dry Sparkling 2L PET bottles (6 units per case)</t>
  </si>
  <si>
    <t>Canada Dry Sparkling Water 2L bottles - 6 count</t>
  </si>
  <si>
    <t>CDSW - 2L-6 ct</t>
  </si>
  <si>
    <t>Big Red Real Sugar</t>
  </si>
  <si>
    <t>Mystery Flavor</t>
  </si>
  <si>
    <t>0 76183-00700 6</t>
  </si>
  <si>
    <t>16OZ SNPREM MYSTERY FLAVOR PET LS12</t>
  </si>
  <si>
    <t>16OZ SNPREM LEMNDE STRW PNAPL GLS 6PKX4</t>
  </si>
  <si>
    <t>16OZ SNPREM LEMNADE BLKCHRY GLS 6PKX4</t>
  </si>
  <si>
    <t>12oz Organics Apple Juice</t>
  </si>
  <si>
    <t>12oz Organics Orange Juice</t>
  </si>
  <si>
    <t>12oz Organics Fruit Punch</t>
  </si>
  <si>
    <t>12OZ COTTON CLUB 50-50 CN 6PKX4 HC</t>
  </si>
  <si>
    <t>12OZ CANFLD 50-50 CN 12PK</t>
  </si>
  <si>
    <t>12OZ DT C-F DR PEPPER CN 12PKX2</t>
  </si>
  <si>
    <t>2L DT C-F DR PEPPER PET LS8</t>
  </si>
  <si>
    <t>2L COTTON CLUB 50-50 PET LS8</t>
  </si>
  <si>
    <t>2L DT GRAF 50-50 PET LS8</t>
  </si>
  <si>
    <t>2L GRAF 50-50 PET LS8</t>
  </si>
  <si>
    <t xml:space="preserve">          10000180</t>
  </si>
  <si>
    <t xml:space="preserve">          10000041</t>
  </si>
  <si>
    <t xml:space="preserve">          10000042</t>
  </si>
  <si>
    <t xml:space="preserve">          10000795</t>
  </si>
  <si>
    <t xml:space="preserve">          10000045</t>
  </si>
  <si>
    <t xml:space="preserve">          10000840</t>
  </si>
  <si>
    <t xml:space="preserve">          10000043</t>
  </si>
  <si>
    <t xml:space="preserve">          10000841</t>
  </si>
  <si>
    <t xml:space="preserve">          10000098</t>
  </si>
  <si>
    <t xml:space="preserve">          10000039</t>
  </si>
  <si>
    <t xml:space="preserve">          10000239</t>
  </si>
  <si>
    <t xml:space="preserve">          10000324</t>
  </si>
  <si>
    <t xml:space="preserve">          10000246</t>
  </si>
  <si>
    <t xml:space="preserve">          10000219</t>
  </si>
  <si>
    <t xml:space="preserve">          10000331</t>
  </si>
  <si>
    <t xml:space="preserve">          10000252</t>
  </si>
  <si>
    <t xml:space="preserve">          10000254</t>
  </si>
  <si>
    <t xml:space="preserve">          10000323</t>
  </si>
  <si>
    <t xml:space="preserve">          10000304</t>
  </si>
  <si>
    <t xml:space="preserve">          10000360</t>
  </si>
  <si>
    <t xml:space="preserve">          10000320</t>
  </si>
  <si>
    <t xml:space="preserve">          10000714</t>
  </si>
  <si>
    <t xml:space="preserve">          10000329</t>
  </si>
  <si>
    <t xml:space="preserve">          10000675</t>
  </si>
  <si>
    <t xml:space="preserve">          10000701</t>
  </si>
  <si>
    <t xml:space="preserve">          10000328</t>
  </si>
  <si>
    <t xml:space="preserve">          10120844</t>
  </si>
  <si>
    <t xml:space="preserve">          10000715</t>
  </si>
  <si>
    <t xml:space="preserve">          10120846</t>
  </si>
  <si>
    <t xml:space="preserve">          10000814</t>
  </si>
  <si>
    <t xml:space="preserve">          10120848</t>
  </si>
  <si>
    <t xml:space="preserve">          10000705</t>
  </si>
  <si>
    <t xml:space="preserve">          10000562</t>
  </si>
  <si>
    <t xml:space="preserve">          10000790</t>
  </si>
  <si>
    <t xml:space="preserve">          10000839</t>
  </si>
  <si>
    <t xml:space="preserve">          10000857</t>
  </si>
  <si>
    <t xml:space="preserve">          10000902</t>
  </si>
  <si>
    <t xml:space="preserve">          10001049</t>
  </si>
  <si>
    <t xml:space="preserve">          10001245</t>
  </si>
  <si>
    <t xml:space="preserve">          10001067</t>
  </si>
  <si>
    <t xml:space="preserve">          10001069</t>
  </si>
  <si>
    <t xml:space="preserve">          10001134</t>
  </si>
  <si>
    <t xml:space="preserve">          10001255</t>
  </si>
  <si>
    <t xml:space="preserve">          10001263</t>
  </si>
  <si>
    <t xml:space="preserve">          10001314</t>
  </si>
  <si>
    <t xml:space="preserve">          10001254</t>
  </si>
  <si>
    <t xml:space="preserve">          10001402</t>
  </si>
  <si>
    <t xml:space="preserve">          10001337</t>
  </si>
  <si>
    <t xml:space="preserve">          10001732</t>
  </si>
  <si>
    <t xml:space="preserve">          10001440</t>
  </si>
  <si>
    <t xml:space="preserve">          10006325</t>
  </si>
  <si>
    <t xml:space="preserve">          10003150</t>
  </si>
  <si>
    <t xml:space="preserve">          10006598</t>
  </si>
  <si>
    <t xml:space="preserve">          10001471</t>
  </si>
  <si>
    <t xml:space="preserve">          10003155</t>
  </si>
  <si>
    <t xml:space="preserve">          10001288</t>
  </si>
  <si>
    <t xml:space="preserve">          10012014</t>
  </si>
  <si>
    <t xml:space="preserve">          10003158</t>
  </si>
  <si>
    <t xml:space="preserve">          10001289</t>
  </si>
  <si>
    <t xml:space="preserve">          10001468</t>
  </si>
  <si>
    <t xml:space="preserve">          10001290</t>
  </si>
  <si>
    <t xml:space="preserve">          10031907</t>
  </si>
  <si>
    <t xml:space="preserve">          10001470</t>
  </si>
  <si>
    <t xml:space="preserve">          10081669</t>
  </si>
  <si>
    <t xml:space="preserve">          10001692</t>
  </si>
  <si>
    <t xml:space="preserve">          10001606</t>
  </si>
  <si>
    <t xml:space="preserve">          10087800</t>
  </si>
  <si>
    <t xml:space="preserve">          10001714</t>
  </si>
  <si>
    <t xml:space="preserve">          10087792</t>
  </si>
  <si>
    <t xml:space="preserve">          10002245</t>
  </si>
  <si>
    <t xml:space="preserve">          10003149</t>
  </si>
  <si>
    <t xml:space="preserve">          10003151</t>
  </si>
  <si>
    <t xml:space="preserve">          10003152</t>
  </si>
  <si>
    <t xml:space="preserve">          10003153</t>
  </si>
  <si>
    <t xml:space="preserve">          10003156</t>
  </si>
  <si>
    <t xml:space="preserve">          10011916</t>
  </si>
  <si>
    <t xml:space="preserve">          10011917</t>
  </si>
  <si>
    <t xml:space="preserve">          10011920</t>
  </si>
  <si>
    <t xml:space="preserve">          10011921</t>
  </si>
  <si>
    <t xml:space="preserve">          10011922</t>
  </si>
  <si>
    <t xml:space="preserve">          10026326</t>
  </si>
  <si>
    <t xml:space="preserve">          10011923</t>
  </si>
  <si>
    <t xml:space="preserve">          10021945</t>
  </si>
  <si>
    <t xml:space="preserve">          10021949</t>
  </si>
  <si>
    <t xml:space="preserve">          10021983</t>
  </si>
  <si>
    <t xml:space="preserve">          10081665</t>
  </si>
  <si>
    <t xml:space="preserve">          10021984</t>
  </si>
  <si>
    <t xml:space="preserve">          10023856</t>
  </si>
  <si>
    <t xml:space="preserve">          10036225</t>
  </si>
  <si>
    <t xml:space="preserve">          10023918</t>
  </si>
  <si>
    <t xml:space="preserve">          10006385</t>
  </si>
  <si>
    <t xml:space="preserve">          10123483</t>
  </si>
  <si>
    <t xml:space="preserve">          10123484</t>
  </si>
  <si>
    <t xml:space="preserve">          10123486</t>
  </si>
  <si>
    <t xml:space="preserve">          10123487</t>
  </si>
  <si>
    <t xml:space="preserve">          10123497</t>
  </si>
  <si>
    <t xml:space="preserve">          10078679</t>
  </si>
  <si>
    <t xml:space="preserve">          10027353</t>
  </si>
  <si>
    <t xml:space="preserve">          10120847</t>
  </si>
  <si>
    <t xml:space="preserve">          10120845</t>
  </si>
  <si>
    <t xml:space="preserve">          10120849</t>
  </si>
  <si>
    <t xml:space="preserve">          10056913</t>
  </si>
  <si>
    <t xml:space="preserve">          10123488</t>
  </si>
  <si>
    <t xml:space="preserve">          10123495</t>
  </si>
  <si>
    <t xml:space="preserve">          10074442</t>
  </si>
  <si>
    <t xml:space="preserve">          10123498</t>
  </si>
  <si>
    <t xml:space="preserve">          20001016</t>
  </si>
  <si>
    <t xml:space="preserve">          10033523</t>
  </si>
  <si>
    <t xml:space="preserve">          10123491</t>
  </si>
  <si>
    <t xml:space="preserve">          10123492</t>
  </si>
  <si>
    <t xml:space="preserve">          10078957</t>
  </si>
  <si>
    <t xml:space="preserve">          10123496</t>
  </si>
  <si>
    <t xml:space="preserve">          10090162</t>
  </si>
  <si>
    <t xml:space="preserve">          10081667</t>
  </si>
  <si>
    <t xml:space="preserve">          10020911</t>
  </si>
  <si>
    <t xml:space="preserve">          10026324</t>
  </si>
  <si>
    <t xml:space="preserve">          10033321</t>
  </si>
  <si>
    <t xml:space="preserve">          10090163</t>
  </si>
  <si>
    <t xml:space="preserve">          10090165</t>
  </si>
  <si>
    <t xml:space="preserve">          10090166</t>
  </si>
  <si>
    <t xml:space="preserve">          10081625</t>
  </si>
  <si>
    <t xml:space="preserve">          10081626</t>
  </si>
  <si>
    <t xml:space="preserve">          10081663</t>
  </si>
  <si>
    <t xml:space="preserve">          10081666</t>
  </si>
  <si>
    <t xml:space="preserve">          10078956</t>
  </si>
  <si>
    <t xml:space="preserve">          10066318</t>
  </si>
  <si>
    <t xml:space="preserve">          10090164</t>
  </si>
  <si>
    <t xml:space="preserve">          10088173</t>
  </si>
  <si>
    <t xml:space="preserve">          10027594</t>
  </si>
  <si>
    <t xml:space="preserve">          10109988</t>
  </si>
  <si>
    <t xml:space="preserve">          10087177</t>
  </si>
  <si>
    <t xml:space="preserve">          10099502</t>
  </si>
  <si>
    <t xml:space="preserve">          10099489</t>
  </si>
  <si>
    <t xml:space="preserve">          10110019</t>
  </si>
  <si>
    <t xml:space="preserve">          10068817</t>
  </si>
  <si>
    <t xml:space="preserve">          10110030</t>
  </si>
  <si>
    <t xml:space="preserve">          10110013</t>
  </si>
  <si>
    <t xml:space="preserve">          10109976</t>
  </si>
  <si>
    <t xml:space="preserve">          10120841</t>
  </si>
  <si>
    <t xml:space="preserve">          10120842</t>
  </si>
  <si>
    <t xml:space="preserve">          10109991</t>
  </si>
  <si>
    <t xml:space="preserve">          10120840</t>
  </si>
  <si>
    <t xml:space="preserve">          10110024</t>
  </si>
  <si>
    <t xml:space="preserve">          10123485</t>
  </si>
  <si>
    <t xml:space="preserve">          10090142</t>
  </si>
  <si>
    <t xml:space="preserve">          10123499</t>
  </si>
  <si>
    <t xml:space="preserve">          10123494</t>
  </si>
  <si>
    <t xml:space="preserve">          10110029</t>
  </si>
  <si>
    <t xml:space="preserve">          20001374</t>
  </si>
  <si>
    <t xml:space="preserve">          20001375</t>
  </si>
  <si>
    <t xml:space="preserve">          10110047</t>
  </si>
  <si>
    <t xml:space="preserve">          20001377</t>
  </si>
  <si>
    <t xml:space="preserve">          20001379</t>
  </si>
  <si>
    <t xml:space="preserve">          20001380</t>
  </si>
  <si>
    <t xml:space="preserve">          10110057</t>
  </si>
  <si>
    <t xml:space="preserve">          20001385</t>
  </si>
  <si>
    <t xml:space="preserve">          20001392</t>
  </si>
  <si>
    <t xml:space="preserve">          10115737</t>
  </si>
  <si>
    <t xml:space="preserve">          10120843</t>
  </si>
  <si>
    <t xml:space="preserve">          10100195</t>
  </si>
  <si>
    <t xml:space="preserve">          10100209</t>
  </si>
  <si>
    <t xml:space="preserve">          10121163</t>
  </si>
  <si>
    <t xml:space="preserve">          10100211</t>
  </si>
  <si>
    <t xml:space="preserve">          10100217</t>
  </si>
  <si>
    <t xml:space="preserve">          10100219</t>
  </si>
  <si>
    <t xml:space="preserve">          10100221</t>
  </si>
  <si>
    <t xml:space="preserve">          10123489</t>
  </si>
  <si>
    <t xml:space="preserve">          10123490</t>
  </si>
  <si>
    <t xml:space="preserve">          10109723</t>
  </si>
  <si>
    <t xml:space="preserve">          10126299</t>
  </si>
  <si>
    <t xml:space="preserve">          10121162</t>
  </si>
  <si>
    <t xml:space="preserve">          10109992</t>
  </si>
  <si>
    <t xml:space="preserve">          10126297</t>
  </si>
  <si>
    <t xml:space="preserve">          10126298</t>
  </si>
  <si>
    <t xml:space="preserve">          10127532</t>
  </si>
  <si>
    <t xml:space="preserve">          10127187</t>
  </si>
  <si>
    <t xml:space="preserve">          10123993</t>
  </si>
  <si>
    <t xml:space="preserve">          20020467</t>
  </si>
  <si>
    <t xml:space="preserve">          20023307</t>
  </si>
  <si>
    <t xml:space="preserve">          20023308</t>
  </si>
  <si>
    <t xml:space="preserve">          20023309</t>
  </si>
  <si>
    <t xml:space="preserve">          20020469</t>
  </si>
  <si>
    <t xml:space="preserve">          20020669</t>
  </si>
  <si>
    <t xml:space="preserve">          20009744</t>
  </si>
  <si>
    <t xml:space="preserve">          20026469</t>
  </si>
  <si>
    <t xml:space="preserve">          20000950</t>
  </si>
  <si>
    <t xml:space="preserve">          20001371</t>
  </si>
  <si>
    <t xml:space="preserve">          20022993</t>
  </si>
  <si>
    <t xml:space="preserve">          20009723</t>
  </si>
  <si>
    <t xml:space="preserve">          20027027</t>
  </si>
  <si>
    <t>16OZ SNPREM PINEAPPLE PET LS24</t>
  </si>
  <si>
    <r>
      <rPr>
        <b/>
        <sz val="11"/>
        <color theme="1"/>
        <rFont val="Calibri"/>
        <family val="2"/>
        <scheme val="minor"/>
      </rPr>
      <t>Facility Active + New</t>
    </r>
    <r>
      <rPr>
        <sz val="11"/>
        <color theme="1"/>
        <rFont val="Calibri"/>
        <family val="2"/>
        <scheme val="minor"/>
      </rPr>
      <t xml:space="preserve">- shows items that occur in either </t>
    </r>
    <r>
      <rPr>
        <b/>
        <sz val="11"/>
        <color theme="1"/>
        <rFont val="Calibri"/>
        <family val="2"/>
        <scheme val="minor"/>
      </rPr>
      <t>Facility Data Tab</t>
    </r>
    <r>
      <rPr>
        <sz val="11"/>
        <color theme="1"/>
        <rFont val="Calibri"/>
        <family val="2"/>
        <scheme val="minor"/>
      </rPr>
      <t xml:space="preserve"> or </t>
    </r>
    <r>
      <rPr>
        <b/>
        <sz val="11"/>
        <color theme="1"/>
        <rFont val="Calibri"/>
        <family val="2"/>
        <scheme val="minor"/>
      </rPr>
      <t>New Items Tab</t>
    </r>
  </si>
  <si>
    <t>_HEADER</t>
  </si>
  <si>
    <t>Lenexa</t>
  </si>
  <si>
    <t>Item Data Tab</t>
  </si>
  <si>
    <t>Pricing Data Tab</t>
  </si>
  <si>
    <r>
      <t xml:space="preserve">List of common promo plan pricing to quickly populate the </t>
    </r>
    <r>
      <rPr>
        <b/>
        <sz val="11"/>
        <color theme="1"/>
        <rFont val="Calibri"/>
        <family val="2"/>
        <scheme val="minor"/>
      </rPr>
      <t>Overview Tab</t>
    </r>
  </si>
  <si>
    <r>
      <t xml:space="preserve">Disco Data </t>
    </r>
    <r>
      <rPr>
        <b/>
        <sz val="12"/>
        <color rgb="FFFF0000"/>
        <rFont val="Calibri"/>
        <family val="2"/>
        <scheme val="minor"/>
      </rPr>
      <t>(awaiting update)</t>
    </r>
  </si>
  <si>
    <r>
      <t xml:space="preserve">** </t>
    </r>
    <r>
      <rPr>
        <b/>
        <sz val="11"/>
        <color rgb="FFFF0000"/>
        <rFont val="Calibri"/>
        <family val="2"/>
        <scheme val="minor"/>
      </rPr>
      <t>Active Pricing</t>
    </r>
    <r>
      <rPr>
        <sz val="11"/>
        <color theme="1"/>
        <rFont val="Calibri"/>
        <family val="2"/>
        <scheme val="minor"/>
      </rPr>
      <t xml:space="preserve">- Selecting this and unchecking "0.00" will remove all entries that did not receive pricing from the </t>
    </r>
    <r>
      <rPr>
        <b/>
        <sz val="11"/>
        <color theme="1"/>
        <rFont val="Calibri"/>
        <family val="2"/>
        <scheme val="minor"/>
      </rPr>
      <t>Overview Tab</t>
    </r>
  </si>
  <si>
    <r>
      <t xml:space="preserve">**Entering a </t>
    </r>
    <r>
      <rPr>
        <b/>
        <sz val="11"/>
        <color theme="1"/>
        <rFont val="Calibri"/>
        <family val="2"/>
        <scheme val="minor"/>
      </rPr>
      <t>Case Cost</t>
    </r>
    <r>
      <rPr>
        <sz val="11"/>
        <color theme="1"/>
        <rFont val="Calibri"/>
        <family val="2"/>
        <scheme val="minor"/>
      </rPr>
      <t xml:space="preserve"> of "0.00" will allow you to use the "Active" filter to remove product groups not carried</t>
    </r>
  </si>
  <si>
    <t>SUNKIST</t>
  </si>
  <si>
    <t>SQUIRT</t>
  </si>
  <si>
    <t>Plains</t>
  </si>
  <si>
    <t>Cedar Rapids</t>
  </si>
  <si>
    <t>Des Moines</t>
  </si>
  <si>
    <t>Des Moines - Franchise Distributors</t>
  </si>
  <si>
    <t>Fargo</t>
  </si>
  <si>
    <t>Hazelwood</t>
  </si>
  <si>
    <t>Hazelwood - Franchise Distributors</t>
  </si>
  <si>
    <t>Omaha - Franchise Distributors</t>
  </si>
  <si>
    <t>Springfield - Franchise Distributors</t>
  </si>
  <si>
    <t>Twin Cities - Franchise Distributors</t>
  </si>
  <si>
    <t>Jefferson City - Hannibal</t>
  </si>
  <si>
    <t>Jefferson City</t>
  </si>
  <si>
    <t>Jefferson City - Quincy</t>
  </si>
  <si>
    <t>Jefferson City - Columbia, MO</t>
  </si>
  <si>
    <t>Jefferson City - Farmington</t>
  </si>
  <si>
    <t>Jefferson City - Hermann</t>
  </si>
  <si>
    <t>Jefferson City - Kirksville</t>
  </si>
  <si>
    <t>Jefferson City - Kohl JCK</t>
  </si>
  <si>
    <t>Jefferson City - Kohl PB</t>
  </si>
  <si>
    <t>Jefferson City - Rolla</t>
  </si>
  <si>
    <t>Jefferson City - Springfield</t>
  </si>
  <si>
    <t>Oklahoma City</t>
  </si>
  <si>
    <t>Ottumwa</t>
  </si>
  <si>
    <t>Spencer</t>
  </si>
  <si>
    <t>Superior</t>
  </si>
  <si>
    <t>Topeka</t>
  </si>
  <si>
    <t>Tulsa</t>
  </si>
  <si>
    <t>Twin Cities</t>
  </si>
  <si>
    <t>Wichita</t>
  </si>
  <si>
    <t>Plains CMA - Base</t>
  </si>
  <si>
    <t>Plains CMA - Tier 2</t>
  </si>
  <si>
    <t>Plains CMA - Tier 1</t>
  </si>
  <si>
    <t>Default</t>
  </si>
  <si>
    <t>CUSTOM</t>
  </si>
  <si>
    <t>DATA IN USE</t>
  </si>
  <si>
    <t>A&amp;W</t>
  </si>
  <si>
    <t>Location: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</si>
  <si>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</si>
  <si>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</si>
  <si>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</si>
  <si>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</si>
  <si>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</si>
  <si>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</si>
  <si>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</si>
  <si>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</si>
  <si>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</si>
  <si>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</si>
  <si>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</si>
  <si>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</si>
  <si>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</si>
  <si>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</si>
  <si>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</si>
  <si>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</si>
  <si>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</si>
  <si>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</si>
  <si>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</si>
  <si>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</si>
  <si>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</si>
  <si>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</si>
  <si>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</si>
  <si>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</si>
  <si>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</si>
  <si>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Promo Plan:</t>
  </si>
  <si>
    <t>Reset Pricing</t>
  </si>
  <si>
    <t>Promo Pricing Plans:</t>
  </si>
  <si>
    <t>Column27</t>
  </si>
  <si>
    <t>Column28</t>
  </si>
  <si>
    <t>Column29</t>
  </si>
  <si>
    <t>Column30</t>
  </si>
  <si>
    <t>Column31</t>
  </si>
  <si>
    <t>Column32</t>
  </si>
  <si>
    <t>Column33</t>
  </si>
  <si>
    <t>Column212</t>
  </si>
  <si>
    <t>Column292</t>
  </si>
  <si>
    <t>Column92</t>
  </si>
  <si>
    <t>Column93</t>
  </si>
  <si>
    <t>Column932</t>
  </si>
  <si>
    <t>** Instructions have not been updated to reflect the new Drop Down box selection process **</t>
  </si>
  <si>
    <t xml:space="preserve"> </t>
  </si>
  <si>
    <t>0 78000-00404 5</t>
  </si>
  <si>
    <t>8 19858-02045 6</t>
  </si>
  <si>
    <t>8 19858-02049 4</t>
  </si>
  <si>
    <t>8 19858-02047 0</t>
  </si>
  <si>
    <t>8 19858-02043 2</t>
  </si>
  <si>
    <t xml:space="preserve">          20031544</t>
  </si>
  <si>
    <t xml:space="preserve">          20031545</t>
  </si>
  <si>
    <t xml:space="preserve">          10085703</t>
  </si>
  <si>
    <t xml:space="preserve">          10126464</t>
  </si>
  <si>
    <t xml:space="preserve">          10128315</t>
  </si>
  <si>
    <t xml:space="preserve">          10128316</t>
  </si>
  <si>
    <t xml:space="preserve">          10130138</t>
  </si>
  <si>
    <t xml:space="preserve">          10130139</t>
  </si>
  <si>
    <t xml:space="preserve">          10130141</t>
  </si>
  <si>
    <t xml:space="preserve">          10130142</t>
  </si>
  <si>
    <t xml:space="preserve">          10130144</t>
  </si>
  <si>
    <t xml:space="preserve">          10133232</t>
  </si>
  <si>
    <t xml:space="preserve">          10000094</t>
  </si>
  <si>
    <t xml:space="preserve">          10126466</t>
  </si>
  <si>
    <t xml:space="preserve">          10121081</t>
  </si>
  <si>
    <t xml:space="preserve">          10121082</t>
  </si>
  <si>
    <t xml:space="preserve">          10121083</t>
  </si>
  <si>
    <t xml:space="preserve">          10000069</t>
  </si>
  <si>
    <t xml:space="preserve">          10003039</t>
  </si>
  <si>
    <t xml:space="preserve">          20028251</t>
  </si>
  <si>
    <t xml:space="preserve">          10001100</t>
  </si>
  <si>
    <t xml:space="preserve">          10001136</t>
  </si>
  <si>
    <t xml:space="preserve">          10001142</t>
  </si>
  <si>
    <t xml:space="preserve">          10002897</t>
  </si>
  <si>
    <t xml:space="preserve">          10133014</t>
  </si>
  <si>
    <t xml:space="preserve">          10128281</t>
  </si>
  <si>
    <t xml:space="preserve">          10132369</t>
  </si>
  <si>
    <t xml:space="preserve">          10132370</t>
  </si>
  <si>
    <t xml:space="preserve">          10132776</t>
  </si>
  <si>
    <t xml:space="preserve">          10132777</t>
  </si>
  <si>
    <t xml:space="preserve">          10001685</t>
  </si>
  <si>
    <t xml:space="preserve">          10021517</t>
  </si>
  <si>
    <t xml:space="preserve">          10119613</t>
  </si>
  <si>
    <t xml:space="preserve">          10119618</t>
  </si>
  <si>
    <t xml:space="preserve">          10090161</t>
  </si>
  <si>
    <t xml:space="preserve">          10000017</t>
  </si>
  <si>
    <t xml:space="preserve">          10000028</t>
  </si>
  <si>
    <t xml:space="preserve">          10130146</t>
  </si>
  <si>
    <t xml:space="preserve">          10130148</t>
  </si>
  <si>
    <t xml:space="preserve">          10130149</t>
  </si>
  <si>
    <t xml:space="preserve">          10130150</t>
  </si>
  <si>
    <t xml:space="preserve">          10130151</t>
  </si>
  <si>
    <t xml:space="preserve">          20031511</t>
  </si>
  <si>
    <t xml:space="preserve">          20031512</t>
  </si>
  <si>
    <t xml:space="preserve">          10002284</t>
  </si>
  <si>
    <t xml:space="preserve">          10000009</t>
  </si>
  <si>
    <t xml:space="preserve">          10000011</t>
  </si>
  <si>
    <t xml:space="preserve">          10000012</t>
  </si>
  <si>
    <t xml:space="preserve">          10120971</t>
  </si>
  <si>
    <t xml:space="preserve">          10000032</t>
  </si>
  <si>
    <t xml:space="preserve">          10000051</t>
  </si>
  <si>
    <t xml:space="preserve">          10000104</t>
  </si>
  <si>
    <t xml:space="preserve">          10000184</t>
  </si>
  <si>
    <t xml:space="preserve">          10000225</t>
  </si>
  <si>
    <t xml:space="preserve">          10000226</t>
  </si>
  <si>
    <t xml:space="preserve">          10000227</t>
  </si>
  <si>
    <t xml:space="preserve">          10000228</t>
  </si>
  <si>
    <t xml:space="preserve">          10000880</t>
  </si>
  <si>
    <t xml:space="preserve">          10001071</t>
  </si>
  <si>
    <t xml:space="preserve">          10036798</t>
  </si>
  <si>
    <t xml:space="preserve">          10097659</t>
  </si>
  <si>
    <t xml:space="preserve">          10126463</t>
  </si>
  <si>
    <t xml:space="preserve">          10126465</t>
  </si>
  <si>
    <t xml:space="preserve">          10127617</t>
  </si>
  <si>
    <t xml:space="preserve">          10127619</t>
  </si>
  <si>
    <t xml:space="preserve">          10132995</t>
  </si>
  <si>
    <t xml:space="preserve">          10133986</t>
  </si>
  <si>
    <t xml:space="preserve">          20028021</t>
  </si>
  <si>
    <t>v.4.0</t>
  </si>
  <si>
    <t>1013xxxx</t>
  </si>
  <si>
    <t>16OZ SNPREM ELMNTS RAIN LS12</t>
  </si>
  <si>
    <t>16OZ SNPREM ELMNTS FIRE LS12</t>
  </si>
  <si>
    <t>16OZ SNPREM ELMNTS AIR LS12</t>
  </si>
  <si>
    <t>16OZ SNPREM TEA PEACH PET LS12 ZULU</t>
  </si>
  <si>
    <t>16OZ SNPREM KIWI STRW PET LS12 ZULU</t>
  </si>
  <si>
    <t>16OZ SNPREM FRUIT PUNCH PET LS12 ZULU</t>
  </si>
  <si>
    <t>16OZ DT SNPREM TEA PEACH PET LS12 ZULU</t>
  </si>
  <si>
    <t>16OZ SNPREM TEA LEMON PET LS12 ZULU</t>
  </si>
  <si>
    <t>16OZ SNPREM TEA HH LMD PET LS12 ZULU</t>
  </si>
  <si>
    <t>16OZ SNPREM PCH MNGOSTEEN PET LS12 ZULU</t>
  </si>
  <si>
    <t>16OZ DT SNPREM TEA HH LMD PET LS12 ZULU</t>
  </si>
  <si>
    <t>16OZ SNPREM TEA RSPBRY PET LS12 ZULU</t>
  </si>
  <si>
    <t>16OZ DT SNPREM TEA LEMON PET LS12 ZULU</t>
  </si>
  <si>
    <t>16OZ DT SNPREM TEA RSPBRY PET LS12 ZULU</t>
  </si>
  <si>
    <t>16OZ DT SNPREM CRAN RSPBRY PET LS12 ZULU</t>
  </si>
  <si>
    <t>16OZ DT SNPREM NONI BERRYPET LS12 ZULU</t>
  </si>
  <si>
    <t>16OZ SNPREM APPLE PET LS12 ZULU</t>
  </si>
  <si>
    <t>16OZ SNPREM TEA MANGO PET LS12 ZULU</t>
  </si>
  <si>
    <t>16OZ DT SNPREM TEA MANGO PET LS12 ZULU</t>
  </si>
  <si>
    <t>16OZ SNPREM LEMND PINK PET LS12 ZULU</t>
  </si>
  <si>
    <t>16OZ SNPREM LEMND WTRMLN PET LS12 ZULU</t>
  </si>
  <si>
    <t>16OZ SNPREM LEMND BLKCHRY PET LS12 ZULU</t>
  </si>
  <si>
    <t>16OZ SNPREM LEMND STWPNPL PET LS12 ZULU</t>
  </si>
  <si>
    <t>16OZ SNPREM LEMND STWPNPL PET LS24 ZULU</t>
  </si>
  <si>
    <t>16OZ SNPREM LEMND BLKCHRY PET LS24 ZULU</t>
  </si>
  <si>
    <t>16OZ SNPREM LEMND PINK PET LS24 ZULU</t>
  </si>
  <si>
    <t>16OZ SNPREM LEMND WTRMLN PET LS24 ZULU</t>
  </si>
  <si>
    <t>16OZ SNPREM PCH MNGOSTEEN PET LS24 ZULU</t>
  </si>
  <si>
    <t>16OZ SNPREM LEMONADE PET LS24 ZULU</t>
  </si>
  <si>
    <t>16OZ SNPREM RASP PEACH PET LS24 ZULU</t>
  </si>
  <si>
    <t>16OZ SNPREM TEA RSPBRY PET LS24 ZULU</t>
  </si>
  <si>
    <t>16OZ DT SNPREM CRAN RSPBRY PET LS24 ZULU</t>
  </si>
  <si>
    <t>16OZ DT SNPREM NONI BERRY PET LS24 ZULU</t>
  </si>
  <si>
    <t>16OZ DT SNPREM TEA HH LMD PET LS24 ZULU</t>
  </si>
  <si>
    <t>16OZ DT SNPREM TEA GREEN PET LS24 ZULU</t>
  </si>
  <si>
    <t>16OZ DT SNPREM TEA LEMON PET LS24 ZULU</t>
  </si>
  <si>
    <t>16OZ SNPREM TEA GREEN PET LS24 ZULU</t>
  </si>
  <si>
    <t>16OZ SNPREM TEA HH LMD PET LS24 ZULU</t>
  </si>
  <si>
    <t>16OZ SNPREM TEA PEACH PET LS24 ZULU</t>
  </si>
  <si>
    <t>16OZ SNPREM TEA LEMON PET LS24 ZULU</t>
  </si>
  <si>
    <t>16OZ SNPREM TEA MANGO PET LS24 ZULU</t>
  </si>
  <si>
    <t>16OZ SNPREM GRAPEADE PET LS24 ZULU</t>
  </si>
  <si>
    <t>16OZ SNPREM FRUIT PUNCH PET LS24 ZULU</t>
  </si>
  <si>
    <t>16OZ SNPREM CRAN RASPBERRY PET LS24 ZULU</t>
  </si>
  <si>
    <t>16OZ SNPREM KIWI STRW PET LS24 ZULU</t>
  </si>
  <si>
    <t>16OZ SNPREM MANGO MDNS PET LS24 ZULU</t>
  </si>
  <si>
    <t>16OZ SNPREM ORANGE CARROT PET LS24 ZULU</t>
  </si>
  <si>
    <t>16OZ SNPREM ORANGEADE PET LS24 ZULU</t>
  </si>
  <si>
    <t>16OZ DT SNPREM TEA PEACH PET LS24 ZULU</t>
  </si>
  <si>
    <t>16OZ DT SNPREM TEA MANGO PET LS24 ZULU</t>
  </si>
  <si>
    <t>16OZ SNPREM MANGO MDNS PET LS12 ZULU</t>
  </si>
  <si>
    <t>16OZ SNPREM APPLE PET LS24 ZULU</t>
  </si>
  <si>
    <t>16OZ DT SNPREM TEA RSPBRY PET LS24 ZULU</t>
  </si>
  <si>
    <t>16OZ DT SNPREM TEA TRPCL PET LS24 ZULU</t>
  </si>
  <si>
    <t>16OZ SNPREM GO BANANAS PET LS24 ZULU</t>
  </si>
  <si>
    <t>Snapple Premium 16oz 6 pack bottles</t>
  </si>
  <si>
    <t>Snapple Premium 16oz 12 pack bottles</t>
  </si>
  <si>
    <t>16OZ DT SNPREM CRAN RASP PET 6PKX4 ZULU</t>
  </si>
  <si>
    <t>0 76183-00787 7</t>
  </si>
  <si>
    <t>16OZ DT SNPREM TEA GRN PET 6PKX4 ZULU</t>
  </si>
  <si>
    <t>0 76183-00792 1</t>
  </si>
  <si>
    <t>16OZ DT SNPREM TEA HF&amp;HF LMD PET 6PKX4 ZULU</t>
  </si>
  <si>
    <t>0 76183-00798 3</t>
  </si>
  <si>
    <t>16OZ DT SNPREM TEA LEMON PET 6PKX4 ZULU</t>
  </si>
  <si>
    <t>0 76183-00804 1</t>
  </si>
  <si>
    <t>16OZ DT SNPREM TEA MANGO PET 6PKX4 ZULU</t>
  </si>
  <si>
    <t>0 76183-00811 9</t>
  </si>
  <si>
    <t>16OZ DT SNPREM TEA RSPBRY PET 6PKX4 ZULU</t>
  </si>
  <si>
    <t>0 76183-00817 1</t>
  </si>
  <si>
    <t>16OZ DT SNPREM TEA TRPCL PET 6PKX4 ZULU</t>
  </si>
  <si>
    <t>0 76183-00822 5</t>
  </si>
  <si>
    <t>16OZ SNPREM TEA GREEN PET 6PKX4 ZULU</t>
  </si>
  <si>
    <t>0 76183-00782 2</t>
  </si>
  <si>
    <t>16OZ SNPREM LEMND WTRMLN PET 6PKX4 ZULU</t>
  </si>
  <si>
    <t>0 76183-00756 3</t>
  </si>
  <si>
    <t>16OZ SNPREM MANGO MDNS PET 6PKX4 ZULU</t>
  </si>
  <si>
    <t>0 76183-00767 9</t>
  </si>
  <si>
    <t>16OZ SNPREM TEA HF&amp;HF LMD PET 6PKX4 ZULU</t>
  </si>
  <si>
    <t>0 76183-00820 1</t>
  </si>
  <si>
    <t>16OZ SNPREM TEA LEMON PET 6PKX4 ZULU</t>
  </si>
  <si>
    <t>0 76183-00764 8</t>
  </si>
  <si>
    <t>16OZ SNPREM TEA RASPBRY PET 6PKX4 ZULU</t>
  </si>
  <si>
    <t>0 76183-00768 6</t>
  </si>
  <si>
    <t>16OZ SNPREM APPLE PET 6PKX4</t>
  </si>
  <si>
    <t>0 76183-00771 6</t>
  </si>
  <si>
    <t>16OZ SNPREM LMD BLKCHRY PET 6PKX4</t>
  </si>
  <si>
    <t>0 76183-00772 3</t>
  </si>
  <si>
    <t>16OZ SNPREM LMD STRWBRYPNAL PET 6PKX4</t>
  </si>
  <si>
    <t>0 76183-00827 0</t>
  </si>
  <si>
    <t>16OZ SNPREM TEA MANGO PET 6PKX4</t>
  </si>
  <si>
    <t>0 76183-00784 6</t>
  </si>
  <si>
    <t>16OZ SNPREM KIWI STRWBRY PET 6PKX4</t>
  </si>
  <si>
    <t>0 76183-00777 8</t>
  </si>
  <si>
    <t>16OZ SNPREM TEA PEACH PET 6PKX4</t>
  </si>
  <si>
    <t>0 76183-00766 2</t>
  </si>
  <si>
    <t>16OZ DT SNPREM TEA PEACH PET 6PKX4</t>
  </si>
  <si>
    <t>0 76183-00774 7</t>
  </si>
  <si>
    <t>16OZ DT SNPREM TEA HF&amp;HF LMD PET 12PKX2 ZULU</t>
  </si>
  <si>
    <t>0 76183-00800 3</t>
  </si>
  <si>
    <t>16OZ DT SNPREM TEA LEMON PET 12PKX2 ZULU</t>
  </si>
  <si>
    <t>16OZ DT SNPREM TEA MANGO PET 12PKX2 ZULU</t>
  </si>
  <si>
    <t>0 76183-00809 6</t>
  </si>
  <si>
    <t>16OZ DT SNPREM TEA PEACH PET 12PKX2 ZULU</t>
  </si>
  <si>
    <t>0 76183-00813 3</t>
  </si>
  <si>
    <t>16OZ DT SNPREM TEA RSPBRY PET12PKX2 ZULU</t>
  </si>
  <si>
    <t>0 76183-00815 7</t>
  </si>
  <si>
    <t>16OZ SNPREM APPLE PET 12PKX2 ZULU</t>
  </si>
  <si>
    <t>0 76183-00824 9</t>
  </si>
  <si>
    <t>16OZ SNPREM KIWI STRW PET 12PKX2 ZULU</t>
  </si>
  <si>
    <t>0 76183-00776 1</t>
  </si>
  <si>
    <t>16OZ SNPREM MANGO MDNS PET 12PKX2 ZULU</t>
  </si>
  <si>
    <t>0 76183-00780 8</t>
  </si>
  <si>
    <t>16OZ SNPREM ORANGEADE PET 12PKX2 ZULU</t>
  </si>
  <si>
    <t>0 76183-00826 3</t>
  </si>
  <si>
    <t>16OZ SNPREM TEA HF&amp;HF LMD PET12PKX2 ZULU</t>
  </si>
  <si>
    <t>0 76183-00821 8</t>
  </si>
  <si>
    <t>16OZ SNPREM TEA LEMON PET 12PKX2 ZULU</t>
  </si>
  <si>
    <t>0 76183-00786 0</t>
  </si>
  <si>
    <t>16OZ SNPREM TEA MANGO PET 12PKX2 ZULU</t>
  </si>
  <si>
    <t>0 76183-00828 7</t>
  </si>
  <si>
    <t>16OZ SNPREM TEA PEACH PET 12PKX2 ZULU</t>
  </si>
  <si>
    <t>0 76183-00783 9</t>
  </si>
  <si>
    <t>16OZ SNPREM TEA RASPBRY PET 12PKX2 ZULU</t>
  </si>
  <si>
    <t>0 76183-00775 4</t>
  </si>
  <si>
    <t>Flavor</t>
  </si>
  <si>
    <t>.5L 6pk</t>
  </si>
  <si>
    <t>.5L single</t>
  </si>
  <si>
    <t>7.5oz 6pk</t>
  </si>
  <si>
    <t>7.5oz single</t>
  </si>
  <si>
    <t>7.5oz 10pk front</t>
  </si>
  <si>
    <t>7.5oz 10pk end</t>
  </si>
  <si>
    <t>7.5oz 10pk profile</t>
  </si>
  <si>
    <t>DP Cherry</t>
  </si>
  <si>
    <t>DP Cream</t>
  </si>
  <si>
    <t>DP Cafffeine?</t>
  </si>
  <si>
    <t>DP Cherry Vanilla?</t>
  </si>
  <si>
    <t>A&amp;W Rootbeer</t>
  </si>
  <si>
    <t>Sunkist</t>
  </si>
  <si>
    <t>Crush Orange?</t>
  </si>
  <si>
    <t>CD Ginger Ale</t>
  </si>
  <si>
    <t>CD GA Lemonade</t>
  </si>
  <si>
    <t>CD GA Cranberry</t>
  </si>
  <si>
    <t>Vernors?</t>
  </si>
  <si>
    <t>Ruby Red Squirt?</t>
  </si>
  <si>
    <t>Diet Rite?</t>
  </si>
  <si>
    <t>Schweppes GA</t>
  </si>
  <si>
    <t>12oz single</t>
  </si>
  <si>
    <t>12oz 6pk</t>
  </si>
  <si>
    <t>12pk profile</t>
  </si>
  <si>
    <t>12pk front</t>
  </si>
  <si>
    <t>12pk end</t>
  </si>
  <si>
    <t>24pk profile</t>
  </si>
  <si>
    <t>24pk front</t>
  </si>
  <si>
    <t>24pk end</t>
  </si>
  <si>
    <t>36pk profile</t>
  </si>
  <si>
    <t>36pk front</t>
  </si>
  <si>
    <t>36pk end</t>
  </si>
  <si>
    <t>Snapple</t>
  </si>
  <si>
    <t>6pk front</t>
  </si>
  <si>
    <t>6pk end</t>
  </si>
  <si>
    <t>8oz 6pk</t>
  </si>
  <si>
    <t>Limeade ?</t>
  </si>
  <si>
    <t>Pineapple ?</t>
  </si>
  <si>
    <t>X</t>
  </si>
  <si>
    <t>Peach Tea &amp; Lemonade ?</t>
  </si>
  <si>
    <t>?</t>
  </si>
  <si>
    <t>Sweet Tea?</t>
  </si>
  <si>
    <t>Texas</t>
  </si>
  <si>
    <t>12oz bottle</t>
  </si>
  <si>
    <t>12oz BB</t>
  </si>
  <si>
    <t>Diet RC? Diet Rite?</t>
  </si>
  <si>
    <t>X (wet)</t>
  </si>
  <si>
    <t xml:space="preserve">    (wet)</t>
  </si>
  <si>
    <t>RC Cola (ME &amp; My RC-regular)</t>
  </si>
  <si>
    <t>Cherry RC Cola (Me &amp; My RC)</t>
  </si>
  <si>
    <t>24PK SC</t>
  </si>
  <si>
    <t>20oz 99</t>
  </si>
  <si>
    <t>&lt;RC BIB..12OZ GLASS?&gt;</t>
  </si>
  <si>
    <r>
      <t>&lt;</t>
    </r>
    <r>
      <rPr>
        <sz val="11"/>
        <color rgb="FFFF0000"/>
        <rFont val="Calibri"/>
        <family val="2"/>
        <scheme val="minor"/>
      </rPr>
      <t>1.19RC</t>
    </r>
    <r>
      <rPr>
        <sz val="11"/>
        <color theme="1"/>
        <rFont val="Calibri"/>
        <family val="2"/>
        <scheme val="minor"/>
      </rPr>
      <t xml:space="preserve">.. </t>
    </r>
    <r>
      <rPr>
        <sz val="11"/>
        <color rgb="FFFF0000"/>
        <rFont val="Calibri"/>
        <family val="2"/>
        <scheme val="minor"/>
      </rPr>
      <t>1.29 RC</t>
    </r>
    <r>
      <rPr>
        <sz val="11"/>
        <color theme="1"/>
        <rFont val="Calibri"/>
        <family val="2"/>
        <scheme val="minor"/>
      </rPr>
      <t xml:space="preserve"> AND CHERRY.&gt;</t>
    </r>
  </si>
  <si>
    <r>
      <t>&lt;</t>
    </r>
    <r>
      <rPr>
        <sz val="11"/>
        <color rgb="FFFF0000"/>
        <rFont val="Calibri"/>
        <family val="2"/>
        <scheme val="minor"/>
      </rPr>
      <t>1.25L RC</t>
    </r>
    <r>
      <rPr>
        <sz val="11"/>
        <color theme="1"/>
        <rFont val="Calibri"/>
        <family val="2"/>
        <scheme val="minor"/>
      </rPr>
      <t>?&gt;&lt;</t>
    </r>
    <r>
      <rPr>
        <sz val="11"/>
        <color rgb="FFFF0000"/>
        <rFont val="Calibri"/>
        <family val="2"/>
        <scheme val="minor"/>
      </rPr>
      <t>2L 99 CENT-RC</t>
    </r>
    <r>
      <rPr>
        <sz val="11"/>
        <color theme="1"/>
        <rFont val="Calibri"/>
        <family val="2"/>
        <scheme val="minor"/>
      </rPr>
      <t xml:space="preserve"> &amp; </t>
    </r>
    <r>
      <rPr>
        <sz val="11"/>
        <color rgb="FFFF0000"/>
        <rFont val="Calibri"/>
        <family val="2"/>
        <scheme val="minor"/>
      </rPr>
      <t>CHERRY</t>
    </r>
    <r>
      <rPr>
        <sz val="11"/>
        <color theme="1"/>
        <rFont val="Calibri"/>
        <family val="2"/>
        <scheme val="minor"/>
      </rPr>
      <t>&gt;</t>
    </r>
  </si>
  <si>
    <t>Ripple</t>
  </si>
  <si>
    <t>Raspberry Tea --Latest renders</t>
  </si>
  <si>
    <t>Sunkist:</t>
  </si>
  <si>
    <t>Cherry Limeade 20oz</t>
  </si>
  <si>
    <t>Strawberry Lemonade 7.5oz 6pk</t>
  </si>
  <si>
    <t>Berry Lemonade-2L, 20oz, 12pk</t>
  </si>
  <si>
    <t>12OZ ZSGR DR PEPPER CN 12PKX2</t>
  </si>
  <si>
    <t>0 78000-03526 1</t>
  </si>
  <si>
    <t>Dr Pepper Zero Sugar</t>
  </si>
  <si>
    <t>0.5L ZSGR DR PEPPER PET 6PKX4</t>
  </si>
  <si>
    <t>0 78000-03528 5</t>
  </si>
  <si>
    <t>2L ZSGR DR PEPPER PET LS8</t>
  </si>
  <si>
    <t>0 78000-03532 2</t>
  </si>
  <si>
    <t>20OZ ZSGR DR PEPPER PET LS24</t>
  </si>
  <si>
    <t>0 78000-03530 8</t>
  </si>
  <si>
    <t>12OZ ZSGR CHERRY DR PEPPER CN 12PKX2</t>
  </si>
  <si>
    <t>Cherry Dr Pepper Zero Sugar</t>
  </si>
  <si>
    <t>0 78000-03538 4</t>
  </si>
  <si>
    <t>2L ZSGR CHERRY DR PEPPER PET LS8</t>
  </si>
  <si>
    <t>0 78000-03536 0</t>
  </si>
  <si>
    <t>20OZ ZSGR CHERRY DR PEPPER PET LS24</t>
  </si>
  <si>
    <t>0 78000-03540 7</t>
  </si>
  <si>
    <t>20OZ ZSGR DR PEPPER CREAM SODA PET LS24</t>
  </si>
  <si>
    <t>0 78000-03544 5</t>
  </si>
  <si>
    <t>Dr Pepper &amp; Cream Soda Zero Sugar</t>
  </si>
  <si>
    <t>12OZ ZSGR DR PEPPER CREAM SODA CN 12PKX2</t>
  </si>
  <si>
    <t>0 78000-03542 1</t>
  </si>
  <si>
    <t>7.5OZ ZSGR 7UP SCN 6PKX4 BB</t>
  </si>
  <si>
    <t>7Up Zero Sugar</t>
  </si>
  <si>
    <t>7.5OZ ZSGR A&amp;W ROOT BEER SCN 6PKX4 BB</t>
  </si>
  <si>
    <t>A&amp;W Root Beer Zero Sugar</t>
  </si>
  <si>
    <t>7.5OZ ZSGR CAN DRY GINGER ALE SCN 6PKX4 BB</t>
  </si>
  <si>
    <t>Canada Dry Ginger Ale Zero Sugar</t>
  </si>
  <si>
    <t>7.5OZ ZSGR 7UP SCN 10PKX3</t>
  </si>
  <si>
    <t>7.5OZ ZSGR CAN DRY GINGER ALE SCN 10PKX3</t>
  </si>
  <si>
    <t>Canada Dry Ginger Soda Zero Sugar</t>
  </si>
  <si>
    <t>12OZ ZSGR 7UP CN 6PKX4 HC</t>
  </si>
  <si>
    <t>12OZ ZSGR A&amp;W ROOT BEER CN 6PKX4 HC</t>
  </si>
  <si>
    <t>12OZ ZSGR CAN DRY GINGER ALE CN 6PKX4 HC</t>
  </si>
  <si>
    <t>12OZ ZSGR 7UP CN 12PKX2</t>
  </si>
  <si>
    <t>12OZ ZSGR 7UP CN 12PKX2 DEP</t>
  </si>
  <si>
    <t>7Up Zero Sugar (Deposit)</t>
  </si>
  <si>
    <t>12OZ ZSGR 7UP CN 12PKX2 NOD</t>
  </si>
  <si>
    <t>7Up Zero Sugar (No Deposit)</t>
  </si>
  <si>
    <t>12OZ ZSGR CHERRY 7UP CN 12PKX2</t>
  </si>
  <si>
    <t>Cherry 7Up Zero Sugar</t>
  </si>
  <si>
    <t>12OZ ZSGR A&amp;W ROOT BEER CN 12PKX2</t>
  </si>
  <si>
    <t>12OZ ZSGR A&amp;W CRM SODA CN 12PKX2</t>
  </si>
  <si>
    <t>A&amp;W Cream Soda Zero Sugar</t>
  </si>
  <si>
    <t>12OZ ZSGR SUNKIST ORANGE CN 12PKX2</t>
  </si>
  <si>
    <t>Sunkist Orange Zero Sugar</t>
  </si>
  <si>
    <t>12OZ ZSGR CAN DRY GINGER ALE CN 12PKX2</t>
  </si>
  <si>
    <t>12OZ ZSGR CAN DRY LEMONADE GA CN 12PKX2</t>
  </si>
  <si>
    <t>Canada Dry Ginger Ale and Lemonade Zero Sugar</t>
  </si>
  <si>
    <t>12OZ ZSGR CAN DRY CRAN GR ALE CN 12PKX2</t>
  </si>
  <si>
    <t>Canada Dry Cranberry Ginger Ale Zero Sugar</t>
  </si>
  <si>
    <t>12OZ ZSGR SQUIRT CN 12PKX2</t>
  </si>
  <si>
    <t>Squirt Zero Sugar</t>
  </si>
  <si>
    <t>12OZ ZSGR 7UP CN 24PK CB</t>
  </si>
  <si>
    <t>12OZ ZSGR A&amp;W ROOT BEER CN 24PK CB</t>
  </si>
  <si>
    <t>12OZ ZSGR 7UP PET 8PKX3 BB</t>
  </si>
  <si>
    <t>12OZ ZSGR A&amp;W ROOT BEER PET 8PKX3 BB</t>
  </si>
  <si>
    <t>12OZ ZSGR CAN DRY GINGER ALE PET 8PKX3 BB</t>
  </si>
  <si>
    <t>0.5L ZSGR 7UP PET 6PKX4</t>
  </si>
  <si>
    <t>0.5L ZSGR A&amp;W ROOT BEER PET 6PKX4</t>
  </si>
  <si>
    <t>0.5L ZSGR SUNKIST ORANGE PET 6PKX4</t>
  </si>
  <si>
    <t>7Up Zero Sugar 2.5gal BIB?</t>
  </si>
  <si>
    <t>NOT IN FIRST WAVE REFRESH: Sun Drop, Vernor's, RC Cola</t>
  </si>
  <si>
    <t>DP Cream Soda - 2L and 7.5oz cans</t>
  </si>
  <si>
    <t>Snapple SUT-smooth bottles/refresh</t>
  </si>
  <si>
    <t>0 76183-00802 7</t>
  </si>
  <si>
    <t>7.5OZ DR PEPPER CRM SDA SCN 6PKX4</t>
  </si>
  <si>
    <t>7.5OZ SUNKIST STRBRY LMND SCN 6PKX4 HC</t>
  </si>
  <si>
    <t>0 78000-00541 7</t>
  </si>
  <si>
    <t>7.5OZ ZSGR VERNORS GINGER ALE SCN 6PKX4 BB</t>
  </si>
  <si>
    <t>Vernors Ginger Soda Zero Sugar</t>
  </si>
  <si>
    <r>
      <rPr>
        <b/>
        <i/>
        <sz val="12"/>
        <rFont val="Arial"/>
        <family val="2"/>
      </rPr>
      <t xml:space="preserve">                               Effective:</t>
    </r>
    <r>
      <rPr>
        <b/>
        <i/>
        <sz val="14"/>
        <rFont val="Arial"/>
        <family val="2"/>
      </rPr>
      <t xml:space="preserve">                  1/1/2021</t>
    </r>
  </si>
  <si>
    <t>0 78000-00425 0</t>
  </si>
  <si>
    <t>7Up Zero Sugar (Chep)</t>
  </si>
  <si>
    <t>12OZ ZSGR 7UP CN 6PKX4 CHEP HC</t>
  </si>
  <si>
    <t>12OZ ZSGR VERNORS GINGER ALE CN 6PKX4 HC</t>
  </si>
  <si>
    <t>12OZ ZSGR 7UP CN 12PKX2 BRWNS</t>
  </si>
  <si>
    <t>7Up Zero Sugar (Cleveland Browns)</t>
  </si>
  <si>
    <t>12OZ ZSGR CHERRY 7UP CN 12PKX2 BRWNS</t>
  </si>
  <si>
    <t>Cherry 7Up Zero Sugar (Cleveland Browns)</t>
  </si>
  <si>
    <t>12OZ ZSGR VERNORS GINGER ALE CN 12PKX2</t>
  </si>
  <si>
    <t>12OZ ZSGR VERNORS GINGER ALE CN 12PKX2 DEP</t>
  </si>
  <si>
    <t>Vernors Ginger Soda Zero Sugar (Deposit)</t>
  </si>
  <si>
    <t>12OZ ZSGR 7UP PET 8PKX3 BB CWBY</t>
  </si>
  <si>
    <t>7Up Zero Sugar (Dallas Cowboys)</t>
  </si>
  <si>
    <t>12OZ ZSGR VERNORS GINGER ALE PET 8PKX3 BB</t>
  </si>
  <si>
    <t>0.5L ZSGR CAN DRY GINGER ALE PET 6PKX4</t>
  </si>
  <si>
    <t>0.5L ZSGR VERNORS GINGER ALE PET 6PKX4</t>
  </si>
  <si>
    <t>0.5L ZSGR SQUIRT PET 6PKX4</t>
  </si>
  <si>
    <t>20OZ ZSGR 7UP PET LS24</t>
  </si>
  <si>
    <t>20OZ ZSGR A&amp;W ROOT BEER PET LS24</t>
  </si>
  <si>
    <t>20OZ ZSGR SUNKIST ORANGE PET LS24</t>
  </si>
  <si>
    <t>20OZ ZSGR CAN DRY GINGER ALE PET LS24</t>
  </si>
  <si>
    <t>20OZ ZSGR VERNORS GINGER ALE PET LS24</t>
  </si>
  <si>
    <t>20OZ ZSGR SQUIRT PET LS24</t>
  </si>
  <si>
    <t>20OZ ZSGR 7UP PET LS24 PP099</t>
  </si>
  <si>
    <t>20OZ ZSGR A&amp;W ROOT BEER PET LS24 PP099</t>
  </si>
  <si>
    <t>20OZ ZSGR SUNKIST ORANGE PET LS24 PP099</t>
  </si>
  <si>
    <t>1L ZSGR CAN DRY GINGER ALE PET LS15</t>
  </si>
  <si>
    <t>2L ZSGR 7UP PET LS8</t>
  </si>
  <si>
    <t>2L ZSGR CHERRY 7UP PET LS8</t>
  </si>
  <si>
    <t>2L ZSGR A&amp;W ROOT BEER PET LS8</t>
  </si>
  <si>
    <t>2L ZSGR A&amp;W CRM SODA PET LS8</t>
  </si>
  <si>
    <t>2L ZSGR SUNKIST ORANGE PET LS8</t>
  </si>
  <si>
    <t>2L ZSGR CAN DRY GINGER ALE PET LS8</t>
  </si>
  <si>
    <t>2L ZSGR CAN DRY CRANBERRY GNGR ALE PET LS8</t>
  </si>
  <si>
    <t>2L ZSGR VERNORS GINGER ALE PET LS8</t>
  </si>
  <si>
    <t>2L ZSGR SQUIRT PET LS8</t>
  </si>
  <si>
    <r>
      <t xml:space="preserve">                               </t>
    </r>
    <r>
      <rPr>
        <b/>
        <i/>
        <sz val="12"/>
        <rFont val="Arial"/>
        <family val="2"/>
      </rPr>
      <t>Effective:</t>
    </r>
    <r>
      <rPr>
        <b/>
        <i/>
        <sz val="14"/>
        <rFont val="Arial"/>
        <family val="2"/>
      </rPr>
      <t xml:space="preserve">                  1/1/2021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</si>
</sst>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0.0%"/>
    <numFmt numFmtId="165" formatCode="000000000000"/>
    <numFmt numFmtId="166" formatCode="&quot;$&quot;#,##0.00"/>
    <numFmt numFmtId="167" formatCode="yyyy\-mm\-dd;@"/>
    <numFmt numFmtId="168" formatCode="0;\-0;;@"/>
    <numFmt numFmtId="169" formatCode="&quot;$&quot;0.00;\-0;;@"/>
  </numFmts>
  <fonts count="107" x14ac:knownFonts="1"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rgb="FF9D2F87"/>
      <name val="Arial"/>
      <family val="2"/>
    </font>
    <font>
      <b/>
      <sz val="8"/>
      <color rgb="FFF1732C"/>
      <name val="Arial"/>
      <family val="2"/>
    </font>
    <font>
      <b/>
      <sz val="8"/>
      <color rgb="FFE10077"/>
      <name val="Arial"/>
      <family val="2"/>
    </font>
    <font>
      <b/>
      <sz val="8"/>
      <color rgb="FF8065A7"/>
      <name val="Arial"/>
      <family val="2"/>
    </font>
    <font>
      <b/>
      <sz val="8"/>
      <color rgb="FFE6103F"/>
      <name val="Arial"/>
      <family val="2"/>
    </font>
    <font>
      <b/>
      <sz val="8"/>
      <color rgb="FFE9411A"/>
      <name val="Arial"/>
      <family val="2"/>
    </font>
    <font>
      <b/>
      <sz val="8"/>
      <color rgb="FF9B3A88"/>
      <name val="Arial"/>
      <family val="2"/>
    </font>
    <font>
      <b/>
      <sz val="8"/>
      <color rgb="FF371F2D"/>
      <name val="Arial"/>
      <family val="2"/>
    </font>
    <font>
      <b/>
      <sz val="8"/>
      <color rgb="FFED3C77"/>
      <name val="Arial"/>
      <family val="2"/>
    </font>
    <font>
      <b/>
      <sz val="8"/>
      <color rgb="FFEE6076"/>
      <name val="Arial"/>
      <family val="2"/>
    </font>
    <font>
      <b/>
      <sz val="8"/>
      <color rgb="FF7E1A33"/>
      <name val="Arial"/>
      <family val="2"/>
    </font>
    <font>
      <b/>
      <sz val="8"/>
      <color rgb="FFF9A738"/>
      <name val="Arial"/>
      <family val="2"/>
    </font>
    <font>
      <b/>
      <sz val="8"/>
      <color rgb="FF31890B"/>
      <name val="Arial"/>
      <family val="2"/>
    </font>
    <font>
      <b/>
      <sz val="8"/>
      <color rgb="FF6B431B"/>
      <name val="Arial"/>
      <family val="2"/>
    </font>
    <font>
      <b/>
      <sz val="8"/>
      <color rgb="FF4E5DA7"/>
      <name val="Arial"/>
      <family val="2"/>
    </font>
    <font>
      <b/>
      <sz val="8"/>
      <color rgb="FFEB3E51"/>
      <name val="Arial"/>
      <family val="2"/>
    </font>
    <font>
      <b/>
      <sz val="8"/>
      <color rgb="FFF18624"/>
      <name val="Arial"/>
      <family val="2"/>
    </font>
    <font>
      <b/>
      <sz val="8"/>
      <color rgb="FFFBB900"/>
      <name val="Arial"/>
      <family val="2"/>
    </font>
    <font>
      <b/>
      <sz val="8"/>
      <color rgb="FFD0043C"/>
      <name val="Arial"/>
      <family val="2"/>
    </font>
    <font>
      <b/>
      <sz val="8"/>
      <color rgb="FFD27161"/>
      <name val="Arial"/>
      <family val="2"/>
    </font>
    <font>
      <b/>
      <sz val="8"/>
      <color rgb="FFF5A052"/>
      <name val="Arial"/>
      <family val="2"/>
    </font>
    <font>
      <b/>
      <sz val="8"/>
      <color rgb="FFE5004C"/>
      <name val="Arial"/>
      <family val="2"/>
    </font>
    <font>
      <b/>
      <sz val="8"/>
      <color rgb="FFE39927"/>
      <name val="Arial"/>
      <family val="2"/>
    </font>
    <font>
      <b/>
      <sz val="8"/>
      <color rgb="FF6E923C"/>
      <name val="Arial"/>
      <family val="2"/>
    </font>
    <font>
      <b/>
      <sz val="8"/>
      <color rgb="FF008848"/>
      <name val="Arial"/>
      <family val="2"/>
    </font>
    <font>
      <b/>
      <sz val="8"/>
      <color rgb="FFED5A36"/>
      <name val="Arial"/>
      <family val="2"/>
    </font>
    <font>
      <b/>
      <sz val="8"/>
      <color rgb="FF982424"/>
      <name val="Arial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color theme="0"/>
      <name val="Arial Narrow"/>
      <family val="2"/>
    </font>
    <font>
      <sz val="11"/>
      <color rgb="FF9C0006"/>
      <name val="Arial Narrow"/>
      <family val="2"/>
    </font>
    <font>
      <b/>
      <sz val="11"/>
      <color rgb="FFFA7D00"/>
      <name val="Arial Narrow"/>
      <family val="2"/>
    </font>
    <font>
      <b/>
      <sz val="11"/>
      <color theme="0"/>
      <name val="Arial Narrow"/>
      <family val="2"/>
    </font>
    <font>
      <i/>
      <sz val="11"/>
      <color rgb="FF7F7F7F"/>
      <name val="Arial Narrow"/>
      <family val="2"/>
    </font>
    <font>
      <sz val="11"/>
      <color rgb="FF006100"/>
      <name val="Arial Narrow"/>
      <family val="2"/>
    </font>
    <font>
      <b/>
      <sz val="15"/>
      <color theme="3"/>
      <name val="Arial Narrow"/>
      <family val="2"/>
    </font>
    <font>
      <b/>
      <sz val="13"/>
      <color theme="3"/>
      <name val="Arial Narrow"/>
      <family val="2"/>
    </font>
    <font>
      <b/>
      <sz val="11"/>
      <color theme="3"/>
      <name val="Arial Narrow"/>
      <family val="2"/>
    </font>
    <font>
      <sz val="11"/>
      <color rgb="FF3F3F76"/>
      <name val="Arial Narrow"/>
      <family val="2"/>
    </font>
    <font>
      <sz val="11"/>
      <color rgb="FFFA7D00"/>
      <name val="Arial Narrow"/>
      <family val="2"/>
    </font>
    <font>
      <sz val="11"/>
      <color rgb="FF9C6500"/>
      <name val="Arial Narrow"/>
      <family val="2"/>
    </font>
    <font>
      <b/>
      <sz val="11"/>
      <color rgb="FF3F3F3F"/>
      <name val="Arial Narrow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Arial Narrow"/>
      <family val="2"/>
    </font>
    <font>
      <sz val="11"/>
      <color rgb="FFFF0000"/>
      <name val="Arial Narrow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i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0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</font>
    <font>
      <b/>
      <sz val="8"/>
      <color rgb="FF692D1E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8"/>
      <color rgb="FF416A80"/>
      <name val="Arial"/>
      <family val="2"/>
    </font>
    <font>
      <b/>
      <sz val="8"/>
      <color rgb="FF8B486B"/>
      <name val="Arial"/>
      <family val="2"/>
    </font>
    <font>
      <b/>
      <sz val="8"/>
      <color rgb="FFA01D1C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6"/>
      <name val="Arial"/>
      <family val="2"/>
    </font>
    <font>
      <u/>
      <sz val="14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D2D2D2"/>
      </patternFill>
    </fill>
    <fill>
      <patternFill patternType="solid">
        <fgColor rgb="FF35A56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01D1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7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1" fillId="0" borderId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42" fillId="33" borderId="0" applyNumberFormat="0" applyBorder="0" applyAlignment="0" applyProtection="0"/>
    <xf numFmtId="0" fontId="43" fillId="14" borderId="0" applyNumberFormat="0" applyBorder="0" applyAlignment="0" applyProtection="0"/>
    <xf numFmtId="0" fontId="43" fillId="18" borderId="0" applyNumberFormat="0" applyBorder="0" applyAlignment="0" applyProtection="0"/>
    <xf numFmtId="0" fontId="43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34" borderId="0" applyNumberFormat="0" applyBorder="0" applyAlignment="0" applyProtection="0"/>
    <xf numFmtId="0" fontId="43" fillId="11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44" fillId="5" borderId="0" applyNumberFormat="0" applyBorder="0" applyAlignment="0" applyProtection="0"/>
    <xf numFmtId="0" fontId="45" fillId="8" borderId="19" applyNumberFormat="0" applyAlignment="0" applyProtection="0"/>
    <xf numFmtId="0" fontId="46" fillId="9" borderId="22" applyNumberFormat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1" fillId="0" borderId="0" applyNumberFormat="0" applyFill="0" applyBorder="0" applyAlignment="0" applyProtection="0"/>
    <xf numFmtId="0" fontId="52" fillId="7" borderId="19" applyNumberFormat="0" applyAlignment="0" applyProtection="0"/>
    <xf numFmtId="0" fontId="53" fillId="0" borderId="21" applyNumberFormat="0" applyFill="0" applyAlignment="0" applyProtection="0"/>
    <xf numFmtId="0" fontId="54" fillId="6" borderId="0" applyNumberFormat="0" applyBorder="0" applyAlignment="0" applyProtection="0"/>
    <xf numFmtId="0" fontId="42" fillId="0" borderId="0"/>
    <xf numFmtId="0" fontId="42" fillId="10" borderId="23" applyNumberFormat="0" applyFont="0" applyAlignment="0" applyProtection="0"/>
    <xf numFmtId="0" fontId="55" fillId="8" borderId="20" applyNumberFormat="0" applyAlignment="0" applyProtection="0"/>
    <xf numFmtId="0" fontId="56" fillId="0" borderId="0" applyNumberFormat="0" applyFill="0" applyBorder="0" applyAlignment="0" applyProtection="0"/>
    <xf numFmtId="0" fontId="57" fillId="0" borderId="24" applyNumberFormat="0" applyFill="0" applyAlignment="0" applyProtection="0"/>
    <xf numFmtId="0" fontId="58" fillId="0" borderId="0" applyNumberFormat="0" applyFill="0" applyBorder="0" applyAlignment="0" applyProtection="0"/>
    <xf numFmtId="0" fontId="80" fillId="0" borderId="0" applyNumberFormat="0" applyFill="0" applyBorder="0" applyAlignment="0" applyProtection="0"/>
  </cellStyleXfs>
  <cellXfs count="309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11" fillId="0" borderId="0" xfId="0" applyFont="1"/>
    <xf numFmtId="0" fontId="7" fillId="0" borderId="3" xfId="0" applyFont="1" applyBorder="1"/>
    <xf numFmtId="0" fontId="8" fillId="0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 vertical="center" readingOrder="1"/>
    </xf>
    <xf numFmtId="165" fontId="8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horizontal="center" wrapText="1"/>
      <protection hidden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 applyProtection="1">
      <alignment horizontal="center" wrapText="1"/>
      <protection hidden="1"/>
    </xf>
    <xf numFmtId="0" fontId="3" fillId="2" borderId="9" xfId="0" applyFont="1" applyFill="1" applyBorder="1" applyAlignment="1">
      <alignment horizontal="center" wrapText="1"/>
    </xf>
    <xf numFmtId="164" fontId="3" fillId="2" borderId="10" xfId="0" applyNumberFormat="1" applyFont="1" applyFill="1" applyBorder="1" applyAlignment="1">
      <alignment horizontal="center" wrapText="1"/>
    </xf>
    <xf numFmtId="166" fontId="10" fillId="0" borderId="3" xfId="1" applyNumberFormat="1" applyFont="1" applyFill="1" applyBorder="1" applyAlignment="1">
      <alignment horizontal="center"/>
    </xf>
    <xf numFmtId="166" fontId="10" fillId="0" borderId="3" xfId="0" applyNumberFormat="1" applyFont="1" applyFill="1" applyBorder="1" applyAlignment="1">
      <alignment horizontal="center"/>
    </xf>
    <xf numFmtId="166" fontId="11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8" fillId="0" borderId="3" xfId="0" applyFont="1" applyBorder="1" applyAlignment="1">
      <alignment horizontal="left" vertical="center" readingOrder="1"/>
    </xf>
    <xf numFmtId="0" fontId="19" fillId="0" borderId="3" xfId="0" applyFont="1" applyBorder="1" applyAlignment="1">
      <alignment horizontal="left" vertical="center" readingOrder="1"/>
    </xf>
    <xf numFmtId="0" fontId="20" fillId="0" borderId="3" xfId="0" applyFont="1" applyBorder="1" applyAlignment="1">
      <alignment horizontal="left" vertical="center" readingOrder="1"/>
    </xf>
    <xf numFmtId="0" fontId="21" fillId="0" borderId="3" xfId="0" applyFont="1" applyBorder="1" applyAlignment="1">
      <alignment horizontal="left" vertical="center" readingOrder="1"/>
    </xf>
    <xf numFmtId="0" fontId="22" fillId="0" borderId="3" xfId="0" applyFont="1" applyBorder="1" applyAlignment="1">
      <alignment horizontal="left" vertical="center" readingOrder="1"/>
    </xf>
    <xf numFmtId="0" fontId="23" fillId="0" borderId="3" xfId="0" applyFont="1" applyBorder="1" applyAlignment="1">
      <alignment horizontal="left" vertical="center" readingOrder="1"/>
    </xf>
    <xf numFmtId="0" fontId="24" fillId="0" borderId="3" xfId="0" applyFont="1" applyBorder="1" applyAlignment="1">
      <alignment horizontal="left" vertical="center" readingOrder="1"/>
    </xf>
    <xf numFmtId="0" fontId="25" fillId="0" borderId="3" xfId="0" applyFont="1" applyBorder="1" applyAlignment="1">
      <alignment horizontal="left" vertical="center" readingOrder="1"/>
    </xf>
    <xf numFmtId="0" fontId="26" fillId="0" borderId="3" xfId="0" applyFont="1" applyBorder="1" applyAlignment="1">
      <alignment horizontal="left" vertical="center" readingOrder="1"/>
    </xf>
    <xf numFmtId="0" fontId="27" fillId="0" borderId="3" xfId="0" applyFont="1" applyBorder="1" applyAlignment="1">
      <alignment horizontal="left" vertical="center" readingOrder="1"/>
    </xf>
    <xf numFmtId="0" fontId="28" fillId="0" borderId="3" xfId="0" applyFont="1" applyBorder="1" applyAlignment="1">
      <alignment horizontal="left" vertical="center" readingOrder="1"/>
    </xf>
    <xf numFmtId="0" fontId="29" fillId="0" borderId="3" xfId="0" applyFont="1" applyBorder="1" applyAlignment="1">
      <alignment horizontal="left" vertical="center" readingOrder="1"/>
    </xf>
    <xf numFmtId="0" fontId="30" fillId="0" borderId="3" xfId="0" applyFont="1" applyBorder="1" applyAlignment="1">
      <alignment horizontal="left" vertical="center" readingOrder="1"/>
    </xf>
    <xf numFmtId="0" fontId="31" fillId="0" borderId="3" xfId="0" applyFont="1" applyBorder="1" applyAlignment="1">
      <alignment horizontal="left" vertical="center" readingOrder="1"/>
    </xf>
    <xf numFmtId="0" fontId="32" fillId="0" borderId="3" xfId="0" applyFont="1" applyBorder="1" applyAlignment="1">
      <alignment horizontal="left"/>
    </xf>
    <xf numFmtId="0" fontId="33" fillId="0" borderId="3" xfId="0" applyFont="1" applyBorder="1" applyAlignment="1">
      <alignment horizontal="left" vertical="center" readingOrder="1"/>
    </xf>
    <xf numFmtId="0" fontId="35" fillId="0" borderId="3" xfId="0" applyFont="1" applyBorder="1" applyAlignment="1">
      <alignment horizontal="left" vertical="center" readingOrder="1"/>
    </xf>
    <xf numFmtId="0" fontId="37" fillId="0" borderId="3" xfId="0" applyFont="1" applyBorder="1" applyAlignment="1">
      <alignment horizontal="left" vertical="center" readingOrder="1"/>
    </xf>
    <xf numFmtId="0" fontId="38" fillId="0" borderId="3" xfId="0" applyFont="1" applyBorder="1" applyAlignment="1">
      <alignment horizontal="left" vertical="center" readingOrder="1"/>
    </xf>
    <xf numFmtId="0" fontId="39" fillId="0" borderId="3" xfId="0" applyFont="1" applyBorder="1" applyAlignment="1">
      <alignment horizontal="left" vertical="center" readingOrder="1"/>
    </xf>
    <xf numFmtId="166" fontId="40" fillId="0" borderId="3" xfId="0" applyNumberFormat="1" applyFont="1" applyBorder="1" applyAlignment="1">
      <alignment horizontal="center"/>
    </xf>
    <xf numFmtId="164" fontId="40" fillId="0" borderId="12" xfId="2" applyNumberFormat="1" applyFont="1" applyBorder="1" applyAlignment="1">
      <alignment horizontal="center"/>
    </xf>
    <xf numFmtId="166" fontId="11" fillId="0" borderId="3" xfId="0" applyNumberFormat="1" applyFont="1" applyFill="1" applyBorder="1" applyAlignment="1">
      <alignment horizontal="center"/>
    </xf>
    <xf numFmtId="166" fontId="40" fillId="0" borderId="3" xfId="0" applyNumberFormat="1" applyFont="1" applyFill="1" applyBorder="1" applyAlignment="1">
      <alignment horizontal="center"/>
    </xf>
    <xf numFmtId="164" fontId="40" fillId="0" borderId="12" xfId="2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left" vertical="center" readingOrder="1"/>
    </xf>
    <xf numFmtId="0" fontId="6" fillId="0" borderId="0" xfId="0" applyFont="1" applyFill="1"/>
    <xf numFmtId="0" fontId="7" fillId="0" borderId="0" xfId="0" applyFont="1" applyBorder="1"/>
    <xf numFmtId="0" fontId="7" fillId="0" borderId="3" xfId="0" applyFont="1" applyFill="1" applyBorder="1"/>
    <xf numFmtId="0" fontId="59" fillId="0" borderId="0" xfId="0" applyFont="1" applyFill="1" applyAlignment="1"/>
    <xf numFmtId="166" fontId="0" fillId="0" borderId="0" xfId="0" applyNumberFormat="1" applyFill="1" applyAlignment="1">
      <alignment horizontal="center"/>
    </xf>
    <xf numFmtId="0" fontId="60" fillId="0" borderId="0" xfId="0" applyFont="1" applyFill="1" applyAlignment="1"/>
    <xf numFmtId="0" fontId="0" fillId="0" borderId="0" xfId="0" applyFill="1"/>
    <xf numFmtId="16" fontId="4" fillId="0" borderId="0" xfId="0" quotePrefix="1" applyNumberFormat="1" applyFont="1" applyFill="1" applyAlignment="1">
      <alignment horizontal="right"/>
    </xf>
    <xf numFmtId="0" fontId="60" fillId="3" borderId="0" xfId="0" applyFont="1" applyFill="1"/>
    <xf numFmtId="0" fontId="61" fillId="0" borderId="0" xfId="0" applyFont="1" applyFill="1"/>
    <xf numFmtId="0" fontId="61" fillId="0" borderId="0" xfId="0" applyFont="1" applyFill="1" applyAlignment="1">
      <alignment horizontal="center"/>
    </xf>
    <xf numFmtId="166" fontId="63" fillId="0" borderId="0" xfId="0" applyNumberFormat="1" applyFont="1" applyFill="1" applyAlignment="1">
      <alignment horizontal="center"/>
    </xf>
    <xf numFmtId="0" fontId="63" fillId="0" borderId="0" xfId="0" applyFont="1" applyFill="1"/>
    <xf numFmtId="166" fontId="41" fillId="0" borderId="3" xfId="0" applyNumberFormat="1" applyFont="1" applyFill="1" applyBorder="1" applyAlignment="1">
      <alignment horizontal="center"/>
    </xf>
    <xf numFmtId="0" fontId="41" fillId="0" borderId="3" xfId="0" applyFont="1" applyFill="1" applyBorder="1"/>
    <xf numFmtId="0" fontId="62" fillId="0" borderId="0" xfId="0" applyFont="1" applyFill="1" applyAlignment="1">
      <alignment horizontal="center"/>
    </xf>
    <xf numFmtId="0" fontId="41" fillId="0" borderId="0" xfId="0" applyFont="1" applyFill="1"/>
    <xf numFmtId="0" fontId="41" fillId="0" borderId="0" xfId="0" applyFont="1" applyFill="1" applyBorder="1"/>
    <xf numFmtId="166" fontId="41" fillId="0" borderId="0" xfId="0" applyNumberFormat="1" applyFont="1" applyFill="1" applyBorder="1"/>
    <xf numFmtId="0" fontId="64" fillId="0" borderId="0" xfId="0" applyFont="1" applyAlignment="1">
      <alignment horizontal="right"/>
    </xf>
    <xf numFmtId="0" fontId="64" fillId="0" borderId="0" xfId="0" applyFont="1" applyAlignment="1"/>
    <xf numFmtId="0" fontId="64" fillId="0" borderId="0" xfId="0" applyFont="1"/>
    <xf numFmtId="166" fontId="41" fillId="0" borderId="0" xfId="0" applyNumberFormat="1" applyFont="1" applyFill="1"/>
    <xf numFmtId="0" fontId="61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/>
    </xf>
    <xf numFmtId="0" fontId="8" fillId="35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left" vertical="center" readingOrder="1"/>
    </xf>
    <xf numFmtId="166" fontId="10" fillId="0" borderId="2" xfId="1" applyNumberFormat="1" applyFont="1" applyFill="1" applyBorder="1" applyAlignment="1">
      <alignment horizontal="center"/>
    </xf>
    <xf numFmtId="166" fontId="10" fillId="0" borderId="2" xfId="0" applyNumberFormat="1" applyFont="1" applyFill="1" applyBorder="1" applyAlignment="1">
      <alignment horizontal="center"/>
    </xf>
    <xf numFmtId="166" fontId="11" fillId="0" borderId="2" xfId="0" applyNumberFormat="1" applyFont="1" applyBorder="1" applyAlignment="1">
      <alignment horizontal="center"/>
    </xf>
    <xf numFmtId="164" fontId="40" fillId="0" borderId="26" xfId="2" applyNumberFormat="1" applyFont="1" applyBorder="1" applyAlignment="1">
      <alignment horizontal="center"/>
    </xf>
    <xf numFmtId="0" fontId="8" fillId="0" borderId="14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center"/>
    </xf>
    <xf numFmtId="0" fontId="36" fillId="0" borderId="14" xfId="0" applyFont="1" applyBorder="1" applyAlignment="1">
      <alignment horizontal="left" vertical="center" readingOrder="1"/>
    </xf>
    <xf numFmtId="0" fontId="10" fillId="0" borderId="14" xfId="0" applyFont="1" applyFill="1" applyBorder="1" applyAlignment="1">
      <alignment horizontal="center"/>
    </xf>
    <xf numFmtId="166" fontId="10" fillId="0" borderId="14" xfId="1" applyNumberFormat="1" applyFont="1" applyFill="1" applyBorder="1" applyAlignment="1">
      <alignment horizontal="center"/>
    </xf>
    <xf numFmtId="166" fontId="10" fillId="0" borderId="14" xfId="0" applyNumberFormat="1" applyFont="1" applyFill="1" applyBorder="1" applyAlignment="1">
      <alignment horizontal="center"/>
    </xf>
    <xf numFmtId="166" fontId="11" fillId="0" borderId="14" xfId="0" applyNumberFormat="1" applyFont="1" applyBorder="1" applyAlignment="1">
      <alignment horizontal="center"/>
    </xf>
    <xf numFmtId="164" fontId="40" fillId="0" borderId="15" xfId="2" applyNumberFormat="1" applyFont="1" applyBorder="1" applyAlignment="1">
      <alignment horizontal="center"/>
    </xf>
    <xf numFmtId="0" fontId="20" fillId="0" borderId="2" xfId="0" applyFont="1" applyBorder="1" applyAlignment="1">
      <alignment horizontal="left" vertical="center" readingOrder="1"/>
    </xf>
    <xf numFmtId="166" fontId="10" fillId="35" borderId="3" xfId="1" applyNumberFormat="1" applyFont="1" applyFill="1" applyBorder="1" applyAlignment="1">
      <alignment horizontal="center"/>
    </xf>
    <xf numFmtId="166" fontId="10" fillId="35" borderId="3" xfId="0" applyNumberFormat="1" applyFont="1" applyFill="1" applyBorder="1" applyAlignment="1">
      <alignment horizontal="center"/>
    </xf>
    <xf numFmtId="166" fontId="11" fillId="35" borderId="3" xfId="0" applyNumberFormat="1" applyFont="1" applyFill="1" applyBorder="1" applyAlignment="1">
      <alignment horizontal="center"/>
    </xf>
    <xf numFmtId="166" fontId="40" fillId="35" borderId="3" xfId="0" applyNumberFormat="1" applyFont="1" applyFill="1" applyBorder="1" applyAlignment="1">
      <alignment horizontal="center"/>
    </xf>
    <xf numFmtId="164" fontId="40" fillId="35" borderId="12" xfId="2" applyNumberFormat="1" applyFont="1" applyFill="1" applyBorder="1" applyAlignment="1">
      <alignment horizontal="center"/>
    </xf>
    <xf numFmtId="164" fontId="1" fillId="36" borderId="6" xfId="0" applyNumberFormat="1" applyFont="1" applyFill="1" applyBorder="1" applyAlignment="1">
      <alignment horizontal="center" vertical="center" wrapText="1"/>
    </xf>
    <xf numFmtId="164" fontId="1" fillId="36" borderId="5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Alignment="1">
      <alignment horizontal="center"/>
    </xf>
    <xf numFmtId="0" fontId="66" fillId="0" borderId="3" xfId="0" applyFont="1" applyFill="1" applyBorder="1"/>
    <xf numFmtId="0" fontId="66" fillId="0" borderId="0" xfId="0" applyFont="1" applyFill="1"/>
    <xf numFmtId="166" fontId="66" fillId="0" borderId="0" xfId="0" applyNumberFormat="1" applyFont="1" applyFill="1" applyAlignment="1">
      <alignment horizontal="center"/>
    </xf>
    <xf numFmtId="0" fontId="6" fillId="0" borderId="0" xfId="0" applyFont="1" applyFill="1" applyBorder="1"/>
    <xf numFmtId="166" fontId="6" fillId="0" borderId="0" xfId="0" applyNumberFormat="1" applyFont="1" applyFill="1" applyBorder="1" applyAlignment="1">
      <alignment horizontal="center"/>
    </xf>
    <xf numFmtId="0" fontId="41" fillId="35" borderId="3" xfId="0" applyFont="1" applyFill="1" applyBorder="1"/>
    <xf numFmtId="166" fontId="41" fillId="35" borderId="3" xfId="0" applyNumberFormat="1" applyFont="1" applyFill="1" applyBorder="1" applyAlignment="1">
      <alignment horizontal="center"/>
    </xf>
    <xf numFmtId="0" fontId="68" fillId="0" borderId="0" xfId="0" applyFont="1"/>
    <xf numFmtId="166" fontId="70" fillId="0" borderId="3" xfId="0" applyNumberFormat="1" applyFont="1" applyFill="1" applyBorder="1" applyAlignment="1">
      <alignment horizontal="center"/>
    </xf>
    <xf numFmtId="166" fontId="71" fillId="0" borderId="3" xfId="0" applyNumberFormat="1" applyFont="1" applyBorder="1" applyAlignment="1">
      <alignment horizontal="center"/>
    </xf>
    <xf numFmtId="166" fontId="72" fillId="0" borderId="3" xfId="0" applyNumberFormat="1" applyFont="1" applyBorder="1" applyAlignment="1">
      <alignment horizontal="center"/>
    </xf>
    <xf numFmtId="164" fontId="72" fillId="0" borderId="12" xfId="2" applyNumberFormat="1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 vertical="center" readingOrder="1"/>
    </xf>
    <xf numFmtId="0" fontId="70" fillId="0" borderId="3" xfId="0" applyFont="1" applyFill="1" applyBorder="1" applyAlignment="1">
      <alignment horizontal="center"/>
    </xf>
    <xf numFmtId="166" fontId="70" fillId="0" borderId="3" xfId="1" applyNumberFormat="1" applyFont="1" applyFill="1" applyBorder="1" applyAlignment="1">
      <alignment horizontal="center"/>
    </xf>
    <xf numFmtId="0" fontId="70" fillId="0" borderId="4" xfId="0" applyFont="1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0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>
      <alignment horizontal="center"/>
    </xf>
    <xf numFmtId="0" fontId="2" fillId="0" borderId="2" xfId="0" applyFont="1" applyBorder="1"/>
    <xf numFmtId="164" fontId="0" fillId="0" borderId="0" xfId="0" applyNumberForma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63" fillId="0" borderId="0" xfId="0" applyNumberFormat="1" applyFont="1" applyFill="1" applyAlignment="1">
      <alignment horizontal="center"/>
    </xf>
    <xf numFmtId="164" fontId="66" fillId="0" borderId="0" xfId="0" applyNumberFormat="1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73" fillId="0" borderId="0" xfId="0" applyFont="1" applyFill="1"/>
    <xf numFmtId="166" fontId="73" fillId="0" borderId="0" xfId="0" applyNumberFormat="1" applyFont="1" applyFill="1" applyAlignment="1">
      <alignment horizontal="center"/>
    </xf>
    <xf numFmtId="164" fontId="73" fillId="0" borderId="0" xfId="0" applyNumberFormat="1" applyFont="1" applyFill="1" applyAlignment="1">
      <alignment horizontal="center"/>
    </xf>
    <xf numFmtId="166" fontId="69" fillId="0" borderId="0" xfId="0" applyNumberFormat="1" applyFont="1"/>
    <xf numFmtId="0" fontId="69" fillId="0" borderId="0" xfId="0" applyFont="1"/>
    <xf numFmtId="166" fontId="67" fillId="0" borderId="0" xfId="0" applyNumberFormat="1" applyFont="1" applyFill="1"/>
    <xf numFmtId="0" fontId="68" fillId="0" borderId="0" xfId="0" applyFont="1" applyFill="1"/>
    <xf numFmtId="0" fontId="3" fillId="0" borderId="0" xfId="0" applyFont="1" applyFill="1" applyBorder="1" applyAlignment="1">
      <alignment horizontal="left"/>
    </xf>
    <xf numFmtId="166" fontId="73" fillId="0" borderId="0" xfId="0" applyNumberFormat="1" applyFont="1" applyFill="1" applyBorder="1" applyAlignment="1">
      <alignment horizontal="center"/>
    </xf>
    <xf numFmtId="0" fontId="0" fillId="3" borderId="0" xfId="0" applyFill="1"/>
    <xf numFmtId="0" fontId="74" fillId="3" borderId="0" xfId="0" applyFont="1" applyFill="1"/>
    <xf numFmtId="0" fontId="76" fillId="0" borderId="0" xfId="0" applyFont="1" applyFill="1" applyBorder="1" applyAlignment="1">
      <alignment horizontal="left"/>
    </xf>
    <xf numFmtId="164" fontId="66" fillId="0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 wrapText="1"/>
    </xf>
    <xf numFmtId="0" fontId="3" fillId="2" borderId="9" xfId="0" applyNumberFormat="1" applyFont="1" applyFill="1" applyBorder="1" applyAlignment="1">
      <alignment horizontal="left" wrapText="1"/>
    </xf>
    <xf numFmtId="0" fontId="0" fillId="0" borderId="0" xfId="0" applyNumberFormat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1" xfId="0" applyFont="1" applyFill="1" applyBorder="1" applyAlignment="1">
      <alignment horizontal="center"/>
    </xf>
    <xf numFmtId="0" fontId="7" fillId="35" borderId="1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left" vertical="center" readingOrder="1"/>
    </xf>
    <xf numFmtId="166" fontId="70" fillId="0" borderId="2" xfId="0" applyNumberFormat="1" applyFont="1" applyFill="1" applyBorder="1" applyAlignment="1">
      <alignment horizontal="center"/>
    </xf>
    <xf numFmtId="166" fontId="72" fillId="0" borderId="2" xfId="0" applyNumberFormat="1" applyFont="1" applyBorder="1" applyAlignment="1">
      <alignment horizontal="center"/>
    </xf>
    <xf numFmtId="166" fontId="70" fillId="0" borderId="14" xfId="0" applyNumberFormat="1" applyFont="1" applyFill="1" applyBorder="1" applyAlignment="1">
      <alignment horizontal="center"/>
    </xf>
    <xf numFmtId="166" fontId="72" fillId="0" borderId="14" xfId="0" applyNumberFormat="1" applyFont="1" applyBorder="1" applyAlignment="1">
      <alignment horizontal="center"/>
    </xf>
    <xf numFmtId="166" fontId="68" fillId="0" borderId="0" xfId="0" applyNumberFormat="1" applyFont="1"/>
    <xf numFmtId="166" fontId="70" fillId="35" borderId="3" xfId="0" applyNumberFormat="1" applyFont="1" applyFill="1" applyBorder="1" applyAlignment="1">
      <alignment horizontal="center"/>
    </xf>
    <xf numFmtId="166" fontId="71" fillId="35" borderId="3" xfId="0" applyNumberFormat="1" applyFont="1" applyFill="1" applyBorder="1" applyAlignment="1">
      <alignment horizontal="center"/>
    </xf>
    <xf numFmtId="166" fontId="72" fillId="35" borderId="3" xfId="0" applyNumberFormat="1" applyFont="1" applyFill="1" applyBorder="1" applyAlignment="1">
      <alignment horizontal="center"/>
    </xf>
    <xf numFmtId="164" fontId="72" fillId="35" borderId="12" xfId="2" applyNumberFormat="1" applyFont="1" applyFill="1" applyBorder="1" applyAlignment="1">
      <alignment horizontal="center"/>
    </xf>
    <xf numFmtId="0" fontId="10" fillId="35" borderId="3" xfId="0" applyFont="1" applyFill="1" applyBorder="1" applyAlignment="1">
      <alignment horizontal="center"/>
    </xf>
    <xf numFmtId="166" fontId="72" fillId="0" borderId="3" xfId="0" applyNumberFormat="1" applyFont="1" applyFill="1" applyBorder="1" applyAlignment="1">
      <alignment horizontal="center"/>
    </xf>
    <xf numFmtId="166" fontId="71" fillId="0" borderId="3" xfId="0" applyNumberFormat="1" applyFont="1" applyFill="1" applyBorder="1" applyAlignment="1">
      <alignment horizontal="center"/>
    </xf>
    <xf numFmtId="164" fontId="72" fillId="0" borderId="12" xfId="2" applyNumberFormat="1" applyFont="1" applyFill="1" applyBorder="1" applyAlignment="1">
      <alignment horizontal="center"/>
    </xf>
    <xf numFmtId="166" fontId="69" fillId="0" borderId="0" xfId="1" applyNumberFormat="1" applyFont="1" applyAlignment="1">
      <alignment horizontal="right"/>
    </xf>
    <xf numFmtId="0" fontId="77" fillId="0" borderId="0" xfId="0" applyFont="1" applyFill="1"/>
    <xf numFmtId="0" fontId="67" fillId="0" borderId="0" xfId="0" applyFont="1" applyFill="1"/>
    <xf numFmtId="0" fontId="67" fillId="0" borderId="0" xfId="0" applyFont="1" applyFill="1" applyAlignment="1">
      <alignment horizontal="center"/>
    </xf>
    <xf numFmtId="0" fontId="67" fillId="0" borderId="0" xfId="0" applyNumberFormat="1" applyFont="1" applyBorder="1" applyAlignment="1">
      <alignment horizontal="center"/>
    </xf>
    <xf numFmtId="0" fontId="6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74" fillId="0" borderId="0" xfId="0" applyFont="1"/>
    <xf numFmtId="0" fontId="79" fillId="0" borderId="0" xfId="0" applyFont="1"/>
    <xf numFmtId="0" fontId="80" fillId="0" borderId="0" xfId="46"/>
    <xf numFmtId="0" fontId="0" fillId="0" borderId="0" xfId="0" applyFont="1"/>
    <xf numFmtId="0" fontId="0" fillId="0" borderId="29" xfId="0" applyFont="1" applyBorder="1"/>
    <xf numFmtId="0" fontId="81" fillId="0" borderId="0" xfId="0" applyFont="1"/>
    <xf numFmtId="0" fontId="0" fillId="0" borderId="29" xfId="0" applyBorder="1"/>
    <xf numFmtId="0" fontId="36" fillId="0" borderId="3" xfId="0" applyFont="1" applyBorder="1" applyAlignment="1">
      <alignment horizontal="left" vertical="center" readingOrder="1"/>
    </xf>
    <xf numFmtId="0" fontId="38" fillId="0" borderId="2" xfId="0" applyFont="1" applyBorder="1" applyAlignment="1">
      <alignment horizontal="left" vertical="center" readingOrder="1"/>
    </xf>
    <xf numFmtId="164" fontId="66" fillId="0" borderId="0" xfId="0" applyNumberFormat="1" applyFont="1" applyFill="1" applyBorder="1" applyAlignment="1">
      <alignment horizontal="center"/>
    </xf>
    <xf numFmtId="164" fontId="73" fillId="0" borderId="0" xfId="0" applyNumberFormat="1" applyFont="1" applyFill="1" applyBorder="1" applyAlignment="1">
      <alignment horizontal="center"/>
    </xf>
    <xf numFmtId="1" fontId="0" fillId="0" borderId="0" xfId="0" applyNumberFormat="1" applyFill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66" fillId="0" borderId="0" xfId="0" applyNumberFormat="1" applyFont="1" applyFill="1" applyAlignment="1">
      <alignment horizontal="right"/>
    </xf>
    <xf numFmtId="1" fontId="73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63" fillId="0" borderId="0" xfId="0" applyNumberFormat="1" applyFont="1" applyFill="1" applyAlignment="1">
      <alignment horizontal="center"/>
    </xf>
    <xf numFmtId="0" fontId="68" fillId="0" borderId="0" xfId="0" applyFont="1" applyAlignment="1">
      <alignment horizontal="center"/>
    </xf>
    <xf numFmtId="164" fontId="66" fillId="0" borderId="30" xfId="0" applyNumberFormat="1" applyFont="1" applyFill="1" applyBorder="1" applyAlignment="1">
      <alignment horizontal="center"/>
    </xf>
    <xf numFmtId="164" fontId="66" fillId="0" borderId="31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right"/>
    </xf>
    <xf numFmtId="0" fontId="68" fillId="0" borderId="0" xfId="0" applyFont="1" applyAlignment="1">
      <alignment horizontal="left"/>
    </xf>
    <xf numFmtId="0" fontId="4" fillId="0" borderId="0" xfId="0" applyFont="1" applyFill="1" applyBorder="1"/>
    <xf numFmtId="164" fontId="83" fillId="0" borderId="0" xfId="0" applyNumberFormat="1" applyFont="1" applyFill="1" applyBorder="1" applyAlignment="1">
      <alignment horizontal="center"/>
    </xf>
    <xf numFmtId="166" fontId="68" fillId="0" borderId="0" xfId="1" applyNumberFormat="1" applyFont="1" applyBorder="1" applyAlignment="1">
      <alignment horizontal="left"/>
    </xf>
    <xf numFmtId="1" fontId="84" fillId="0" borderId="0" xfId="0" applyNumberFormat="1" applyFont="1" applyFill="1" applyAlignment="1">
      <alignment horizontal="center"/>
    </xf>
    <xf numFmtId="0" fontId="0" fillId="0" borderId="0" xfId="0" applyFont="1" applyBorder="1"/>
    <xf numFmtId="0" fontId="86" fillId="0" borderId="0" xfId="0" applyFont="1"/>
    <xf numFmtId="1" fontId="82" fillId="0" borderId="0" xfId="0" applyNumberFormat="1" applyFont="1" applyFill="1" applyBorder="1" applyAlignment="1">
      <alignment horizontal="right"/>
    </xf>
    <xf numFmtId="0" fontId="87" fillId="0" borderId="0" xfId="0" applyFont="1" applyFill="1"/>
    <xf numFmtId="0" fontId="83" fillId="0" borderId="0" xfId="0" applyFont="1" applyFill="1"/>
    <xf numFmtId="1" fontId="69" fillId="0" borderId="0" xfId="0" applyNumberFormat="1" applyFont="1"/>
    <xf numFmtId="0" fontId="0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wrapText="1"/>
    </xf>
    <xf numFmtId="0" fontId="89" fillId="0" borderId="0" xfId="0" applyFont="1"/>
    <xf numFmtId="0" fontId="0" fillId="0" borderId="0" xfId="0" applyFont="1" applyFill="1" applyBorder="1"/>
    <xf numFmtId="0" fontId="0" fillId="37" borderId="0" xfId="0" applyFont="1" applyFill="1" applyBorder="1"/>
    <xf numFmtId="0" fontId="0" fillId="37" borderId="0" xfId="0" applyFont="1" applyFill="1"/>
    <xf numFmtId="0" fontId="0" fillId="37" borderId="29" xfId="0" applyFont="1" applyFill="1" applyBorder="1"/>
    <xf numFmtId="3" fontId="76" fillId="0" borderId="0" xfId="0" applyNumberFormat="1" applyFont="1" applyFill="1" applyBorder="1" applyAlignment="1">
      <alignment horizontal="right"/>
    </xf>
    <xf numFmtId="165" fontId="2" fillId="35" borderId="3" xfId="0" applyNumberFormat="1" applyFont="1" applyFill="1" applyBorder="1" applyAlignment="1">
      <alignment horizontal="center"/>
    </xf>
    <xf numFmtId="0" fontId="3" fillId="35" borderId="3" xfId="0" applyFont="1" applyFill="1" applyBorder="1" applyAlignment="1">
      <alignment horizontal="left" vertical="center" readingOrder="1"/>
    </xf>
    <xf numFmtId="0" fontId="3" fillId="0" borderId="4" xfId="0" applyFont="1" applyBorder="1" applyAlignment="1">
      <alignment horizontal="left" vertical="center" readingOrder="1"/>
    </xf>
    <xf numFmtId="166" fontId="70" fillId="0" borderId="4" xfId="0" applyNumberFormat="1" applyFont="1" applyFill="1" applyBorder="1" applyAlignment="1">
      <alignment horizontal="center"/>
    </xf>
    <xf numFmtId="166" fontId="71" fillId="0" borderId="4" xfId="0" applyNumberFormat="1" applyFont="1" applyBorder="1" applyAlignment="1">
      <alignment horizontal="center"/>
    </xf>
    <xf numFmtId="164" fontId="72" fillId="0" borderId="28" xfId="2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85" fillId="37" borderId="6" xfId="0" applyFont="1" applyFill="1" applyBorder="1"/>
    <xf numFmtId="0" fontId="0" fillId="37" borderId="6" xfId="0" applyFill="1" applyBorder="1"/>
    <xf numFmtId="0" fontId="85" fillId="0" borderId="0" xfId="0" applyFont="1" applyFill="1" applyBorder="1"/>
    <xf numFmtId="0" fontId="0" fillId="0" borderId="0" xfId="0" applyFill="1" applyBorder="1"/>
    <xf numFmtId="0" fontId="0" fillId="3" borderId="0" xfId="0" applyFont="1" applyFill="1"/>
    <xf numFmtId="0" fontId="91" fillId="0" borderId="0" xfId="0" applyFont="1" applyFill="1"/>
    <xf numFmtId="0" fontId="7" fillId="0" borderId="32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center"/>
    </xf>
    <xf numFmtId="0" fontId="27" fillId="0" borderId="33" xfId="0" applyFont="1" applyBorder="1" applyAlignment="1">
      <alignment horizontal="left" vertical="center" readingOrder="1"/>
    </xf>
    <xf numFmtId="0" fontId="10" fillId="0" borderId="33" xfId="0" applyFont="1" applyFill="1" applyBorder="1" applyAlignment="1">
      <alignment horizontal="center"/>
    </xf>
    <xf numFmtId="166" fontId="10" fillId="0" borderId="33" xfId="1" applyNumberFormat="1" applyFont="1" applyFill="1" applyBorder="1" applyAlignment="1">
      <alignment horizontal="center"/>
    </xf>
    <xf numFmtId="166" fontId="10" fillId="0" borderId="33" xfId="0" applyNumberFormat="1" applyFont="1" applyFill="1" applyBorder="1" applyAlignment="1">
      <alignment horizontal="center"/>
    </xf>
    <xf numFmtId="166" fontId="70" fillId="0" borderId="33" xfId="0" applyNumberFormat="1" applyFont="1" applyFill="1" applyBorder="1" applyAlignment="1">
      <alignment horizontal="center"/>
    </xf>
    <xf numFmtId="166" fontId="11" fillId="0" borderId="33" xfId="0" applyNumberFormat="1" applyFont="1" applyBorder="1" applyAlignment="1">
      <alignment horizontal="center"/>
    </xf>
    <xf numFmtId="166" fontId="72" fillId="0" borderId="33" xfId="0" applyNumberFormat="1" applyFont="1" applyBorder="1" applyAlignment="1">
      <alignment horizontal="center"/>
    </xf>
    <xf numFmtId="164" fontId="40" fillId="0" borderId="34" xfId="2" applyNumberFormat="1" applyFont="1" applyBorder="1" applyAlignment="1">
      <alignment horizontal="center"/>
    </xf>
    <xf numFmtId="0" fontId="67" fillId="0" borderId="0" xfId="0" applyFont="1"/>
    <xf numFmtId="0" fontId="77" fillId="0" borderId="0" xfId="0" applyFont="1"/>
    <xf numFmtId="167" fontId="0" fillId="0" borderId="0" xfId="0" applyNumberFormat="1"/>
    <xf numFmtId="0" fontId="92" fillId="0" borderId="0" xfId="0" applyFont="1" applyFill="1" applyBorder="1" applyAlignment="1">
      <alignment horizontal="left"/>
    </xf>
    <xf numFmtId="164" fontId="84" fillId="0" borderId="0" xfId="0" applyNumberFormat="1" applyFont="1" applyFill="1" applyAlignment="1">
      <alignment horizontal="center"/>
    </xf>
    <xf numFmtId="0" fontId="93" fillId="0" borderId="3" xfId="0" applyFont="1" applyBorder="1" applyAlignment="1">
      <alignment horizontal="left"/>
    </xf>
    <xf numFmtId="10" fontId="4" fillId="0" borderId="0" xfId="0" applyNumberFormat="1" applyFont="1" applyFill="1" applyBorder="1" applyAlignment="1">
      <alignment horizontal="left"/>
    </xf>
    <xf numFmtId="0" fontId="68" fillId="3" borderId="0" xfId="0" applyFont="1" applyFill="1"/>
    <xf numFmtId="0" fontId="96" fillId="0" borderId="14" xfId="0" applyFont="1" applyBorder="1" applyAlignment="1">
      <alignment horizontal="left" vertical="center" readingOrder="1"/>
    </xf>
    <xf numFmtId="0" fontId="97" fillId="0" borderId="3" xfId="0" applyFont="1" applyBorder="1" applyAlignment="1">
      <alignment horizontal="left" vertical="center" readingOrder="1"/>
    </xf>
    <xf numFmtId="0" fontId="98" fillId="0" borderId="3" xfId="0" applyFont="1" applyBorder="1" applyAlignment="1">
      <alignment horizontal="left" vertical="center" readingOrder="1"/>
    </xf>
    <xf numFmtId="0" fontId="29" fillId="0" borderId="2" xfId="0" applyFont="1" applyBorder="1" applyAlignment="1">
      <alignment horizontal="left" vertical="center" readingOrder="1"/>
    </xf>
    <xf numFmtId="0" fontId="96" fillId="0" borderId="3" xfId="0" applyFont="1" applyBorder="1" applyAlignment="1">
      <alignment horizontal="left" vertical="center" readingOrder="1"/>
    </xf>
    <xf numFmtId="164" fontId="1" fillId="36" borderId="6" xfId="0" applyNumberFormat="1" applyFont="1" applyFill="1" applyBorder="1" applyAlignment="1">
      <alignment horizontal="right" vertical="center" wrapText="1"/>
    </xf>
    <xf numFmtId="0" fontId="92" fillId="0" borderId="0" xfId="0" applyFont="1" applyFill="1" applyBorder="1" applyAlignment="1">
      <alignment horizontal="right"/>
    </xf>
    <xf numFmtId="0" fontId="92" fillId="38" borderId="0" xfId="0" applyFont="1" applyFill="1" applyBorder="1" applyAlignment="1">
      <alignment horizontal="left"/>
    </xf>
    <xf numFmtId="0" fontId="92" fillId="38" borderId="0" xfId="40" applyFont="1" applyFill="1" applyBorder="1" applyAlignment="1">
      <alignment horizontal="left"/>
    </xf>
    <xf numFmtId="0" fontId="92" fillId="0" borderId="0" xfId="40" applyFont="1" applyFill="1" applyBorder="1" applyAlignment="1">
      <alignment horizontal="left"/>
    </xf>
    <xf numFmtId="166" fontId="66" fillId="0" borderId="0" xfId="0" applyNumberFormat="1" applyFont="1" applyFill="1" applyBorder="1" applyAlignment="1">
      <alignment horizontal="center"/>
    </xf>
    <xf numFmtId="166" fontId="41" fillId="0" borderId="0" xfId="0" applyNumberFormat="1" applyFont="1" applyFill="1" applyBorder="1" applyAlignment="1">
      <alignment horizontal="center"/>
    </xf>
    <xf numFmtId="0" fontId="74" fillId="3" borderId="0" xfId="0" applyFont="1" applyFill="1" applyAlignment="1">
      <alignment horizontal="center"/>
    </xf>
    <xf numFmtId="1" fontId="82" fillId="0" borderId="35" xfId="0" applyNumberFormat="1" applyFont="1" applyFill="1" applyBorder="1" applyAlignment="1">
      <alignment horizontal="right"/>
    </xf>
    <xf numFmtId="166" fontId="41" fillId="40" borderId="3" xfId="0" applyNumberFormat="1" applyFont="1" applyFill="1" applyBorder="1" applyAlignment="1">
      <alignment horizontal="center"/>
    </xf>
    <xf numFmtId="166" fontId="66" fillId="41" borderId="3" xfId="0" applyNumberFormat="1" applyFont="1" applyFill="1" applyBorder="1" applyAlignment="1">
      <alignment horizontal="center"/>
    </xf>
    <xf numFmtId="166" fontId="41" fillId="41" borderId="3" xfId="0" applyNumberFormat="1" applyFont="1" applyFill="1" applyBorder="1" applyAlignment="1">
      <alignment horizontal="center"/>
    </xf>
    <xf numFmtId="0" fontId="76" fillId="39" borderId="0" xfId="0" applyFont="1" applyFill="1"/>
    <xf numFmtId="0" fontId="76" fillId="3" borderId="0" xfId="0" applyFont="1" applyFill="1" applyAlignment="1">
      <alignment horizontal="center"/>
    </xf>
    <xf numFmtId="0" fontId="99" fillId="0" borderId="0" xfId="0" applyFont="1" applyAlignment="1">
      <alignment horizontal="center"/>
    </xf>
    <xf numFmtId="164" fontId="84" fillId="3" borderId="0" xfId="0" applyNumberFormat="1" applyFont="1" applyFill="1" applyAlignment="1">
      <alignment horizontal="center"/>
    </xf>
    <xf numFmtId="0" fontId="0" fillId="42" borderId="0" xfId="0" applyFill="1"/>
    <xf numFmtId="0" fontId="74" fillId="35" borderId="0" xfId="0" applyFont="1" applyFill="1"/>
    <xf numFmtId="0" fontId="0" fillId="35" borderId="0" xfId="0" applyFill="1"/>
    <xf numFmtId="0" fontId="0" fillId="43" borderId="0" xfId="0" applyFill="1"/>
    <xf numFmtId="169" fontId="68" fillId="0" borderId="0" xfId="1" applyNumberFormat="1" applyFont="1" applyBorder="1" applyAlignment="1">
      <alignment horizontal="left"/>
    </xf>
    <xf numFmtId="168" fontId="68" fillId="0" borderId="0" xfId="1" applyNumberFormat="1" applyFont="1" applyBorder="1" applyAlignment="1">
      <alignment horizontal="center"/>
    </xf>
    <xf numFmtId="0" fontId="103" fillId="3" borderId="0" xfId="46" applyFont="1" applyFill="1"/>
    <xf numFmtId="0" fontId="104" fillId="0" borderId="0" xfId="0" applyFont="1"/>
    <xf numFmtId="0" fontId="105" fillId="43" borderId="0" xfId="0" applyFont="1" applyFill="1"/>
    <xf numFmtId="0" fontId="106" fillId="38" borderId="0" xfId="0" applyFont="1" applyFill="1" applyBorder="1" applyAlignment="1">
      <alignment horizontal="left"/>
    </xf>
    <xf numFmtId="0" fontId="106" fillId="0" borderId="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44" borderId="0" xfId="0" applyFill="1"/>
    <xf numFmtId="166" fontId="4" fillId="0" borderId="0" xfId="0" applyNumberFormat="1" applyFont="1" applyFill="1" applyBorder="1" applyAlignment="1">
      <alignment horizontal="center"/>
    </xf>
    <xf numFmtId="0" fontId="69" fillId="0" borderId="0" xfId="0" applyFont="1" applyFill="1" applyAlignment="1">
      <alignment horizontal="center"/>
    </xf>
    <xf numFmtId="164" fontId="59" fillId="0" borderId="0" xfId="0" applyNumberFormat="1" applyFont="1" applyFill="1" applyAlignment="1">
      <alignment horizontal="center"/>
    </xf>
    <xf numFmtId="0" fontId="59" fillId="0" borderId="0" xfId="0" applyFont="1" applyFill="1" applyAlignment="1">
      <alignment horizontal="center"/>
    </xf>
    <xf numFmtId="0" fontId="61" fillId="0" borderId="0" xfId="0" applyFont="1" applyFill="1" applyAlignment="1">
      <alignment horizontal="center"/>
    </xf>
    <xf numFmtId="0" fontId="63" fillId="0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65" fillId="36" borderId="6" xfId="0" applyNumberFormat="1" applyFont="1" applyFill="1" applyBorder="1" applyAlignment="1">
      <alignment horizontal="center" vertical="center" wrapText="1"/>
    </xf>
    <xf numFmtId="164" fontId="65" fillId="36" borderId="7" xfId="0" applyNumberFormat="1" applyFont="1" applyFill="1" applyBorder="1" applyAlignment="1">
      <alignment horizontal="center" vertical="center" wrapText="1"/>
    </xf>
    <xf numFmtId="164" fontId="102" fillId="36" borderId="6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</cellXfs>
  <cellStyles count="4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urrency" xfId="1" builtinId="4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46" builtinId="8"/>
    <cellStyle name="Input 2" xfId="37"/>
    <cellStyle name="Linked Cell 2" xfId="38"/>
    <cellStyle name="Neutral 2" xfId="39"/>
    <cellStyle name="Normal" xfId="0" builtinId="0"/>
    <cellStyle name="Normal 2" xfId="40"/>
    <cellStyle name="Normal 3" xfId="3"/>
    <cellStyle name="Note 2" xfId="41"/>
    <cellStyle name="Output 2" xfId="42"/>
    <cellStyle name="Percent" xfId="2" builtinId="5"/>
    <cellStyle name="Title 2" xfId="43"/>
    <cellStyle name="Total 2" xfId="44"/>
    <cellStyle name="Warning Text 2" xfId="45"/>
  </cellStyles>
  <dxfs count="1301"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1"/>
      </font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rgb="FFFF0000"/>
      </font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$&quot;#,##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$&quot;#,##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$&quot;#,##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&quot;$&quot;#,##0.0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164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7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5B9BD5"/>
      <color rgb="FF0099FF"/>
      <color rgb="FF6666FF"/>
      <color rgb="FF3366FF"/>
      <color rgb="FF6699FF"/>
      <color rgb="FF3399FF"/>
      <color rgb="FFA01D1C"/>
      <color rgb="FF35A569"/>
      <color rgb="FF8B486B"/>
      <color rgb="FF416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3111164</xdr:colOff>
      <xdr:row>3</xdr:row>
      <xdr:rowOff>161925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3092114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9526</xdr:rowOff>
    </xdr:from>
    <xdr:to>
      <xdr:col>3</xdr:col>
      <xdr:colOff>1009650</xdr:colOff>
      <xdr:row>0</xdr:row>
      <xdr:rowOff>557548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5" y="9526"/>
          <a:ext cx="2047875" cy="548022"/>
        </a:xfrm>
        <a:prstGeom prst="rect">
          <a:avLst/>
        </a:prstGeom>
      </xdr:spPr>
    </xdr:pic>
    <xdr:clientData/>
  </xdr:twoCellAnchor>
  <xdr:twoCellAnchor>
    <xdr:from>
      <xdr:col>2</xdr:col>
      <xdr:colOff>14770</xdr:colOff>
      <xdr:row>0</xdr:row>
      <xdr:rowOff>5712</xdr:rowOff>
    </xdr:from>
    <xdr:to>
      <xdr:col>3</xdr:col>
      <xdr:colOff>1014224</xdr:colOff>
      <xdr:row>0</xdr:row>
      <xdr:rowOff>554352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33433" y="5712"/>
          <a:ext cx="2040558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9526</xdr:rowOff>
    </xdr:from>
    <xdr:to>
      <xdr:col>3</xdr:col>
      <xdr:colOff>1009650</xdr:colOff>
      <xdr:row>0</xdr:row>
      <xdr:rowOff>555000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9526"/>
          <a:ext cx="2038350" cy="545474"/>
        </a:xfrm>
        <a:prstGeom prst="rect">
          <a:avLst/>
        </a:prstGeom>
      </xdr:spPr>
    </xdr:pic>
    <xdr:clientData/>
  </xdr:twoCellAnchor>
  <xdr:twoCellAnchor>
    <xdr:from>
      <xdr:col>2</xdr:col>
      <xdr:colOff>14770</xdr:colOff>
      <xdr:row>0</xdr:row>
      <xdr:rowOff>5712</xdr:rowOff>
    </xdr:from>
    <xdr:to>
      <xdr:col>3</xdr:col>
      <xdr:colOff>1014224</xdr:colOff>
      <xdr:row>0</xdr:row>
      <xdr:rowOff>554352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34245" y="5712"/>
          <a:ext cx="2037679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Facility" displayName="Facility" ref="B1:AI1500" totalsRowShown="0">
  <autoFilter ref="B1:AI1500"/>
  <tableColumns count="34">
    <tableColumn id="1" name="CUSTOM" dataDxfId="1300"/>
    <tableColumn id="2" name="Default" dataDxfId="1299"/>
    <tableColumn id="34" name="Texas" dataDxfId="1298"/>
    <tableColumn id="3" name="Plains"/>
    <tableColumn id="4" name="Cedar Rapids"/>
    <tableColumn id="5" name="Des Moines"/>
    <tableColumn id="6" name="Des Moines - Franchise Distributors"/>
    <tableColumn id="7" name="Fargo"/>
    <tableColumn id="8" name="Hazelwood"/>
    <tableColumn id="9" name="Hazelwood - Franchise Distributors"/>
    <tableColumn id="10" name="Jefferson City - Hannibal"/>
    <tableColumn id="11" name="Jefferson City"/>
    <tableColumn id="12" name="Jefferson City - Quincy"/>
    <tableColumn id="13" name="Jefferson City - Columbia, MO"/>
    <tableColumn id="14" name="Jefferson City - Farmington"/>
    <tableColumn id="15" name="Jefferson City - Hermann"/>
    <tableColumn id="16" name="Jefferson City - Kirksville"/>
    <tableColumn id="17" name="Jefferson City - Kohl JCK"/>
    <tableColumn id="18" name="Jefferson City - Kohl PB"/>
    <tableColumn id="19" name="Jefferson City - Rolla"/>
    <tableColumn id="20" name="Jefferson City - Springfield"/>
    <tableColumn id="21" name="Lenexa"/>
    <tableColumn id="22" name="Oklahoma City"/>
    <tableColumn id="23" name="Omaha"/>
    <tableColumn id="24" name="Omaha - Franchise Distributors"/>
    <tableColumn id="25" name="Ottumwa"/>
    <tableColumn id="26" name="Spencer"/>
    <tableColumn id="27" name="Springfield - Franchise Distributors"/>
    <tableColumn id="28" name="Superior"/>
    <tableColumn id="29" name="Topeka"/>
    <tableColumn id="30" name="Tulsa"/>
    <tableColumn id="31" name="Twin Cities"/>
    <tableColumn id="32" name="Twin Cities - Franchise Distributors"/>
    <tableColumn id="33" name="Wichit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9:AO201" totalsRowShown="0">
  <autoFilter ref="A9:AO201"/>
  <tableColumns count="41">
    <tableColumn id="43" name="Column18" dataDxfId="1297"/>
    <tableColumn id="1" name="Reset Pricing" dataDxfId="1296"/>
    <tableColumn id="2" name="Column1" dataDxfId="1295"/>
    <tableColumn id="3" name="Column2" dataDxfId="1294"/>
    <tableColumn id="4" name="Column3" dataDxfId="1293"/>
    <tableColumn id="5" name="Column4"/>
    <tableColumn id="6" name="Column5" dataDxfId="1292"/>
    <tableColumn id="7" name="Column6" dataDxfId="1291"/>
    <tableColumn id="8" name="Column7" dataDxfId="1290"/>
    <tableColumn id="9" name="Column8" dataDxfId="1289" dataCellStyle="Currency"/>
    <tableColumn id="10" name="Column9" dataDxfId="1288"/>
    <tableColumn id="11" name="Plains CMA - Base" dataDxfId="1287"/>
    <tableColumn id="12" name="Column10" dataDxfId="1286"/>
    <tableColumn id="13" name="Column11" dataDxfId="1285"/>
    <tableColumn id="14" name="Column12" dataDxfId="1284"/>
    <tableColumn id="15" name="Column13"/>
    <tableColumn id="16" name="Column14" dataDxfId="1283"/>
    <tableColumn id="17" name="Column15" dataDxfId="1282"/>
    <tableColumn id="18" name="Column16" dataDxfId="1281"/>
    <tableColumn id="19" name="Column17" dataDxfId="1280" dataCellStyle="Currency"/>
    <tableColumn id="20" name="Column92" dataDxfId="1279"/>
    <tableColumn id="21" name="Plains CMA - Tier 2" dataDxfId="1278"/>
    <tableColumn id="22" name="Column19" dataDxfId="1277"/>
    <tableColumn id="23" name="Column20" dataDxfId="1276"/>
    <tableColumn id="24" name="Column21" dataDxfId="1275"/>
    <tableColumn id="38" name="Column212" dataDxfId="1274"/>
    <tableColumn id="25" name="Column22" dataDxfId="1273"/>
    <tableColumn id="26" name="Column23" dataDxfId="1272"/>
    <tableColumn id="27" name="Column24" dataDxfId="1271"/>
    <tableColumn id="28" name="Column25" dataDxfId="1270" dataCellStyle="Currency"/>
    <tableColumn id="29" name="Column93" dataDxfId="1269"/>
    <tableColumn id="30" name="Plains CMA - Tier 1" dataDxfId="1268"/>
    <tableColumn id="31" name="Column27" dataDxfId="1267"/>
    <tableColumn id="32" name="Column28" dataDxfId="1266"/>
    <tableColumn id="33" name="Column29" dataDxfId="1265"/>
    <tableColumn id="40" name="Column292" dataDxfId="1264"/>
    <tableColumn id="34" name="Column30" dataDxfId="1263"/>
    <tableColumn id="35" name="Column31" dataDxfId="1262"/>
    <tableColumn id="36" name="Column32" dataDxfId="1261"/>
    <tableColumn id="37" name="Column33" dataDxfId="1260" dataCellStyle="Currency"/>
    <tableColumn id="42" name="Column932" dataDxfId="125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nathan.Grimm@kdrp.com" TargetMode="External"/><Relationship Id="rId1" Type="http://schemas.openxmlformats.org/officeDocument/2006/relationships/hyperlink" Target="http://www.jonathangrimm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0"/>
  <sheetViews>
    <sheetView workbookViewId="0"/>
  </sheetViews>
  <sheetFormatPr defaultRowHeight="15" x14ac:dyDescent="0.25"/>
  <cols>
    <col min="2" max="2" width="10.42578125" bestFit="1" customWidth="1"/>
  </cols>
  <sheetData>
    <row r="1" spans="1:18" ht="21" x14ac:dyDescent="0.35">
      <c r="A1" s="211" t="s">
        <v>3368</v>
      </c>
    </row>
    <row r="2" spans="1:18" ht="15.75" x14ac:dyDescent="0.25">
      <c r="A2" s="185" t="s">
        <v>4523</v>
      </c>
      <c r="B2" s="251">
        <v>44015</v>
      </c>
    </row>
    <row r="4" spans="1:18" x14ac:dyDescent="0.25">
      <c r="A4" t="s">
        <v>3363</v>
      </c>
    </row>
    <row r="5" spans="1:18" x14ac:dyDescent="0.25">
      <c r="A5" s="186" t="s">
        <v>3696</v>
      </c>
    </row>
    <row r="6" spans="1:18" x14ac:dyDescent="0.25">
      <c r="A6" s="186" t="s">
        <v>3362</v>
      </c>
    </row>
    <row r="7" spans="1:18" x14ac:dyDescent="0.25">
      <c r="A7" s="186"/>
    </row>
    <row r="8" spans="1:18" ht="18.75" x14ac:dyDescent="0.3">
      <c r="A8" s="284" t="s">
        <v>4448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</row>
    <row r="9" spans="1:18" s="187" customFormat="1" ht="15.75" thickBot="1" x14ac:dyDescent="0.3">
      <c r="A9" s="188"/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</row>
    <row r="10" spans="1:18" s="187" customFormat="1" x14ac:dyDescent="0.25">
      <c r="A10" s="221" t="s">
        <v>3933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2"/>
    </row>
    <row r="11" spans="1:18" s="187" customFormat="1" x14ac:dyDescent="0.25">
      <c r="A11" s="221" t="s">
        <v>3934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2"/>
    </row>
    <row r="12" spans="1:18" s="187" customFormat="1" x14ac:dyDescent="0.25">
      <c r="A12" s="221"/>
      <c r="B12" s="221" t="s">
        <v>3432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2"/>
    </row>
    <row r="13" spans="1:18" s="187" customFormat="1" x14ac:dyDescent="0.25">
      <c r="A13" s="221" t="s">
        <v>3935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2"/>
    </row>
    <row r="14" spans="1:18" s="187" customFormat="1" x14ac:dyDescent="0.25">
      <c r="A14" s="221" t="s">
        <v>3435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2"/>
    </row>
    <row r="15" spans="1:18" s="187" customFormat="1" ht="15.75" thickBot="1" x14ac:dyDescent="0.3">
      <c r="A15" s="223" t="s">
        <v>3396</v>
      </c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</row>
    <row r="16" spans="1:18" s="187" customFormat="1" x14ac:dyDescent="0.25">
      <c r="A16" s="220"/>
      <c r="B16" s="210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</row>
    <row r="17" spans="1:11" ht="15.75" x14ac:dyDescent="0.25">
      <c r="A17" s="185" t="s">
        <v>3357</v>
      </c>
    </row>
    <row r="18" spans="1:11" x14ac:dyDescent="0.25">
      <c r="A18" t="s">
        <v>3936</v>
      </c>
    </row>
    <row r="19" spans="1:11" x14ac:dyDescent="0.25">
      <c r="A19" t="s">
        <v>3462</v>
      </c>
    </row>
    <row r="20" spans="1:11" x14ac:dyDescent="0.25">
      <c r="A20" s="145" t="s">
        <v>4368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1:11" x14ac:dyDescent="0.25">
      <c r="A21" t="s">
        <v>3402</v>
      </c>
    </row>
    <row r="22" spans="1:11" s="62" customFormat="1" x14ac:dyDescent="0.25">
      <c r="A22" s="62" t="s">
        <v>3489</v>
      </c>
    </row>
    <row r="23" spans="1:11" s="62" customFormat="1" x14ac:dyDescent="0.25">
      <c r="B23" s="62" t="s">
        <v>3531</v>
      </c>
    </row>
    <row r="24" spans="1:11" x14ac:dyDescent="0.25">
      <c r="B24" t="s">
        <v>3478</v>
      </c>
    </row>
    <row r="25" spans="1:11" x14ac:dyDescent="0.25">
      <c r="B25" t="s">
        <v>3436</v>
      </c>
    </row>
    <row r="26" spans="1:11" s="187" customFormat="1" x14ac:dyDescent="0.25">
      <c r="B26" s="187" t="s">
        <v>3522</v>
      </c>
    </row>
    <row r="27" spans="1:11" s="187" customFormat="1" x14ac:dyDescent="0.25">
      <c r="A27" s="184" t="s">
        <v>3774</v>
      </c>
    </row>
    <row r="28" spans="1:11" s="187" customFormat="1" x14ac:dyDescent="0.25">
      <c r="A28" s="184" t="s">
        <v>3538</v>
      </c>
    </row>
    <row r="29" spans="1:11" x14ac:dyDescent="0.25">
      <c r="A29" s="189" t="s">
        <v>3395</v>
      </c>
    </row>
    <row r="31" spans="1:11" ht="15.75" x14ac:dyDescent="0.25">
      <c r="A31" s="185" t="s">
        <v>3385</v>
      </c>
    </row>
    <row r="32" spans="1:11" x14ac:dyDescent="0.25">
      <c r="A32" t="s">
        <v>3936</v>
      </c>
    </row>
    <row r="33" spans="1:14" x14ac:dyDescent="0.25">
      <c r="A33" t="s">
        <v>3403</v>
      </c>
    </row>
    <row r="34" spans="1:14" x14ac:dyDescent="0.25">
      <c r="A34" t="s">
        <v>3450</v>
      </c>
    </row>
    <row r="35" spans="1:14" x14ac:dyDescent="0.25">
      <c r="A35" t="s">
        <v>3502</v>
      </c>
    </row>
    <row r="36" spans="1:14" x14ac:dyDescent="0.25">
      <c r="A36" t="s">
        <v>3533</v>
      </c>
    </row>
    <row r="37" spans="1:14" x14ac:dyDescent="0.25">
      <c r="A37" s="184" t="s">
        <v>3366</v>
      </c>
    </row>
    <row r="38" spans="1:14" x14ac:dyDescent="0.25">
      <c r="B38" t="s">
        <v>3400</v>
      </c>
    </row>
    <row r="39" spans="1:14" x14ac:dyDescent="0.25">
      <c r="C39" t="s">
        <v>3426</v>
      </c>
    </row>
    <row r="40" spans="1:14" x14ac:dyDescent="0.25">
      <c r="B40" t="s">
        <v>3401</v>
      </c>
    </row>
    <row r="41" spans="1:14" x14ac:dyDescent="0.25">
      <c r="B41" s="145" t="s">
        <v>4367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</row>
    <row r="42" spans="1:14" x14ac:dyDescent="0.25">
      <c r="B42" t="s">
        <v>3647</v>
      </c>
    </row>
    <row r="43" spans="1:14" x14ac:dyDescent="0.25">
      <c r="B43" t="s">
        <v>3404</v>
      </c>
    </row>
    <row r="44" spans="1:14" x14ac:dyDescent="0.25">
      <c r="B44" t="s">
        <v>4360</v>
      </c>
    </row>
    <row r="45" spans="1:14" x14ac:dyDescent="0.25">
      <c r="B45" t="s">
        <v>3406</v>
      </c>
    </row>
    <row r="46" spans="1:14" x14ac:dyDescent="0.25">
      <c r="B46" t="s">
        <v>3405</v>
      </c>
    </row>
    <row r="47" spans="1:14" x14ac:dyDescent="0.25">
      <c r="B47" t="s">
        <v>3440</v>
      </c>
    </row>
    <row r="48" spans="1:14" x14ac:dyDescent="0.25">
      <c r="C48" t="s">
        <v>3467</v>
      </c>
    </row>
    <row r="49" spans="1:18" x14ac:dyDescent="0.25">
      <c r="C49" t="s">
        <v>3437</v>
      </c>
    </row>
    <row r="50" spans="1:18" x14ac:dyDescent="0.25">
      <c r="A50" s="189" t="s">
        <v>3438</v>
      </c>
    </row>
    <row r="51" spans="1:18" s="187" customFormat="1" x14ac:dyDescent="0.25">
      <c r="A51" s="219" t="s">
        <v>3407</v>
      </c>
    </row>
    <row r="52" spans="1:18" s="187" customFormat="1" x14ac:dyDescent="0.25">
      <c r="A52" s="187" t="s">
        <v>3441</v>
      </c>
    </row>
    <row r="53" spans="1:18" x14ac:dyDescent="0.25">
      <c r="A53" s="189" t="s">
        <v>3391</v>
      </c>
    </row>
    <row r="55" spans="1:18" ht="15.75" x14ac:dyDescent="0.25">
      <c r="A55" s="185" t="s">
        <v>3358</v>
      </c>
    </row>
    <row r="56" spans="1:18" x14ac:dyDescent="0.25">
      <c r="A56" s="146" t="s">
        <v>3359</v>
      </c>
      <c r="B56" s="145"/>
      <c r="C56" s="145"/>
      <c r="D56" s="145"/>
      <c r="E56" s="145"/>
    </row>
    <row r="57" spans="1:18" x14ac:dyDescent="0.25">
      <c r="A57" s="146" t="s">
        <v>3463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</row>
    <row r="58" spans="1:18" x14ac:dyDescent="0.25">
      <c r="A58" t="s">
        <v>3369</v>
      </c>
    </row>
    <row r="59" spans="1:18" x14ac:dyDescent="0.25">
      <c r="A59" t="s">
        <v>3508</v>
      </c>
    </row>
    <row r="60" spans="1:18" x14ac:dyDescent="0.25">
      <c r="A60" t="s">
        <v>3376</v>
      </c>
    </row>
    <row r="61" spans="1:18" x14ac:dyDescent="0.25">
      <c r="A61" t="s">
        <v>3465</v>
      </c>
    </row>
    <row r="62" spans="1:18" x14ac:dyDescent="0.25">
      <c r="A62" t="s">
        <v>3464</v>
      </c>
    </row>
    <row r="63" spans="1:18" x14ac:dyDescent="0.25">
      <c r="A63" t="s">
        <v>3360</v>
      </c>
    </row>
    <row r="64" spans="1:18" x14ac:dyDescent="0.25">
      <c r="A64" t="s">
        <v>3408</v>
      </c>
    </row>
    <row r="65" spans="1:18" x14ac:dyDescent="0.25">
      <c r="A65" s="146" t="s">
        <v>3439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</row>
    <row r="66" spans="1:18" x14ac:dyDescent="0.25">
      <c r="A66" t="s">
        <v>3442</v>
      </c>
    </row>
    <row r="67" spans="1:18" x14ac:dyDescent="0.25">
      <c r="A67" s="189" t="s">
        <v>3375</v>
      </c>
    </row>
    <row r="69" spans="1:18" ht="15.75" x14ac:dyDescent="0.25">
      <c r="A69" s="185" t="s">
        <v>3361</v>
      </c>
    </row>
    <row r="70" spans="1:18" x14ac:dyDescent="0.25">
      <c r="A70" t="s">
        <v>3410</v>
      </c>
    </row>
    <row r="71" spans="1:18" x14ac:dyDescent="0.25">
      <c r="B71" t="s">
        <v>3411</v>
      </c>
    </row>
    <row r="72" spans="1:18" x14ac:dyDescent="0.25">
      <c r="B72" t="s">
        <v>3409</v>
      </c>
    </row>
    <row r="73" spans="1:18" x14ac:dyDescent="0.25">
      <c r="A73" t="s">
        <v>3397</v>
      </c>
    </row>
    <row r="74" spans="1:18" x14ac:dyDescent="0.25">
      <c r="B74" s="145" t="s">
        <v>3648</v>
      </c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5"/>
      <c r="P74" s="145"/>
      <c r="Q74" s="145"/>
      <c r="R74" s="145"/>
    </row>
    <row r="75" spans="1:18" x14ac:dyDescent="0.25">
      <c r="A75" s="184" t="s">
        <v>3504</v>
      </c>
    </row>
    <row r="76" spans="1:18" x14ac:dyDescent="0.25">
      <c r="A76" s="184"/>
      <c r="B76" t="s">
        <v>3505</v>
      </c>
    </row>
    <row r="78" spans="1:18" ht="15.75" x14ac:dyDescent="0.25">
      <c r="A78" s="185" t="s">
        <v>4364</v>
      </c>
    </row>
    <row r="79" spans="1:18" s="187" customFormat="1" x14ac:dyDescent="0.25">
      <c r="A79" s="187" t="s">
        <v>4365</v>
      </c>
    </row>
    <row r="80" spans="1:18" s="187" customFormat="1" x14ac:dyDescent="0.25"/>
    <row r="81" spans="1:18" ht="15.75" x14ac:dyDescent="0.25">
      <c r="A81" s="185" t="s">
        <v>4363</v>
      </c>
    </row>
    <row r="82" spans="1:18" s="187" customFormat="1" x14ac:dyDescent="0.25">
      <c r="A82" s="187" t="s">
        <v>3398</v>
      </c>
    </row>
    <row r="83" spans="1:18" s="187" customFormat="1" x14ac:dyDescent="0.25"/>
    <row r="84" spans="1:18" s="187" customFormat="1" ht="15.75" x14ac:dyDescent="0.25">
      <c r="A84" s="185" t="s">
        <v>3427</v>
      </c>
    </row>
    <row r="85" spans="1:18" s="187" customFormat="1" x14ac:dyDescent="0.25">
      <c r="A85" s="187" t="s">
        <v>3428</v>
      </c>
    </row>
    <row r="86" spans="1:18" s="187" customFormat="1" x14ac:dyDescent="0.25">
      <c r="A86" s="236" t="s">
        <v>3490</v>
      </c>
      <c r="B86" s="236"/>
      <c r="C86" s="236"/>
      <c r="D86" s="236"/>
      <c r="E86" s="236"/>
      <c r="F86" s="236"/>
      <c r="G86" s="236"/>
      <c r="H86" s="236"/>
      <c r="I86" s="236"/>
      <c r="J86" s="236"/>
    </row>
    <row r="87" spans="1:18" s="187" customFormat="1" x14ac:dyDescent="0.25">
      <c r="B87" s="187" t="s">
        <v>3433</v>
      </c>
    </row>
    <row r="88" spans="1:18" s="187" customFormat="1" x14ac:dyDescent="0.25">
      <c r="A88" s="189" t="s">
        <v>3375</v>
      </c>
    </row>
    <row r="89" spans="1:18" s="187" customFormat="1" x14ac:dyDescent="0.25">
      <c r="A89" s="189"/>
    </row>
    <row r="90" spans="1:18" s="187" customFormat="1" ht="15.75" x14ac:dyDescent="0.25">
      <c r="A90" s="185" t="s">
        <v>4366</v>
      </c>
    </row>
    <row r="91" spans="1:18" s="187" customFormat="1" x14ac:dyDescent="0.25">
      <c r="A91" s="187" t="s">
        <v>3429</v>
      </c>
    </row>
    <row r="92" spans="1:18" s="187" customFormat="1" x14ac:dyDescent="0.25">
      <c r="A92" s="187" t="s">
        <v>3434</v>
      </c>
    </row>
    <row r="93" spans="1:18" s="187" customFormat="1" ht="15.75" thickBot="1" x14ac:dyDescent="0.3"/>
    <row r="94" spans="1:18" ht="16.5" thickBot="1" x14ac:dyDescent="0.3">
      <c r="A94" s="232" t="s">
        <v>3387</v>
      </c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</row>
    <row r="95" spans="1:18" s="62" customFormat="1" ht="15.75" x14ac:dyDescent="0.25">
      <c r="A95" s="234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</row>
    <row r="96" spans="1:18" x14ac:dyDescent="0.25">
      <c r="A96" t="s">
        <v>3394</v>
      </c>
    </row>
    <row r="97" spans="1:3" x14ac:dyDescent="0.25">
      <c r="B97" t="s">
        <v>3443</v>
      </c>
    </row>
    <row r="98" spans="1:3" x14ac:dyDescent="0.25">
      <c r="A98" t="s">
        <v>3444</v>
      </c>
    </row>
    <row r="99" spans="1:3" x14ac:dyDescent="0.25">
      <c r="A99" t="s">
        <v>3466</v>
      </c>
    </row>
    <row r="100" spans="1:3" x14ac:dyDescent="0.25">
      <c r="A100" t="s">
        <v>3532</v>
      </c>
    </row>
    <row r="101" spans="1:3" x14ac:dyDescent="0.25">
      <c r="A101" t="s">
        <v>3367</v>
      </c>
    </row>
    <row r="102" spans="1:3" x14ac:dyDescent="0.25">
      <c r="B102" t="s">
        <v>3503</v>
      </c>
    </row>
    <row r="103" spans="1:3" x14ac:dyDescent="0.25">
      <c r="A103" t="s">
        <v>3491</v>
      </c>
    </row>
    <row r="104" spans="1:3" x14ac:dyDescent="0.25">
      <c r="A104" t="s">
        <v>3389</v>
      </c>
    </row>
    <row r="105" spans="1:3" x14ac:dyDescent="0.25">
      <c r="A105" s="184" t="s">
        <v>3364</v>
      </c>
    </row>
    <row r="106" spans="1:3" x14ac:dyDescent="0.25">
      <c r="A106" s="145" t="s">
        <v>3392</v>
      </c>
      <c r="B106" s="145"/>
      <c r="C106" s="145"/>
    </row>
    <row r="107" spans="1:3" x14ac:dyDescent="0.25">
      <c r="A107" s="189" t="s">
        <v>3373</v>
      </c>
    </row>
    <row r="108" spans="1:3" x14ac:dyDescent="0.25">
      <c r="A108" s="187" t="s">
        <v>3412</v>
      </c>
    </row>
    <row r="109" spans="1:3" x14ac:dyDescent="0.25">
      <c r="A109" s="219" t="s">
        <v>3374</v>
      </c>
    </row>
    <row r="110" spans="1:3" x14ac:dyDescent="0.25">
      <c r="A110" t="s">
        <v>3468</v>
      </c>
    </row>
    <row r="111" spans="1:3" x14ac:dyDescent="0.25">
      <c r="A111" t="s">
        <v>3469</v>
      </c>
    </row>
    <row r="112" spans="1:3" x14ac:dyDescent="0.25">
      <c r="A112" t="s">
        <v>3413</v>
      </c>
    </row>
    <row r="113" spans="1:11" x14ac:dyDescent="0.25">
      <c r="A113" t="s">
        <v>3470</v>
      </c>
    </row>
    <row r="114" spans="1:11" x14ac:dyDescent="0.25">
      <c r="A114" t="s">
        <v>3472</v>
      </c>
    </row>
    <row r="115" spans="1:11" ht="15.75" thickBot="1" x14ac:dyDescent="0.3">
      <c r="A115" s="190"/>
      <c r="B115" s="190"/>
      <c r="C115" s="190"/>
      <c r="D115" s="190"/>
      <c r="E115" s="190"/>
      <c r="F115" s="190"/>
    </row>
    <row r="117" spans="1:11" x14ac:dyDescent="0.25">
      <c r="A117" t="s">
        <v>3492</v>
      </c>
    </row>
    <row r="118" spans="1:11" x14ac:dyDescent="0.25">
      <c r="A118" t="s">
        <v>3399</v>
      </c>
    </row>
    <row r="119" spans="1:11" x14ac:dyDescent="0.25">
      <c r="B119" t="s">
        <v>3414</v>
      </c>
    </row>
    <row r="120" spans="1:11" x14ac:dyDescent="0.25">
      <c r="A120" t="s">
        <v>3378</v>
      </c>
    </row>
    <row r="121" spans="1:11" x14ac:dyDescent="0.25">
      <c r="A121" t="s">
        <v>3388</v>
      </c>
    </row>
    <row r="122" spans="1:11" x14ac:dyDescent="0.25">
      <c r="A122" t="s">
        <v>3445</v>
      </c>
    </row>
    <row r="123" spans="1:11" ht="15.75" thickBot="1" x14ac:dyDescent="0.3">
      <c r="A123" s="190"/>
      <c r="B123" s="190"/>
      <c r="C123" s="190"/>
      <c r="D123" s="190"/>
      <c r="E123" s="190"/>
      <c r="F123" s="190"/>
    </row>
    <row r="125" spans="1:11" x14ac:dyDescent="0.25">
      <c r="A125" s="189" t="s">
        <v>3471</v>
      </c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</row>
    <row r="126" spans="1:11" x14ac:dyDescent="0.25">
      <c r="A126" t="s">
        <v>3473</v>
      </c>
    </row>
    <row r="127" spans="1:11" x14ac:dyDescent="0.25">
      <c r="A127" t="s">
        <v>3474</v>
      </c>
    </row>
    <row r="128" spans="1:11" x14ac:dyDescent="0.25">
      <c r="A128" s="184" t="s">
        <v>3493</v>
      </c>
    </row>
    <row r="129" spans="1:11" x14ac:dyDescent="0.25">
      <c r="A129" t="s">
        <v>3477</v>
      </c>
    </row>
    <row r="130" spans="1:11" x14ac:dyDescent="0.25">
      <c r="A130" t="s">
        <v>3494</v>
      </c>
    </row>
    <row r="131" spans="1:11" x14ac:dyDescent="0.25">
      <c r="A131" t="s">
        <v>3475</v>
      </c>
    </row>
    <row r="132" spans="1:11" x14ac:dyDescent="0.25">
      <c r="A132" t="s">
        <v>3476</v>
      </c>
    </row>
    <row r="133" spans="1:11" ht="15.75" thickBot="1" x14ac:dyDescent="0.3">
      <c r="A133" s="190"/>
      <c r="B133" s="190"/>
      <c r="C133" s="190"/>
      <c r="D133" s="190"/>
      <c r="E133" s="190"/>
      <c r="F133" s="190"/>
    </row>
    <row r="135" spans="1:11" x14ac:dyDescent="0.25">
      <c r="A135" s="145" t="s">
        <v>3523</v>
      </c>
      <c r="B135" s="145"/>
    </row>
    <row r="136" spans="1:11" x14ac:dyDescent="0.25">
      <c r="A136" t="s">
        <v>3537</v>
      </c>
    </row>
    <row r="137" spans="1:11" x14ac:dyDescent="0.25">
      <c r="A137" t="s">
        <v>3524</v>
      </c>
    </row>
    <row r="138" spans="1:11" x14ac:dyDescent="0.25">
      <c r="A138" t="s">
        <v>3528</v>
      </c>
    </row>
    <row r="139" spans="1:11" x14ac:dyDescent="0.25">
      <c r="A139" t="s">
        <v>3529</v>
      </c>
    </row>
    <row r="140" spans="1:11" x14ac:dyDescent="0.25">
      <c r="A140" t="s">
        <v>3530</v>
      </c>
    </row>
    <row r="141" spans="1:11" x14ac:dyDescent="0.25">
      <c r="A141" t="s">
        <v>3525</v>
      </c>
    </row>
    <row r="142" spans="1:11" x14ac:dyDescent="0.25">
      <c r="A142" t="s">
        <v>3534</v>
      </c>
    </row>
    <row r="143" spans="1:11" x14ac:dyDescent="0.25">
      <c r="A143" t="s">
        <v>3535</v>
      </c>
    </row>
    <row r="144" spans="1:11" x14ac:dyDescent="0.25">
      <c r="A144" s="184" t="s">
        <v>3536</v>
      </c>
      <c r="B144" t="s">
        <v>3640</v>
      </c>
      <c r="J144" s="184" t="s">
        <v>3536</v>
      </c>
      <c r="K144" t="s">
        <v>3643</v>
      </c>
    </row>
    <row r="145" spans="1:11" x14ac:dyDescent="0.25">
      <c r="A145" s="184" t="s">
        <v>3642</v>
      </c>
      <c r="B145" t="s">
        <v>3641</v>
      </c>
      <c r="J145" s="184" t="s">
        <v>3645</v>
      </c>
      <c r="K145" t="s">
        <v>3644</v>
      </c>
    </row>
    <row r="146" spans="1:11" x14ac:dyDescent="0.25">
      <c r="A146" t="s">
        <v>3526</v>
      </c>
    </row>
    <row r="147" spans="1:11" x14ac:dyDescent="0.25">
      <c r="A147" t="s">
        <v>3646</v>
      </c>
    </row>
    <row r="148" spans="1:11" x14ac:dyDescent="0.25">
      <c r="A148" t="s">
        <v>3527</v>
      </c>
    </row>
    <row r="149" spans="1:11" x14ac:dyDescent="0.25">
      <c r="A149" s="256" t="s">
        <v>3937</v>
      </c>
      <c r="B149" s="256"/>
      <c r="C149" s="256"/>
      <c r="D149" s="256"/>
      <c r="E149" s="256"/>
      <c r="F149" s="256"/>
    </row>
    <row r="150" spans="1:11" x14ac:dyDescent="0.25">
      <c r="A150" s="256" t="s">
        <v>4029</v>
      </c>
      <c r="B150" s="145"/>
      <c r="C150" s="145"/>
      <c r="D150" s="145"/>
      <c r="E150" s="145"/>
      <c r="F150" s="145"/>
    </row>
  </sheetData>
  <hyperlinks>
    <hyperlink ref="A6" r:id="rId1"/>
    <hyperlink ref="A5" r:id="rId2"/>
  </hyperlinks>
  <pageMargins left="0.7" right="0.7" top="0.75" bottom="0.75" header="0.3" footer="0.3"/>
  <pageSetup orientation="portrait" horizontalDpi="4294967293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P201"/>
  <sheetViews>
    <sheetView workbookViewId="0"/>
  </sheetViews>
  <sheetFormatPr defaultRowHeight="15" x14ac:dyDescent="0.25"/>
  <cols>
    <col min="1" max="1" width="57.140625" bestFit="1" customWidth="1"/>
    <col min="2" max="3" width="12.7109375" customWidth="1"/>
    <col min="4" max="4" width="2.7109375" customWidth="1"/>
    <col min="5" max="5" width="12.7109375" customWidth="1"/>
    <col min="6" max="6" width="2.7109375" customWidth="1"/>
    <col min="7" max="7" width="2.7109375" style="62" customWidth="1"/>
    <col min="8" max="8" width="3.7109375" style="62" customWidth="1"/>
    <col min="9" max="9" width="2.7109375" style="62" customWidth="1"/>
    <col min="10" max="10" width="11" style="62" customWidth="1"/>
    <col min="11" max="11" width="5.7109375" customWidth="1"/>
    <col min="12" max="13" width="12.7109375" customWidth="1"/>
    <col min="14" max="14" width="2.7109375" customWidth="1"/>
    <col min="15" max="15" width="12.7109375" customWidth="1"/>
    <col min="16" max="17" width="2.7109375" customWidth="1"/>
    <col min="18" max="18" width="3.7109375" customWidth="1"/>
    <col min="19" max="19" width="2.7109375" customWidth="1"/>
    <col min="20" max="20" width="12" customWidth="1"/>
    <col min="21" max="21" width="5.7109375" customWidth="1"/>
    <col min="22" max="23" width="12.7109375" customWidth="1"/>
    <col min="24" max="24" width="2.7109375" customWidth="1"/>
    <col min="25" max="25" width="12.7109375" customWidth="1"/>
    <col min="26" max="27" width="2.7109375" customWidth="1"/>
    <col min="28" max="28" width="3.7109375" customWidth="1"/>
    <col min="29" max="29" width="2.7109375" customWidth="1"/>
    <col min="30" max="30" width="12" customWidth="1"/>
    <col min="31" max="31" width="5.7109375" customWidth="1"/>
    <col min="32" max="33" width="12.7109375" customWidth="1"/>
    <col min="34" max="34" width="2.7109375" customWidth="1"/>
    <col min="35" max="35" width="12.7109375" customWidth="1"/>
    <col min="36" max="37" width="2.7109375" customWidth="1"/>
    <col min="38" max="38" width="3.7109375" customWidth="1"/>
    <col min="39" max="39" width="2.7109375" customWidth="1"/>
    <col min="40" max="40" width="12" customWidth="1"/>
    <col min="41" max="41" width="5.7109375" customWidth="1"/>
  </cols>
  <sheetData>
    <row r="1" spans="1:42" x14ac:dyDescent="0.25">
      <c r="A1" t="s">
        <v>4435</v>
      </c>
      <c r="F1" s="62"/>
      <c r="J1"/>
    </row>
    <row r="2" spans="1:42" x14ac:dyDescent="0.25">
      <c r="A2" t="s">
        <v>4434</v>
      </c>
      <c r="F2" s="62"/>
      <c r="J2"/>
    </row>
    <row r="3" spans="1:42" x14ac:dyDescent="0.25">
      <c r="A3" t="s">
        <v>4400</v>
      </c>
      <c r="F3" s="62"/>
      <c r="J3"/>
    </row>
    <row r="4" spans="1:42" x14ac:dyDescent="0.25">
      <c r="A4" t="s">
        <v>4401</v>
      </c>
      <c r="F4" s="62"/>
      <c r="J4"/>
    </row>
    <row r="5" spans="1:42" x14ac:dyDescent="0.25">
      <c r="A5" t="s">
        <v>4402</v>
      </c>
      <c r="F5" s="62"/>
      <c r="J5"/>
    </row>
    <row r="9" spans="1:42" x14ac:dyDescent="0.25">
      <c r="A9" t="s">
        <v>4425</v>
      </c>
      <c r="B9" s="278" t="s">
        <v>4434</v>
      </c>
      <c r="C9" s="285" t="s">
        <v>4408</v>
      </c>
      <c r="D9" s="285" t="s">
        <v>4409</v>
      </c>
      <c r="E9" s="285" t="s">
        <v>4410</v>
      </c>
      <c r="F9" s="285" t="s">
        <v>4411</v>
      </c>
      <c r="G9" s="285" t="s">
        <v>4412</v>
      </c>
      <c r="H9" s="285" t="s">
        <v>4413</v>
      </c>
      <c r="I9" s="285" t="s">
        <v>4414</v>
      </c>
      <c r="J9" s="285" t="s">
        <v>4415</v>
      </c>
      <c r="K9" s="286" t="s">
        <v>4416</v>
      </c>
      <c r="L9" s="278" t="s">
        <v>4400</v>
      </c>
      <c r="M9" s="285" t="s">
        <v>4417</v>
      </c>
      <c r="N9" s="285" t="s">
        <v>4418</v>
      </c>
      <c r="O9" s="285" t="s">
        <v>4419</v>
      </c>
      <c r="P9" s="285" t="s">
        <v>4420</v>
      </c>
      <c r="Q9" s="285" t="s">
        <v>4421</v>
      </c>
      <c r="R9" s="285" t="s">
        <v>4422</v>
      </c>
      <c r="S9" s="285" t="s">
        <v>4423</v>
      </c>
      <c r="T9" s="285" t="s">
        <v>4424</v>
      </c>
      <c r="U9" s="286" t="s">
        <v>4445</v>
      </c>
      <c r="V9" s="278" t="s">
        <v>4401</v>
      </c>
      <c r="W9" s="285" t="s">
        <v>4426</v>
      </c>
      <c r="X9" s="285" t="s">
        <v>4427</v>
      </c>
      <c r="Y9" s="285" t="s">
        <v>4428</v>
      </c>
      <c r="Z9" s="285" t="s">
        <v>4443</v>
      </c>
      <c r="AA9" s="285" t="s">
        <v>4429</v>
      </c>
      <c r="AB9" s="285" t="s">
        <v>4430</v>
      </c>
      <c r="AC9" s="285" t="s">
        <v>4431</v>
      </c>
      <c r="AD9" s="285" t="s">
        <v>4432</v>
      </c>
      <c r="AE9" s="286" t="s">
        <v>4446</v>
      </c>
      <c r="AF9" s="278" t="s">
        <v>4402</v>
      </c>
      <c r="AG9" s="285" t="s">
        <v>4436</v>
      </c>
      <c r="AH9" s="285" t="s">
        <v>4437</v>
      </c>
      <c r="AI9" s="285" t="s">
        <v>4438</v>
      </c>
      <c r="AJ9" s="285" t="s">
        <v>4444</v>
      </c>
      <c r="AK9" s="285" t="s">
        <v>4439</v>
      </c>
      <c r="AL9" s="285" t="s">
        <v>4440</v>
      </c>
      <c r="AM9" s="285" t="s">
        <v>4441</v>
      </c>
      <c r="AN9" s="285" t="s">
        <v>4442</v>
      </c>
      <c r="AO9" s="286" t="s">
        <v>4447</v>
      </c>
      <c r="AP9" t="s">
        <v>4449</v>
      </c>
    </row>
    <row r="10" spans="1:42" x14ac:dyDescent="0.25">
      <c r="A10" s="106" t="s">
        <v>898</v>
      </c>
      <c r="B10" s="271">
        <v>0</v>
      </c>
      <c r="C10" s="69"/>
      <c r="D10" s="107"/>
      <c r="E10" s="272">
        <v>0</v>
      </c>
      <c r="G10" s="267"/>
      <c r="H10" s="212"/>
      <c r="I10" s="207" t="s">
        <v>3380</v>
      </c>
      <c r="J10" s="208"/>
      <c r="K10" s="281"/>
      <c r="L10" s="271">
        <v>0</v>
      </c>
      <c r="M10" s="69"/>
      <c r="N10" s="107"/>
      <c r="O10" s="272">
        <v>2.99</v>
      </c>
      <c r="Q10" s="267"/>
      <c r="R10" s="212"/>
      <c r="S10" s="207" t="s">
        <v>3380</v>
      </c>
      <c r="T10" s="208"/>
      <c r="U10" s="281"/>
      <c r="V10" s="271">
        <v>0</v>
      </c>
      <c r="W10" s="69"/>
      <c r="X10" s="107"/>
      <c r="Y10" s="272">
        <v>2.99</v>
      </c>
      <c r="Z10" s="267"/>
      <c r="AA10" s="267"/>
      <c r="AB10" s="270"/>
      <c r="AC10" s="207" t="s">
        <v>3380</v>
      </c>
      <c r="AD10" s="208"/>
      <c r="AE10" s="281"/>
      <c r="AF10" s="271">
        <v>0</v>
      </c>
      <c r="AG10" s="69"/>
      <c r="AH10" s="107"/>
      <c r="AI10" s="272">
        <v>2.99</v>
      </c>
      <c r="AJ10" s="267"/>
      <c r="AK10" s="267"/>
      <c r="AL10" s="270"/>
      <c r="AM10" s="207" t="s">
        <v>3380</v>
      </c>
      <c r="AN10" s="208"/>
      <c r="AO10" s="281"/>
    </row>
    <row r="11" spans="1:42" x14ac:dyDescent="0.25">
      <c r="A11" s="106" t="s">
        <v>3733</v>
      </c>
      <c r="B11" s="271">
        <v>0</v>
      </c>
      <c r="C11" s="69"/>
      <c r="D11" s="107"/>
      <c r="E11" s="272">
        <v>0</v>
      </c>
      <c r="G11" s="267"/>
      <c r="H11" s="212"/>
      <c r="I11" s="207" t="s">
        <v>3380</v>
      </c>
      <c r="J11" s="208"/>
      <c r="K11" s="281"/>
      <c r="L11" s="271">
        <v>0</v>
      </c>
      <c r="M11" s="69"/>
      <c r="N11" s="107"/>
      <c r="O11" s="272">
        <v>3.99</v>
      </c>
      <c r="Q11" s="267"/>
      <c r="R11" s="212"/>
      <c r="S11" s="207" t="s">
        <v>3380</v>
      </c>
      <c r="T11" s="208"/>
      <c r="U11" s="281"/>
      <c r="V11" s="271">
        <v>0</v>
      </c>
      <c r="W11" s="69"/>
      <c r="X11" s="107"/>
      <c r="Y11" s="272">
        <v>3.99</v>
      </c>
      <c r="Z11" s="267"/>
      <c r="AA11" s="267"/>
      <c r="AB11" s="212"/>
      <c r="AC11" s="207" t="s">
        <v>3380</v>
      </c>
      <c r="AD11" s="208"/>
      <c r="AE11" s="281"/>
      <c r="AF11" s="271">
        <v>0</v>
      </c>
      <c r="AG11" s="69"/>
      <c r="AH11" s="107"/>
      <c r="AI11" s="272">
        <v>3.99</v>
      </c>
      <c r="AJ11" s="267"/>
      <c r="AK11" s="267"/>
      <c r="AL11" s="212"/>
      <c r="AM11" s="207" t="s">
        <v>3380</v>
      </c>
      <c r="AN11" s="208"/>
      <c r="AO11" s="281"/>
    </row>
    <row r="12" spans="1:42" x14ac:dyDescent="0.25">
      <c r="A12" s="106" t="s">
        <v>899</v>
      </c>
      <c r="B12" s="271">
        <v>0</v>
      </c>
      <c r="C12" s="69"/>
      <c r="D12" s="107"/>
      <c r="E12" s="272">
        <v>0</v>
      </c>
      <c r="G12" s="267"/>
      <c r="H12" s="212"/>
      <c r="I12" s="207" t="s">
        <v>3380</v>
      </c>
      <c r="J12" s="208"/>
      <c r="K12" s="281"/>
      <c r="L12" s="271">
        <v>0</v>
      </c>
      <c r="M12" s="69"/>
      <c r="N12" s="107"/>
      <c r="O12" s="272">
        <v>3.49</v>
      </c>
      <c r="Q12" s="267"/>
      <c r="R12" s="212"/>
      <c r="S12" s="207" t="s">
        <v>3380</v>
      </c>
      <c r="T12" s="208"/>
      <c r="U12" s="281"/>
      <c r="V12" s="271">
        <v>0</v>
      </c>
      <c r="W12" s="69"/>
      <c r="X12" s="107"/>
      <c r="Y12" s="272">
        <v>3.49</v>
      </c>
      <c r="Z12" s="267"/>
      <c r="AA12" s="267"/>
      <c r="AB12" s="212"/>
      <c r="AC12" s="207" t="s">
        <v>3380</v>
      </c>
      <c r="AD12" s="208"/>
      <c r="AE12" s="281"/>
      <c r="AF12" s="271">
        <v>0</v>
      </c>
      <c r="AG12" s="69"/>
      <c r="AH12" s="107"/>
      <c r="AI12" s="272">
        <v>3.49</v>
      </c>
      <c r="AJ12" s="267"/>
      <c r="AK12" s="267"/>
      <c r="AL12" s="212"/>
      <c r="AM12" s="207" t="s">
        <v>3380</v>
      </c>
      <c r="AN12" s="208"/>
      <c r="AO12" s="281"/>
    </row>
    <row r="13" spans="1:42" x14ac:dyDescent="0.25">
      <c r="A13" s="106" t="s">
        <v>892</v>
      </c>
      <c r="B13" s="271">
        <v>0</v>
      </c>
      <c r="C13" s="69"/>
      <c r="D13" s="107"/>
      <c r="E13" s="272">
        <v>0</v>
      </c>
      <c r="G13" s="267"/>
      <c r="H13" s="212"/>
      <c r="I13" s="207" t="s">
        <v>3380</v>
      </c>
      <c r="J13" s="208"/>
      <c r="K13" s="281"/>
      <c r="L13" s="271">
        <v>9.8000000000000007</v>
      </c>
      <c r="M13" s="69"/>
      <c r="N13" s="107"/>
      <c r="O13" s="272">
        <v>5.99</v>
      </c>
      <c r="Q13" s="267"/>
      <c r="R13" s="212"/>
      <c r="S13" s="207" t="s">
        <v>3380</v>
      </c>
      <c r="T13" s="208"/>
      <c r="U13" s="281"/>
      <c r="V13" s="271">
        <v>8.6</v>
      </c>
      <c r="W13" s="69"/>
      <c r="X13" s="107"/>
      <c r="Y13" s="272">
        <v>5.49</v>
      </c>
      <c r="Z13" s="267"/>
      <c r="AA13" s="267"/>
      <c r="AB13" s="212">
        <v>2</v>
      </c>
      <c r="AC13" s="207" t="s">
        <v>3380</v>
      </c>
      <c r="AD13" s="208">
        <v>10</v>
      </c>
      <c r="AE13" s="281"/>
      <c r="AF13" s="271">
        <v>8.6</v>
      </c>
      <c r="AG13" s="69"/>
      <c r="AH13" s="107"/>
      <c r="AI13" s="272">
        <v>5.49</v>
      </c>
      <c r="AJ13" s="267"/>
      <c r="AK13" s="267"/>
      <c r="AL13" s="212">
        <v>2</v>
      </c>
      <c r="AM13" s="207" t="s">
        <v>3380</v>
      </c>
      <c r="AN13" s="208">
        <v>10</v>
      </c>
      <c r="AO13" s="281"/>
    </row>
    <row r="14" spans="1:42" x14ac:dyDescent="0.25">
      <c r="A14" s="106" t="s">
        <v>1802</v>
      </c>
      <c r="B14" s="271">
        <v>0</v>
      </c>
      <c r="C14" s="69"/>
      <c r="D14" s="107"/>
      <c r="E14" s="272">
        <v>0</v>
      </c>
      <c r="G14" s="267"/>
      <c r="H14" s="212"/>
      <c r="I14" s="207" t="s">
        <v>3380</v>
      </c>
      <c r="J14" s="208"/>
      <c r="K14" s="281"/>
      <c r="L14" s="271">
        <v>0</v>
      </c>
      <c r="M14" s="69"/>
      <c r="N14" s="107"/>
      <c r="O14" s="272">
        <v>0.49</v>
      </c>
      <c r="Q14" s="267"/>
      <c r="R14" s="212"/>
      <c r="S14" s="207" t="s">
        <v>3380</v>
      </c>
      <c r="T14" s="208"/>
      <c r="U14" s="281"/>
      <c r="V14" s="271">
        <v>0</v>
      </c>
      <c r="W14" s="69"/>
      <c r="X14" s="107"/>
      <c r="Y14" s="272">
        <v>0.49</v>
      </c>
      <c r="Z14" s="267"/>
      <c r="AA14" s="267"/>
      <c r="AB14" s="212"/>
      <c r="AC14" s="207" t="s">
        <v>3380</v>
      </c>
      <c r="AD14" s="208"/>
      <c r="AE14" s="281"/>
      <c r="AF14" s="271">
        <v>0</v>
      </c>
      <c r="AG14" s="69"/>
      <c r="AH14" s="107"/>
      <c r="AI14" s="272">
        <v>0.49</v>
      </c>
      <c r="AJ14" s="267"/>
      <c r="AK14" s="267"/>
      <c r="AL14" s="212"/>
      <c r="AM14" s="207" t="s">
        <v>3380</v>
      </c>
      <c r="AN14" s="208"/>
      <c r="AO14" s="281"/>
    </row>
    <row r="15" spans="1:42" x14ac:dyDescent="0.25">
      <c r="A15" s="106" t="s">
        <v>1799</v>
      </c>
      <c r="B15" s="271">
        <v>0</v>
      </c>
      <c r="C15" s="69"/>
      <c r="D15" s="107"/>
      <c r="E15" s="272">
        <v>0</v>
      </c>
      <c r="G15" s="267"/>
      <c r="H15" s="212"/>
      <c r="I15" s="207" t="s">
        <v>3380</v>
      </c>
      <c r="J15" s="208"/>
      <c r="K15" s="281"/>
      <c r="L15" s="271">
        <v>0</v>
      </c>
      <c r="M15" s="69"/>
      <c r="N15" s="107"/>
      <c r="O15" s="272">
        <v>8.8800000000000008</v>
      </c>
      <c r="Q15" s="267"/>
      <c r="R15" s="212"/>
      <c r="S15" s="207" t="s">
        <v>3380</v>
      </c>
      <c r="T15" s="208"/>
      <c r="U15" s="281"/>
      <c r="V15" s="271">
        <v>0</v>
      </c>
      <c r="W15" s="69"/>
      <c r="X15" s="107"/>
      <c r="Y15" s="272">
        <v>8.8800000000000008</v>
      </c>
      <c r="Z15" s="267"/>
      <c r="AA15" s="267"/>
      <c r="AB15" s="212"/>
      <c r="AC15" s="207" t="s">
        <v>3380</v>
      </c>
      <c r="AD15" s="208"/>
      <c r="AE15" s="281"/>
      <c r="AF15" s="271">
        <v>0</v>
      </c>
      <c r="AG15" s="69"/>
      <c r="AH15" s="107"/>
      <c r="AI15" s="272">
        <v>8.8800000000000008</v>
      </c>
      <c r="AJ15" s="267"/>
      <c r="AK15" s="267"/>
      <c r="AL15" s="212"/>
      <c r="AM15" s="207" t="s">
        <v>3380</v>
      </c>
      <c r="AN15" s="208"/>
      <c r="AO15" s="281"/>
    </row>
    <row r="16" spans="1:42" x14ac:dyDescent="0.25">
      <c r="A16" s="106" t="s">
        <v>1800</v>
      </c>
      <c r="B16" s="271">
        <v>0</v>
      </c>
      <c r="C16" s="69"/>
      <c r="D16" s="107"/>
      <c r="E16" s="272">
        <v>0</v>
      </c>
      <c r="G16" s="267"/>
      <c r="H16" s="212"/>
      <c r="I16" s="207" t="s">
        <v>3380</v>
      </c>
      <c r="J16" s="208"/>
      <c r="K16" s="281"/>
      <c r="L16" s="271">
        <v>0</v>
      </c>
      <c r="M16" s="69"/>
      <c r="N16" s="107"/>
      <c r="O16" s="272">
        <v>7.99</v>
      </c>
      <c r="Q16" s="267"/>
      <c r="R16" s="212"/>
      <c r="S16" s="207" t="s">
        <v>3380</v>
      </c>
      <c r="T16" s="208"/>
      <c r="U16" s="281"/>
      <c r="V16" s="271">
        <v>0</v>
      </c>
      <c r="W16" s="69"/>
      <c r="X16" s="107"/>
      <c r="Y16" s="272">
        <v>7.99</v>
      </c>
      <c r="Z16" s="267"/>
      <c r="AA16" s="267"/>
      <c r="AB16" s="212"/>
      <c r="AC16" s="207" t="s">
        <v>3380</v>
      </c>
      <c r="AD16" s="208"/>
      <c r="AE16" s="281"/>
      <c r="AF16" s="271">
        <v>0</v>
      </c>
      <c r="AG16" s="69"/>
      <c r="AH16" s="107"/>
      <c r="AI16" s="272">
        <v>7.99</v>
      </c>
      <c r="AJ16" s="267"/>
      <c r="AK16" s="267"/>
      <c r="AL16" s="212"/>
      <c r="AM16" s="207" t="s">
        <v>3380</v>
      </c>
      <c r="AN16" s="208"/>
      <c r="AO16" s="281"/>
    </row>
    <row r="17" spans="1:41" x14ac:dyDescent="0.25">
      <c r="A17" s="106" t="s">
        <v>1801</v>
      </c>
      <c r="B17" s="271">
        <v>0</v>
      </c>
      <c r="C17" s="69"/>
      <c r="D17" s="107"/>
      <c r="E17" s="272">
        <v>0</v>
      </c>
      <c r="G17" s="267"/>
      <c r="H17" s="212"/>
      <c r="I17" s="207" t="s">
        <v>3380</v>
      </c>
      <c r="J17" s="208"/>
      <c r="K17" s="281"/>
      <c r="L17" s="271">
        <v>0</v>
      </c>
      <c r="M17" s="69"/>
      <c r="N17" s="107"/>
      <c r="O17" s="272">
        <v>10.99</v>
      </c>
      <c r="Q17" s="267"/>
      <c r="R17" s="212"/>
      <c r="S17" s="207" t="s">
        <v>3380</v>
      </c>
      <c r="T17" s="208"/>
      <c r="U17" s="281"/>
      <c r="V17" s="271">
        <v>0</v>
      </c>
      <c r="W17" s="69"/>
      <c r="X17" s="107"/>
      <c r="Y17" s="272">
        <v>10.99</v>
      </c>
      <c r="Z17" s="267"/>
      <c r="AA17" s="267"/>
      <c r="AB17" s="212"/>
      <c r="AC17" s="207" t="s">
        <v>3380</v>
      </c>
      <c r="AD17" s="208"/>
      <c r="AE17" s="281"/>
      <c r="AF17" s="271">
        <v>0</v>
      </c>
      <c r="AG17" s="69"/>
      <c r="AH17" s="107"/>
      <c r="AI17" s="272">
        <v>10.99</v>
      </c>
      <c r="AJ17" s="267"/>
      <c r="AK17" s="267"/>
      <c r="AL17" s="212"/>
      <c r="AM17" s="207" t="s">
        <v>3380</v>
      </c>
      <c r="AN17" s="208"/>
      <c r="AO17" s="281"/>
    </row>
    <row r="18" spans="1:41" x14ac:dyDescent="0.25">
      <c r="A18" s="106" t="s">
        <v>1803</v>
      </c>
      <c r="B18" s="271">
        <v>0</v>
      </c>
      <c r="C18" s="69"/>
      <c r="D18" s="107"/>
      <c r="E18" s="272">
        <v>0</v>
      </c>
      <c r="G18" s="267"/>
      <c r="H18" s="212"/>
      <c r="I18" s="207" t="s">
        <v>3380</v>
      </c>
      <c r="J18" s="208"/>
      <c r="K18" s="281"/>
      <c r="L18" s="271">
        <v>18.84</v>
      </c>
      <c r="M18" s="69"/>
      <c r="N18" s="107"/>
      <c r="O18" s="272">
        <v>1.29</v>
      </c>
      <c r="Q18" s="267"/>
      <c r="R18" s="212"/>
      <c r="S18" s="207" t="s">
        <v>3380</v>
      </c>
      <c r="T18" s="208"/>
      <c r="U18" s="281"/>
      <c r="V18" s="271">
        <v>18.48</v>
      </c>
      <c r="W18" s="69"/>
      <c r="X18" s="107"/>
      <c r="Y18" s="272">
        <v>1.29</v>
      </c>
      <c r="Z18" s="267"/>
      <c r="AA18" s="267"/>
      <c r="AB18" s="212"/>
      <c r="AC18" s="207" t="s">
        <v>3380</v>
      </c>
      <c r="AD18" s="208"/>
      <c r="AE18" s="281"/>
      <c r="AF18" s="271">
        <v>18.48</v>
      </c>
      <c r="AG18" s="69"/>
      <c r="AH18" s="107"/>
      <c r="AI18" s="272">
        <v>1.29</v>
      </c>
      <c r="AJ18" s="267"/>
      <c r="AK18" s="267"/>
      <c r="AL18" s="212"/>
      <c r="AM18" s="207" t="s">
        <v>3380</v>
      </c>
      <c r="AN18" s="208"/>
      <c r="AO18" s="281"/>
    </row>
    <row r="19" spans="1:41" x14ac:dyDescent="0.25">
      <c r="A19" s="106" t="s">
        <v>895</v>
      </c>
      <c r="B19" s="271">
        <v>0</v>
      </c>
      <c r="C19" s="69"/>
      <c r="D19" s="107"/>
      <c r="E19" s="272">
        <v>0</v>
      </c>
      <c r="G19" s="267"/>
      <c r="H19" s="212"/>
      <c r="I19" s="207" t="s">
        <v>3380</v>
      </c>
      <c r="J19" s="208"/>
      <c r="K19" s="281"/>
      <c r="L19" s="271">
        <v>0</v>
      </c>
      <c r="M19" s="69"/>
      <c r="N19" s="107"/>
      <c r="O19" s="272">
        <v>5.49</v>
      </c>
      <c r="Q19" s="267"/>
      <c r="R19" s="212"/>
      <c r="S19" s="207" t="s">
        <v>3380</v>
      </c>
      <c r="T19" s="208"/>
      <c r="U19" s="281"/>
      <c r="V19" s="271">
        <v>0</v>
      </c>
      <c r="W19" s="69"/>
      <c r="X19" s="107"/>
      <c r="Y19" s="272">
        <v>5.49</v>
      </c>
      <c r="Z19" s="267"/>
      <c r="AA19" s="267"/>
      <c r="AB19" s="212"/>
      <c r="AC19" s="207" t="s">
        <v>3380</v>
      </c>
      <c r="AD19" s="208"/>
      <c r="AE19" s="281"/>
      <c r="AF19" s="271">
        <v>0</v>
      </c>
      <c r="AG19" s="69"/>
      <c r="AH19" s="107"/>
      <c r="AI19" s="272">
        <v>5.49</v>
      </c>
      <c r="AJ19" s="267"/>
      <c r="AK19" s="267"/>
      <c r="AL19" s="212"/>
      <c r="AM19" s="207" t="s">
        <v>3380</v>
      </c>
      <c r="AN19" s="208"/>
      <c r="AO19" s="281"/>
    </row>
    <row r="20" spans="1:41" x14ac:dyDescent="0.25">
      <c r="A20" s="106" t="s">
        <v>894</v>
      </c>
      <c r="B20" s="271">
        <v>0</v>
      </c>
      <c r="C20" s="69"/>
      <c r="D20" s="107"/>
      <c r="E20" s="272">
        <v>0</v>
      </c>
      <c r="G20" s="267"/>
      <c r="H20" s="212"/>
      <c r="I20" s="207" t="s">
        <v>3380</v>
      </c>
      <c r="J20" s="208"/>
      <c r="K20" s="281"/>
      <c r="L20" s="271">
        <v>0</v>
      </c>
      <c r="M20" s="69"/>
      <c r="N20" s="107"/>
      <c r="O20" s="272">
        <v>3.99</v>
      </c>
      <c r="Q20" s="267"/>
      <c r="R20" s="212"/>
      <c r="S20" s="207" t="s">
        <v>3380</v>
      </c>
      <c r="T20" s="208"/>
      <c r="U20" s="281"/>
      <c r="V20" s="271">
        <v>0</v>
      </c>
      <c r="W20" s="69"/>
      <c r="X20" s="107"/>
      <c r="Y20" s="272">
        <v>3.99</v>
      </c>
      <c r="Z20" s="267"/>
      <c r="AA20" s="267"/>
      <c r="AB20" s="212"/>
      <c r="AC20" s="207" t="s">
        <v>3380</v>
      </c>
      <c r="AD20" s="208"/>
      <c r="AE20" s="281"/>
      <c r="AF20" s="271">
        <v>0</v>
      </c>
      <c r="AG20" s="69"/>
      <c r="AH20" s="107"/>
      <c r="AI20" s="272">
        <v>3.99</v>
      </c>
      <c r="AJ20" s="267"/>
      <c r="AK20" s="267"/>
      <c r="AL20" s="212"/>
      <c r="AM20" s="207" t="s">
        <v>3380</v>
      </c>
      <c r="AN20" s="208"/>
      <c r="AO20" s="281"/>
    </row>
    <row r="21" spans="1:41" x14ac:dyDescent="0.25">
      <c r="A21" s="106" t="s">
        <v>896</v>
      </c>
      <c r="B21" s="271">
        <v>0</v>
      </c>
      <c r="C21" s="69"/>
      <c r="D21" s="107"/>
      <c r="E21" s="272">
        <v>0</v>
      </c>
      <c r="G21" s="267"/>
      <c r="H21" s="212"/>
      <c r="I21" s="207" t="s">
        <v>3380</v>
      </c>
      <c r="J21" s="208"/>
      <c r="K21" s="281"/>
      <c r="L21" s="271">
        <v>30</v>
      </c>
      <c r="M21" s="69"/>
      <c r="N21" s="107"/>
      <c r="O21" s="272">
        <v>1.99</v>
      </c>
      <c r="Q21" s="267"/>
      <c r="R21" s="212"/>
      <c r="S21" s="207" t="s">
        <v>3380</v>
      </c>
      <c r="T21" s="208"/>
      <c r="U21" s="281"/>
      <c r="V21" s="271">
        <v>25</v>
      </c>
      <c r="W21" s="69"/>
      <c r="X21" s="107"/>
      <c r="Y21" s="272">
        <v>1.89</v>
      </c>
      <c r="Z21" s="267"/>
      <c r="AA21" s="267"/>
      <c r="AB21" s="212">
        <v>2</v>
      </c>
      <c r="AC21" s="207" t="s">
        <v>3380</v>
      </c>
      <c r="AD21" s="208">
        <v>3</v>
      </c>
      <c r="AE21" s="281"/>
      <c r="AF21" s="271">
        <v>24</v>
      </c>
      <c r="AG21" s="69"/>
      <c r="AH21" s="107"/>
      <c r="AI21" s="272">
        <v>1.79</v>
      </c>
      <c r="AJ21" s="267"/>
      <c r="AK21" s="267"/>
      <c r="AL21" s="212">
        <v>2</v>
      </c>
      <c r="AM21" s="207" t="s">
        <v>3380</v>
      </c>
      <c r="AN21" s="208">
        <v>3</v>
      </c>
      <c r="AO21" s="281"/>
    </row>
    <row r="22" spans="1:41" x14ac:dyDescent="0.25">
      <c r="A22" s="106" t="s">
        <v>3370</v>
      </c>
      <c r="B22" s="271">
        <v>0</v>
      </c>
      <c r="C22" s="69"/>
      <c r="D22" s="107"/>
      <c r="E22" s="272">
        <v>0</v>
      </c>
      <c r="G22" s="267"/>
      <c r="H22" s="212"/>
      <c r="I22" s="207" t="s">
        <v>3380</v>
      </c>
      <c r="J22" s="208"/>
      <c r="K22" s="281"/>
      <c r="L22" s="271">
        <v>0</v>
      </c>
      <c r="M22" s="69"/>
      <c r="N22" s="107"/>
      <c r="O22" s="272">
        <v>1.59</v>
      </c>
      <c r="Q22" s="267"/>
      <c r="R22" s="212"/>
      <c r="S22" s="207" t="s">
        <v>3380</v>
      </c>
      <c r="T22" s="208"/>
      <c r="U22" s="281"/>
      <c r="V22" s="271">
        <v>20</v>
      </c>
      <c r="W22" s="69"/>
      <c r="X22" s="107"/>
      <c r="Y22" s="272">
        <v>1.59</v>
      </c>
      <c r="Z22" s="267"/>
      <c r="AA22" s="267"/>
      <c r="AB22" s="212">
        <v>2</v>
      </c>
      <c r="AC22" s="207" t="s">
        <v>3380</v>
      </c>
      <c r="AD22" s="208">
        <v>2.2200000000000002</v>
      </c>
      <c r="AE22" s="281"/>
      <c r="AF22" s="271">
        <v>16.5</v>
      </c>
      <c r="AG22" s="69"/>
      <c r="AH22" s="107"/>
      <c r="AI22" s="272">
        <v>1.29</v>
      </c>
      <c r="AJ22" s="267"/>
      <c r="AK22" s="267"/>
      <c r="AL22" s="212">
        <v>2</v>
      </c>
      <c r="AM22" s="207" t="s">
        <v>3380</v>
      </c>
      <c r="AN22" s="208">
        <v>2</v>
      </c>
      <c r="AO22" s="281"/>
    </row>
    <row r="23" spans="1:41" x14ac:dyDescent="0.25">
      <c r="A23" s="106" t="s">
        <v>4090</v>
      </c>
      <c r="B23" s="271">
        <v>0</v>
      </c>
      <c r="C23" s="69"/>
      <c r="D23" s="107"/>
      <c r="E23" s="272">
        <v>0</v>
      </c>
      <c r="G23" s="267"/>
      <c r="H23" s="212"/>
      <c r="I23" s="207" t="s">
        <v>3380</v>
      </c>
      <c r="J23" s="208"/>
      <c r="K23" s="281"/>
      <c r="L23" s="271">
        <v>0</v>
      </c>
      <c r="M23" s="69"/>
      <c r="N23" s="107"/>
      <c r="O23" s="272">
        <v>0.99</v>
      </c>
      <c r="Q23" s="267"/>
      <c r="R23" s="212"/>
      <c r="S23" s="207" t="s">
        <v>3380</v>
      </c>
      <c r="T23" s="208"/>
      <c r="U23" s="281"/>
      <c r="V23" s="271">
        <v>0</v>
      </c>
      <c r="W23" s="69"/>
      <c r="X23" s="107"/>
      <c r="Y23" s="272">
        <v>0.99</v>
      </c>
      <c r="Z23" s="267"/>
      <c r="AA23" s="267"/>
      <c r="AB23" s="212"/>
      <c r="AC23" s="207" t="s">
        <v>3380</v>
      </c>
      <c r="AD23" s="208"/>
      <c r="AE23" s="281"/>
      <c r="AF23" s="271">
        <v>0</v>
      </c>
      <c r="AG23" s="69"/>
      <c r="AH23" s="107"/>
      <c r="AI23" s="272">
        <v>0.99</v>
      </c>
      <c r="AJ23" s="267"/>
      <c r="AK23" s="267"/>
      <c r="AL23" s="212"/>
      <c r="AM23" s="207" t="s">
        <v>3380</v>
      </c>
      <c r="AN23" s="208"/>
      <c r="AO23" s="281"/>
    </row>
    <row r="24" spans="1:41" x14ac:dyDescent="0.25">
      <c r="A24" s="106" t="s">
        <v>897</v>
      </c>
      <c r="B24" s="271">
        <v>0</v>
      </c>
      <c r="C24" s="69"/>
      <c r="D24" s="107"/>
      <c r="E24" s="272">
        <v>0</v>
      </c>
      <c r="G24" s="267"/>
      <c r="H24" s="212"/>
      <c r="I24" s="207" t="s">
        <v>3380</v>
      </c>
      <c r="J24" s="208"/>
      <c r="K24" s="281"/>
      <c r="L24" s="271">
        <v>19.75</v>
      </c>
      <c r="M24" s="69"/>
      <c r="N24" s="107"/>
      <c r="O24" s="272">
        <v>2.19</v>
      </c>
      <c r="Q24" s="267"/>
      <c r="R24" s="212"/>
      <c r="S24" s="207" t="s">
        <v>3380</v>
      </c>
      <c r="T24" s="208"/>
      <c r="U24" s="281"/>
      <c r="V24" s="271">
        <v>17.5</v>
      </c>
      <c r="W24" s="69"/>
      <c r="X24" s="107"/>
      <c r="Y24" s="272">
        <v>2.19</v>
      </c>
      <c r="Z24" s="267"/>
      <c r="AA24" s="267"/>
      <c r="AB24" s="212">
        <v>2</v>
      </c>
      <c r="AC24" s="207" t="s">
        <v>3380</v>
      </c>
      <c r="AD24" s="208">
        <v>3</v>
      </c>
      <c r="AE24" s="281"/>
      <c r="AF24" s="271">
        <v>17.5</v>
      </c>
      <c r="AG24" s="69"/>
      <c r="AH24" s="107"/>
      <c r="AI24" s="272">
        <v>2.19</v>
      </c>
      <c r="AJ24" s="267"/>
      <c r="AK24" s="267"/>
      <c r="AL24" s="212">
        <v>2</v>
      </c>
      <c r="AM24" s="207" t="s">
        <v>3380</v>
      </c>
      <c r="AN24" s="208">
        <v>3</v>
      </c>
      <c r="AO24" s="281"/>
    </row>
    <row r="25" spans="1:41" x14ac:dyDescent="0.25">
      <c r="A25" s="106" t="s">
        <v>3157</v>
      </c>
      <c r="B25" s="271">
        <v>0</v>
      </c>
      <c r="C25" s="69"/>
      <c r="D25" s="107"/>
      <c r="E25" s="272">
        <v>0</v>
      </c>
      <c r="G25" s="267"/>
      <c r="H25" s="212"/>
      <c r="I25" s="207" t="s">
        <v>3380</v>
      </c>
      <c r="J25" s="208"/>
      <c r="K25" s="281"/>
      <c r="L25" s="271">
        <v>0</v>
      </c>
      <c r="M25" s="69"/>
      <c r="N25" s="107"/>
      <c r="O25" s="272">
        <v>0.79</v>
      </c>
      <c r="Q25" s="267"/>
      <c r="R25" s="212"/>
      <c r="S25" s="207" t="s">
        <v>3380</v>
      </c>
      <c r="T25" s="208"/>
      <c r="U25" s="281"/>
      <c r="V25" s="271">
        <v>0</v>
      </c>
      <c r="W25" s="69"/>
      <c r="X25" s="107"/>
      <c r="Y25" s="272">
        <v>0.79</v>
      </c>
      <c r="Z25" s="267"/>
      <c r="AA25" s="267"/>
      <c r="AB25" s="212"/>
      <c r="AC25" s="207" t="s">
        <v>3380</v>
      </c>
      <c r="AD25" s="208"/>
      <c r="AE25" s="281"/>
      <c r="AF25" s="271">
        <v>0</v>
      </c>
      <c r="AG25" s="69"/>
      <c r="AH25" s="107"/>
      <c r="AI25" s="272">
        <v>0.79</v>
      </c>
      <c r="AJ25" s="267"/>
      <c r="AK25" s="267"/>
      <c r="AL25" s="212"/>
      <c r="AM25" s="207" t="s">
        <v>3380</v>
      </c>
      <c r="AN25" s="208"/>
      <c r="AO25" s="281"/>
    </row>
    <row r="26" spans="1:41" x14ac:dyDescent="0.25">
      <c r="A26" s="106" t="s">
        <v>893</v>
      </c>
      <c r="B26" s="271">
        <v>0</v>
      </c>
      <c r="C26" s="69"/>
      <c r="D26" s="107"/>
      <c r="E26" s="272">
        <v>0</v>
      </c>
      <c r="G26" s="267"/>
      <c r="H26" s="212"/>
      <c r="I26" s="207" t="s">
        <v>3380</v>
      </c>
      <c r="J26" s="208"/>
      <c r="K26" s="281"/>
      <c r="L26" s="271">
        <v>14.25</v>
      </c>
      <c r="M26" s="69"/>
      <c r="N26" s="107"/>
      <c r="O26" s="272">
        <v>2.39</v>
      </c>
      <c r="Q26" s="267"/>
      <c r="R26" s="212"/>
      <c r="S26" s="207" t="s">
        <v>3380</v>
      </c>
      <c r="T26" s="208"/>
      <c r="U26" s="281"/>
      <c r="V26" s="271">
        <v>13.2</v>
      </c>
      <c r="W26" s="69"/>
      <c r="X26" s="107"/>
      <c r="Y26" s="272">
        <v>2.39</v>
      </c>
      <c r="Z26" s="267"/>
      <c r="AA26" s="267"/>
      <c r="AB26" s="212">
        <v>2</v>
      </c>
      <c r="AC26" s="207" t="s">
        <v>3380</v>
      </c>
      <c r="AD26" s="208">
        <v>3</v>
      </c>
      <c r="AE26" s="281"/>
      <c r="AF26" s="271">
        <v>13.2</v>
      </c>
      <c r="AG26" s="69"/>
      <c r="AH26" s="107"/>
      <c r="AI26" s="272">
        <v>2.39</v>
      </c>
      <c r="AJ26" s="267"/>
      <c r="AK26" s="267"/>
      <c r="AL26" s="212">
        <v>2</v>
      </c>
      <c r="AM26" s="207" t="s">
        <v>3380</v>
      </c>
      <c r="AN26" s="208">
        <v>3</v>
      </c>
      <c r="AO26" s="281"/>
    </row>
    <row r="27" spans="1:41" x14ac:dyDescent="0.25">
      <c r="A27" s="106" t="s">
        <v>1804</v>
      </c>
      <c r="B27" s="271">
        <v>0</v>
      </c>
      <c r="C27" s="69"/>
      <c r="D27" s="107"/>
      <c r="E27" s="272">
        <v>0</v>
      </c>
      <c r="G27" s="267"/>
      <c r="H27" s="212"/>
      <c r="I27" s="207" t="s">
        <v>3380</v>
      </c>
      <c r="J27" s="208"/>
      <c r="K27" s="281"/>
      <c r="L27" s="271">
        <v>0</v>
      </c>
      <c r="M27" s="69"/>
      <c r="N27" s="107"/>
      <c r="O27" s="272">
        <v>1.19</v>
      </c>
      <c r="Q27" s="267"/>
      <c r="R27" s="212"/>
      <c r="S27" s="207" t="s">
        <v>3380</v>
      </c>
      <c r="T27" s="208"/>
      <c r="U27" s="281"/>
      <c r="V27" s="271">
        <v>0</v>
      </c>
      <c r="W27" s="69"/>
      <c r="X27" s="107"/>
      <c r="Y27" s="272">
        <v>1.19</v>
      </c>
      <c r="Z27" s="267"/>
      <c r="AA27" s="267"/>
      <c r="AB27" s="212"/>
      <c r="AC27" s="207" t="s">
        <v>3380</v>
      </c>
      <c r="AD27" s="208"/>
      <c r="AE27" s="281"/>
      <c r="AF27" s="271">
        <v>0</v>
      </c>
      <c r="AG27" s="69"/>
      <c r="AH27" s="107"/>
      <c r="AI27" s="272">
        <v>1.19</v>
      </c>
      <c r="AJ27" s="267"/>
      <c r="AK27" s="267"/>
      <c r="AL27" s="212"/>
      <c r="AM27" s="207" t="s">
        <v>3380</v>
      </c>
      <c r="AN27" s="208"/>
      <c r="AO27" s="281"/>
    </row>
    <row r="28" spans="1:41" x14ac:dyDescent="0.25">
      <c r="A28" s="70" t="s">
        <v>3997</v>
      </c>
      <c r="B28" s="271">
        <v>0</v>
      </c>
      <c r="C28" s="69"/>
      <c r="D28" s="72"/>
      <c r="E28" s="272">
        <v>0</v>
      </c>
      <c r="G28" s="268"/>
      <c r="H28" s="212"/>
      <c r="I28" s="207" t="s">
        <v>3380</v>
      </c>
      <c r="J28" s="208"/>
      <c r="K28" s="281"/>
      <c r="L28" s="271">
        <v>6.7</v>
      </c>
      <c r="M28" s="69"/>
      <c r="N28" s="72"/>
      <c r="O28" s="273">
        <v>0.99</v>
      </c>
      <c r="Q28" s="268"/>
      <c r="R28" s="212"/>
      <c r="S28" s="207" t="s">
        <v>3380</v>
      </c>
      <c r="T28" s="208"/>
      <c r="U28" s="281"/>
      <c r="V28" s="271">
        <v>6.4</v>
      </c>
      <c r="W28" s="69"/>
      <c r="X28" s="72"/>
      <c r="Y28" s="273">
        <v>0.99</v>
      </c>
      <c r="Z28" s="268"/>
      <c r="AA28" s="268"/>
      <c r="AB28" s="212"/>
      <c r="AC28" s="207" t="s">
        <v>3380</v>
      </c>
      <c r="AD28" s="208"/>
      <c r="AE28" s="281"/>
      <c r="AF28" s="271">
        <v>6.4</v>
      </c>
      <c r="AG28" s="69"/>
      <c r="AH28" s="72"/>
      <c r="AI28" s="273">
        <v>0.99</v>
      </c>
      <c r="AJ28" s="267"/>
      <c r="AK28" s="268"/>
      <c r="AL28" s="212"/>
      <c r="AM28" s="207" t="s">
        <v>3380</v>
      </c>
      <c r="AN28" s="208"/>
      <c r="AO28" s="281"/>
    </row>
    <row r="29" spans="1:41" x14ac:dyDescent="0.25">
      <c r="A29" s="70" t="s">
        <v>1106</v>
      </c>
      <c r="B29" s="271">
        <v>0</v>
      </c>
      <c r="C29" s="69"/>
      <c r="D29" s="72"/>
      <c r="E29" s="272">
        <v>0</v>
      </c>
      <c r="G29" s="268"/>
      <c r="H29" s="212"/>
      <c r="I29" s="207" t="s">
        <v>3380</v>
      </c>
      <c r="J29" s="208"/>
      <c r="K29" s="281"/>
      <c r="L29" s="271">
        <v>0</v>
      </c>
      <c r="M29" s="69"/>
      <c r="N29" s="72"/>
      <c r="O29" s="273">
        <v>1.19</v>
      </c>
      <c r="Q29" s="268"/>
      <c r="R29" s="212"/>
      <c r="S29" s="207" t="s">
        <v>3380</v>
      </c>
      <c r="T29" s="208"/>
      <c r="U29" s="281"/>
      <c r="V29" s="271">
        <v>0</v>
      </c>
      <c r="W29" s="69"/>
      <c r="X29" s="72"/>
      <c r="Y29" s="273">
        <v>1.19</v>
      </c>
      <c r="Z29" s="268"/>
      <c r="AA29" s="268"/>
      <c r="AB29" s="212"/>
      <c r="AC29" s="207" t="s">
        <v>3380</v>
      </c>
      <c r="AD29" s="208"/>
      <c r="AE29" s="281"/>
      <c r="AF29" s="271">
        <v>0</v>
      </c>
      <c r="AG29" s="69"/>
      <c r="AH29" s="72"/>
      <c r="AI29" s="273">
        <v>1.19</v>
      </c>
      <c r="AJ29" s="267"/>
      <c r="AK29" s="268"/>
      <c r="AL29" s="212"/>
      <c r="AM29" s="207" t="s">
        <v>3380</v>
      </c>
      <c r="AN29" s="208"/>
      <c r="AO29" s="281"/>
    </row>
    <row r="30" spans="1:41" x14ac:dyDescent="0.25">
      <c r="A30" s="70" t="s">
        <v>1107</v>
      </c>
      <c r="B30" s="271">
        <v>0</v>
      </c>
      <c r="C30" s="69"/>
      <c r="D30" s="72"/>
      <c r="E30" s="272">
        <v>0</v>
      </c>
      <c r="G30" s="268"/>
      <c r="H30" s="212"/>
      <c r="I30" s="207" t="s">
        <v>3380</v>
      </c>
      <c r="J30" s="208"/>
      <c r="K30" s="281"/>
      <c r="L30" s="271">
        <v>0</v>
      </c>
      <c r="M30" s="69"/>
      <c r="N30" s="72"/>
      <c r="O30" s="273">
        <v>1.29</v>
      </c>
      <c r="Q30" s="268"/>
      <c r="R30" s="212"/>
      <c r="S30" s="207" t="s">
        <v>3380</v>
      </c>
      <c r="T30" s="208"/>
      <c r="U30" s="281"/>
      <c r="V30" s="271">
        <v>0</v>
      </c>
      <c r="W30" s="69"/>
      <c r="X30" s="72"/>
      <c r="Y30" s="273">
        <v>1.29</v>
      </c>
      <c r="Z30" s="268"/>
      <c r="AA30" s="268"/>
      <c r="AB30" s="212"/>
      <c r="AC30" s="207" t="s">
        <v>3380</v>
      </c>
      <c r="AD30" s="208"/>
      <c r="AE30" s="281"/>
      <c r="AF30" s="271">
        <v>0</v>
      </c>
      <c r="AG30" s="69"/>
      <c r="AH30" s="72"/>
      <c r="AI30" s="273">
        <v>1.29</v>
      </c>
      <c r="AJ30" s="267"/>
      <c r="AK30" s="268"/>
      <c r="AL30" s="212"/>
      <c r="AM30" s="207" t="s">
        <v>3380</v>
      </c>
      <c r="AN30" s="208"/>
      <c r="AO30" s="281"/>
    </row>
    <row r="31" spans="1:41" x14ac:dyDescent="0.25">
      <c r="A31" s="106" t="s">
        <v>3159</v>
      </c>
      <c r="B31" s="271">
        <v>0</v>
      </c>
      <c r="C31" s="69"/>
      <c r="D31" s="107"/>
      <c r="E31" s="272">
        <v>0</v>
      </c>
      <c r="G31" s="267"/>
      <c r="H31" s="212"/>
      <c r="I31" s="207" t="s">
        <v>3380</v>
      </c>
      <c r="J31" s="208"/>
      <c r="K31" s="281"/>
      <c r="L31" s="271">
        <v>0</v>
      </c>
      <c r="M31" s="69"/>
      <c r="N31" s="107"/>
      <c r="O31" s="272">
        <v>1.89</v>
      </c>
      <c r="Q31" s="267"/>
      <c r="R31" s="212"/>
      <c r="S31" s="207" t="s">
        <v>3380</v>
      </c>
      <c r="T31" s="208"/>
      <c r="U31" s="281"/>
      <c r="V31" s="271">
        <v>0</v>
      </c>
      <c r="W31" s="69"/>
      <c r="X31" s="107"/>
      <c r="Y31" s="272">
        <v>1.89</v>
      </c>
      <c r="Z31" s="267"/>
      <c r="AA31" s="267"/>
      <c r="AB31" s="212"/>
      <c r="AC31" s="207" t="s">
        <v>3380</v>
      </c>
      <c r="AD31" s="208"/>
      <c r="AE31" s="281"/>
      <c r="AF31" s="271">
        <v>0</v>
      </c>
      <c r="AG31" s="69"/>
      <c r="AH31" s="107"/>
      <c r="AI31" s="272">
        <v>1.89</v>
      </c>
      <c r="AJ31" s="267"/>
      <c r="AK31" s="267"/>
      <c r="AL31" s="212"/>
      <c r="AM31" s="207" t="s">
        <v>3380</v>
      </c>
      <c r="AN31" s="208"/>
      <c r="AO31" s="281"/>
    </row>
    <row r="32" spans="1:41" x14ac:dyDescent="0.25">
      <c r="A32" s="70" t="s">
        <v>3162</v>
      </c>
      <c r="B32" s="271">
        <v>0</v>
      </c>
      <c r="C32" s="69"/>
      <c r="D32" s="107"/>
      <c r="E32" s="272">
        <v>0</v>
      </c>
      <c r="G32" s="267"/>
      <c r="H32" s="212"/>
      <c r="I32" s="207" t="s">
        <v>3380</v>
      </c>
      <c r="J32" s="208"/>
      <c r="K32" s="281"/>
      <c r="L32" s="271">
        <v>0</v>
      </c>
      <c r="M32" s="69"/>
      <c r="N32" s="107"/>
      <c r="O32" s="272">
        <v>5.99</v>
      </c>
      <c r="Q32" s="267"/>
      <c r="R32" s="212"/>
      <c r="S32" s="207" t="s">
        <v>3380</v>
      </c>
      <c r="T32" s="208"/>
      <c r="U32" s="281"/>
      <c r="V32" s="271">
        <v>0</v>
      </c>
      <c r="W32" s="69"/>
      <c r="X32" s="107"/>
      <c r="Y32" s="272">
        <v>5.99</v>
      </c>
      <c r="Z32" s="267"/>
      <c r="AA32" s="267"/>
      <c r="AB32" s="212"/>
      <c r="AC32" s="207" t="s">
        <v>3380</v>
      </c>
      <c r="AD32" s="208"/>
      <c r="AE32" s="281"/>
      <c r="AF32" s="271">
        <v>0</v>
      </c>
      <c r="AG32" s="69"/>
      <c r="AH32" s="107"/>
      <c r="AI32" s="272">
        <v>5.99</v>
      </c>
      <c r="AJ32" s="267"/>
      <c r="AK32" s="267"/>
      <c r="AL32" s="212"/>
      <c r="AM32" s="207" t="s">
        <v>3380</v>
      </c>
      <c r="AN32" s="208"/>
      <c r="AO32" s="281"/>
    </row>
    <row r="33" spans="1:41" x14ac:dyDescent="0.25">
      <c r="A33" s="70" t="s">
        <v>900</v>
      </c>
      <c r="B33" s="271">
        <v>0</v>
      </c>
      <c r="C33" s="69"/>
      <c r="D33" s="107"/>
      <c r="E33" s="272">
        <v>0</v>
      </c>
      <c r="G33" s="267"/>
      <c r="H33" s="212"/>
      <c r="I33" s="207" t="s">
        <v>3380</v>
      </c>
      <c r="J33" s="208"/>
      <c r="K33" s="281"/>
      <c r="L33" s="271">
        <v>10</v>
      </c>
      <c r="M33" s="69"/>
      <c r="N33" s="107"/>
      <c r="O33" s="272">
        <v>1.49</v>
      </c>
      <c r="Q33" s="267"/>
      <c r="R33" s="212"/>
      <c r="S33" s="207" t="s">
        <v>3380</v>
      </c>
      <c r="T33" s="208"/>
      <c r="U33" s="281"/>
      <c r="V33" s="271">
        <v>10</v>
      </c>
      <c r="W33" s="69"/>
      <c r="X33" s="107"/>
      <c r="Y33" s="272">
        <v>1.49</v>
      </c>
      <c r="Z33" s="267"/>
      <c r="AA33" s="267"/>
      <c r="AB33" s="212"/>
      <c r="AC33" s="207" t="s">
        <v>3380</v>
      </c>
      <c r="AD33" s="208"/>
      <c r="AE33" s="281"/>
      <c r="AF33" s="271">
        <v>10</v>
      </c>
      <c r="AG33" s="69"/>
      <c r="AH33" s="107"/>
      <c r="AI33" s="272">
        <v>1.49</v>
      </c>
      <c r="AJ33" s="267"/>
      <c r="AK33" s="267"/>
      <c r="AL33" s="212"/>
      <c r="AM33" s="207" t="s">
        <v>3380</v>
      </c>
      <c r="AN33" s="208"/>
      <c r="AO33" s="281"/>
    </row>
    <row r="34" spans="1:41" x14ac:dyDescent="0.25">
      <c r="A34" s="70" t="s">
        <v>3160</v>
      </c>
      <c r="B34" s="271">
        <v>0</v>
      </c>
      <c r="C34" s="69"/>
      <c r="D34" s="107"/>
      <c r="E34" s="272">
        <v>0</v>
      </c>
      <c r="G34" s="267"/>
      <c r="H34" s="212"/>
      <c r="I34" s="207" t="s">
        <v>3380</v>
      </c>
      <c r="J34" s="208"/>
      <c r="K34" s="281"/>
      <c r="L34" s="271">
        <v>0</v>
      </c>
      <c r="M34" s="69"/>
      <c r="N34" s="107"/>
      <c r="O34" s="272">
        <v>0.99</v>
      </c>
      <c r="Q34" s="267"/>
      <c r="R34" s="212"/>
      <c r="S34" s="207" t="s">
        <v>3380</v>
      </c>
      <c r="T34" s="208"/>
      <c r="U34" s="281"/>
      <c r="V34" s="271">
        <v>0</v>
      </c>
      <c r="W34" s="69"/>
      <c r="X34" s="107"/>
      <c r="Y34" s="272">
        <v>0.99</v>
      </c>
      <c r="Z34" s="267"/>
      <c r="AA34" s="267"/>
      <c r="AB34" s="212"/>
      <c r="AC34" s="207" t="s">
        <v>3380</v>
      </c>
      <c r="AD34" s="208"/>
      <c r="AE34" s="281"/>
      <c r="AF34" s="271">
        <v>0</v>
      </c>
      <c r="AG34" s="69"/>
      <c r="AH34" s="107"/>
      <c r="AI34" s="272">
        <v>0.99</v>
      </c>
      <c r="AJ34" s="267"/>
      <c r="AK34" s="267"/>
      <c r="AL34" s="212"/>
      <c r="AM34" s="207" t="s">
        <v>3380</v>
      </c>
      <c r="AN34" s="208"/>
      <c r="AO34" s="281"/>
    </row>
    <row r="35" spans="1:41" x14ac:dyDescent="0.25">
      <c r="A35" s="70" t="s">
        <v>3257</v>
      </c>
      <c r="B35" s="271">
        <v>0</v>
      </c>
      <c r="C35" s="69"/>
      <c r="D35" s="107"/>
      <c r="E35" s="272">
        <v>0</v>
      </c>
      <c r="G35" s="267"/>
      <c r="H35" s="212"/>
      <c r="I35" s="207" t="s">
        <v>3380</v>
      </c>
      <c r="J35" s="208"/>
      <c r="K35" s="281"/>
      <c r="L35" s="271">
        <v>0</v>
      </c>
      <c r="M35" s="69"/>
      <c r="N35" s="107"/>
      <c r="O35" s="272">
        <v>1.49</v>
      </c>
      <c r="Q35" s="267"/>
      <c r="R35" s="212"/>
      <c r="S35" s="207" t="s">
        <v>3380</v>
      </c>
      <c r="T35" s="208"/>
      <c r="U35" s="281"/>
      <c r="V35" s="271">
        <v>0</v>
      </c>
      <c r="W35" s="69"/>
      <c r="X35" s="107"/>
      <c r="Y35" s="272">
        <v>1.49</v>
      </c>
      <c r="Z35" s="267"/>
      <c r="AA35" s="267"/>
      <c r="AB35" s="212"/>
      <c r="AC35" s="207" t="s">
        <v>3380</v>
      </c>
      <c r="AD35" s="208"/>
      <c r="AE35" s="281"/>
      <c r="AF35" s="271">
        <v>0</v>
      </c>
      <c r="AG35" s="69"/>
      <c r="AH35" s="107"/>
      <c r="AI35" s="272">
        <v>1.49</v>
      </c>
      <c r="AJ35" s="267"/>
      <c r="AK35" s="267"/>
      <c r="AL35" s="212"/>
      <c r="AM35" s="207" t="s">
        <v>3380</v>
      </c>
      <c r="AN35" s="208"/>
      <c r="AO35" s="281"/>
    </row>
    <row r="36" spans="1:41" x14ac:dyDescent="0.25">
      <c r="A36" s="70" t="s">
        <v>3161</v>
      </c>
      <c r="B36" s="271">
        <v>0</v>
      </c>
      <c r="C36" s="69"/>
      <c r="D36" s="107"/>
      <c r="E36" s="272">
        <v>0</v>
      </c>
      <c r="G36" s="267"/>
      <c r="H36" s="212"/>
      <c r="I36" s="207" t="s">
        <v>3380</v>
      </c>
      <c r="J36" s="208"/>
      <c r="K36" s="281"/>
      <c r="L36" s="271">
        <v>0</v>
      </c>
      <c r="M36" s="69"/>
      <c r="N36" s="107"/>
      <c r="O36" s="272">
        <v>3.99</v>
      </c>
      <c r="Q36" s="267"/>
      <c r="R36" s="212"/>
      <c r="S36" s="207" t="s">
        <v>3380</v>
      </c>
      <c r="T36" s="208"/>
      <c r="U36" s="281"/>
      <c r="V36" s="271">
        <v>0</v>
      </c>
      <c r="W36" s="69"/>
      <c r="X36" s="107"/>
      <c r="Y36" s="272">
        <v>3.99</v>
      </c>
      <c r="Z36" s="267"/>
      <c r="AA36" s="267"/>
      <c r="AB36" s="212"/>
      <c r="AC36" s="207" t="s">
        <v>3380</v>
      </c>
      <c r="AD36" s="208"/>
      <c r="AE36" s="281"/>
      <c r="AF36" s="271">
        <v>0</v>
      </c>
      <c r="AG36" s="69"/>
      <c r="AH36" s="107"/>
      <c r="AI36" s="272">
        <v>3.99</v>
      </c>
      <c r="AJ36" s="267"/>
      <c r="AK36" s="267"/>
      <c r="AL36" s="212"/>
      <c r="AM36" s="207" t="s">
        <v>3380</v>
      </c>
      <c r="AN36" s="208"/>
      <c r="AO36" s="281"/>
    </row>
    <row r="37" spans="1:41" x14ac:dyDescent="0.25">
      <c r="A37" s="106" t="s">
        <v>3446</v>
      </c>
      <c r="B37" s="271">
        <v>0</v>
      </c>
      <c r="C37" s="69"/>
      <c r="D37" s="107"/>
      <c r="E37" s="272">
        <v>0</v>
      </c>
      <c r="G37" s="267"/>
      <c r="H37" s="212"/>
      <c r="I37" s="207" t="s">
        <v>3380</v>
      </c>
      <c r="J37" s="208"/>
      <c r="K37" s="281"/>
      <c r="L37" s="271">
        <v>24</v>
      </c>
      <c r="M37" s="69"/>
      <c r="N37" s="107"/>
      <c r="O37" s="272">
        <v>1.69</v>
      </c>
      <c r="Q37" s="267"/>
      <c r="R37" s="212"/>
      <c r="S37" s="207" t="s">
        <v>3380</v>
      </c>
      <c r="T37" s="208"/>
      <c r="U37" s="281"/>
      <c r="V37" s="271">
        <v>22.74</v>
      </c>
      <c r="W37" s="69"/>
      <c r="X37" s="107"/>
      <c r="Y37" s="272">
        <v>1.69</v>
      </c>
      <c r="Z37" s="267"/>
      <c r="AA37" s="267"/>
      <c r="AB37" s="212">
        <v>2</v>
      </c>
      <c r="AC37" s="207" t="s">
        <v>3380</v>
      </c>
      <c r="AD37" s="208">
        <v>3</v>
      </c>
      <c r="AE37" s="281"/>
      <c r="AF37" s="271">
        <v>22.74</v>
      </c>
      <c r="AG37" s="69"/>
      <c r="AH37" s="107"/>
      <c r="AI37" s="272">
        <v>1.69</v>
      </c>
      <c r="AJ37" s="267"/>
      <c r="AK37" s="267"/>
      <c r="AL37" s="212">
        <v>2</v>
      </c>
      <c r="AM37" s="207" t="s">
        <v>3380</v>
      </c>
      <c r="AN37" s="208">
        <v>3</v>
      </c>
      <c r="AO37" s="281"/>
    </row>
    <row r="38" spans="1:41" x14ac:dyDescent="0.25">
      <c r="A38" s="106" t="s">
        <v>901</v>
      </c>
      <c r="B38" s="271">
        <v>0</v>
      </c>
      <c r="C38" s="69"/>
      <c r="D38" s="107"/>
      <c r="E38" s="272">
        <v>0</v>
      </c>
      <c r="G38" s="267"/>
      <c r="H38" s="212"/>
      <c r="I38" s="207" t="s">
        <v>3380</v>
      </c>
      <c r="J38" s="208"/>
      <c r="K38" s="281"/>
      <c r="L38" s="271">
        <v>0</v>
      </c>
      <c r="M38" s="69"/>
      <c r="N38" s="107"/>
      <c r="O38" s="272">
        <v>4.99</v>
      </c>
      <c r="Q38" s="267"/>
      <c r="R38" s="212"/>
      <c r="S38" s="207" t="s">
        <v>3380</v>
      </c>
      <c r="T38" s="208"/>
      <c r="U38" s="281"/>
      <c r="V38" s="271">
        <v>0</v>
      </c>
      <c r="W38" s="69"/>
      <c r="X38" s="107"/>
      <c r="Y38" s="272">
        <v>4.99</v>
      </c>
      <c r="Z38" s="267"/>
      <c r="AA38" s="267"/>
      <c r="AB38" s="212"/>
      <c r="AC38" s="207" t="s">
        <v>3380</v>
      </c>
      <c r="AD38" s="208"/>
      <c r="AE38" s="281"/>
      <c r="AF38" s="271">
        <v>0</v>
      </c>
      <c r="AG38" s="69"/>
      <c r="AH38" s="107"/>
      <c r="AI38" s="272">
        <v>4.99</v>
      </c>
      <c r="AJ38" s="267"/>
      <c r="AK38" s="267"/>
      <c r="AL38" s="212"/>
      <c r="AM38" s="207" t="s">
        <v>3380</v>
      </c>
      <c r="AN38" s="208"/>
      <c r="AO38" s="281"/>
    </row>
    <row r="39" spans="1:41" ht="5.0999999999999996" customHeight="1" x14ac:dyDescent="0.25">
      <c r="A39" s="213">
        <v>0</v>
      </c>
      <c r="B39" s="71"/>
      <c r="C39" s="71"/>
      <c r="D39" s="56"/>
      <c r="E39" s="108"/>
      <c r="G39" s="108"/>
      <c r="H39" s="197"/>
      <c r="I39" s="134"/>
      <c r="J39" s="205"/>
      <c r="K39" s="281"/>
      <c r="L39" s="71"/>
      <c r="M39" s="71"/>
      <c r="N39" s="56"/>
      <c r="O39" s="108"/>
      <c r="Q39" s="108"/>
      <c r="R39" s="197"/>
      <c r="S39" s="134"/>
      <c r="T39" s="205"/>
      <c r="U39" s="281"/>
      <c r="V39" s="71"/>
      <c r="W39" s="71"/>
      <c r="X39" s="56"/>
      <c r="Y39" s="108"/>
      <c r="Z39" s="108"/>
      <c r="AA39" s="108"/>
      <c r="AB39" s="197"/>
      <c r="AC39" s="134"/>
      <c r="AD39" s="205"/>
      <c r="AE39" s="281"/>
      <c r="AF39" s="71"/>
      <c r="AG39" s="71"/>
      <c r="AH39" s="56"/>
      <c r="AI39" s="108"/>
      <c r="AJ39" s="267"/>
      <c r="AK39" s="108"/>
      <c r="AL39" s="197"/>
      <c r="AM39" s="134"/>
      <c r="AN39" s="205"/>
      <c r="AO39" s="281"/>
    </row>
    <row r="40" spans="1:41" ht="15.75" x14ac:dyDescent="0.25">
      <c r="A40" s="68"/>
      <c r="B40" s="71"/>
      <c r="C40" s="71"/>
      <c r="D40" s="56"/>
      <c r="E40" s="108"/>
      <c r="G40" s="108"/>
      <c r="H40" s="197"/>
      <c r="I40" s="134"/>
      <c r="J40" s="205"/>
      <c r="K40" s="281"/>
      <c r="L40" s="71"/>
      <c r="M40" s="71"/>
      <c r="N40" s="56"/>
      <c r="O40" s="108"/>
      <c r="Q40" s="108"/>
      <c r="R40" s="197"/>
      <c r="S40" s="134"/>
      <c r="T40" s="205"/>
      <c r="U40" s="281"/>
      <c r="V40" s="71"/>
      <c r="W40" s="71"/>
      <c r="X40" s="56"/>
      <c r="Y40" s="108"/>
      <c r="Z40" s="108"/>
      <c r="AA40" s="108"/>
      <c r="AB40" s="197"/>
      <c r="AC40" s="134"/>
      <c r="AD40" s="205"/>
      <c r="AE40" s="281"/>
      <c r="AF40" s="71"/>
      <c r="AG40" s="71"/>
      <c r="AH40" s="56"/>
      <c r="AI40" s="108"/>
      <c r="AJ40" s="267"/>
      <c r="AK40" s="108"/>
      <c r="AL40" s="197"/>
      <c r="AM40" s="134"/>
      <c r="AN40" s="205"/>
      <c r="AO40" s="281"/>
    </row>
    <row r="41" spans="1:41" x14ac:dyDescent="0.25">
      <c r="A41" s="70" t="s">
        <v>3177</v>
      </c>
      <c r="B41" s="271">
        <v>0</v>
      </c>
      <c r="C41" s="69"/>
      <c r="D41" s="72"/>
      <c r="E41" s="273">
        <v>0</v>
      </c>
      <c r="G41" s="268"/>
      <c r="H41" s="212"/>
      <c r="I41" s="207" t="s">
        <v>3380</v>
      </c>
      <c r="J41" s="208"/>
      <c r="K41" s="281"/>
      <c r="L41" s="271">
        <v>0</v>
      </c>
      <c r="M41" s="69"/>
      <c r="N41" s="72"/>
      <c r="O41" s="273">
        <v>75.349999999999994</v>
      </c>
      <c r="Q41" s="268"/>
      <c r="R41" s="212"/>
      <c r="S41" s="207" t="s">
        <v>3380</v>
      </c>
      <c r="T41" s="208"/>
      <c r="U41" s="281"/>
      <c r="V41" s="271">
        <v>0</v>
      </c>
      <c r="W41" s="69"/>
      <c r="X41" s="72"/>
      <c r="Y41" s="273">
        <v>75.349999999999994</v>
      </c>
      <c r="Z41" s="268"/>
      <c r="AA41" s="268"/>
      <c r="AB41" s="212"/>
      <c r="AC41" s="207" t="s">
        <v>3380</v>
      </c>
      <c r="AD41" s="208"/>
      <c r="AE41" s="281"/>
      <c r="AF41" s="271">
        <v>0</v>
      </c>
      <c r="AG41" s="69"/>
      <c r="AH41" s="72"/>
      <c r="AI41" s="273">
        <v>75.349999999999994</v>
      </c>
      <c r="AJ41" s="267"/>
      <c r="AK41" s="268"/>
      <c r="AL41" s="212"/>
      <c r="AM41" s="207" t="s">
        <v>3380</v>
      </c>
      <c r="AN41" s="208"/>
      <c r="AO41" s="281"/>
    </row>
    <row r="42" spans="1:41" x14ac:dyDescent="0.25">
      <c r="A42" s="70" t="s">
        <v>3179</v>
      </c>
      <c r="B42" s="271">
        <v>0</v>
      </c>
      <c r="C42" s="69"/>
      <c r="D42" s="72"/>
      <c r="E42" s="273">
        <v>0</v>
      </c>
      <c r="G42" s="268"/>
      <c r="H42" s="212"/>
      <c r="I42" s="207" t="s">
        <v>3380</v>
      </c>
      <c r="J42" s="208"/>
      <c r="K42" s="281"/>
      <c r="L42" s="271">
        <v>0</v>
      </c>
      <c r="M42" s="69"/>
      <c r="N42" s="72"/>
      <c r="O42" s="273">
        <v>73</v>
      </c>
      <c r="Q42" s="268"/>
      <c r="R42" s="212"/>
      <c r="S42" s="207" t="s">
        <v>3380</v>
      </c>
      <c r="T42" s="208"/>
      <c r="U42" s="281"/>
      <c r="V42" s="271">
        <v>0</v>
      </c>
      <c r="W42" s="69"/>
      <c r="X42" s="72"/>
      <c r="Y42" s="273">
        <v>73</v>
      </c>
      <c r="Z42" s="268"/>
      <c r="AA42" s="268"/>
      <c r="AB42" s="212"/>
      <c r="AC42" s="207" t="s">
        <v>3380</v>
      </c>
      <c r="AD42" s="208"/>
      <c r="AE42" s="281"/>
      <c r="AF42" s="271">
        <v>0</v>
      </c>
      <c r="AG42" s="69"/>
      <c r="AH42" s="72"/>
      <c r="AI42" s="273">
        <v>73</v>
      </c>
      <c r="AJ42" s="267"/>
      <c r="AK42" s="268"/>
      <c r="AL42" s="212"/>
      <c r="AM42" s="207" t="s">
        <v>3380</v>
      </c>
      <c r="AN42" s="208"/>
      <c r="AO42" s="281"/>
    </row>
    <row r="43" spans="1:41" x14ac:dyDescent="0.25">
      <c r="A43" s="70" t="s">
        <v>3180</v>
      </c>
      <c r="B43" s="271">
        <v>0</v>
      </c>
      <c r="C43" s="69"/>
      <c r="D43" s="72"/>
      <c r="E43" s="273">
        <v>0</v>
      </c>
      <c r="G43" s="268"/>
      <c r="H43" s="212"/>
      <c r="I43" s="207" t="s">
        <v>3380</v>
      </c>
      <c r="J43" s="208"/>
      <c r="K43" s="281"/>
      <c r="L43" s="271">
        <v>0</v>
      </c>
      <c r="M43" s="69"/>
      <c r="N43" s="72"/>
      <c r="O43" s="273">
        <v>39.28</v>
      </c>
      <c r="Q43" s="268"/>
      <c r="R43" s="212"/>
      <c r="S43" s="207" t="s">
        <v>3380</v>
      </c>
      <c r="T43" s="208"/>
      <c r="U43" s="281"/>
      <c r="V43" s="271">
        <v>0</v>
      </c>
      <c r="W43" s="69"/>
      <c r="X43" s="72"/>
      <c r="Y43" s="273">
        <v>39.28</v>
      </c>
      <c r="Z43" s="268"/>
      <c r="AA43" s="268"/>
      <c r="AB43" s="212"/>
      <c r="AC43" s="207" t="s">
        <v>3380</v>
      </c>
      <c r="AD43" s="208"/>
      <c r="AE43" s="281"/>
      <c r="AF43" s="271">
        <v>0</v>
      </c>
      <c r="AG43" s="69"/>
      <c r="AH43" s="72"/>
      <c r="AI43" s="273">
        <v>39.28</v>
      </c>
      <c r="AJ43" s="267"/>
      <c r="AK43" s="268"/>
      <c r="AL43" s="212"/>
      <c r="AM43" s="207" t="s">
        <v>3380</v>
      </c>
      <c r="AN43" s="208"/>
      <c r="AO43" s="281"/>
    </row>
    <row r="44" spans="1:41" x14ac:dyDescent="0.25">
      <c r="A44" s="70" t="s">
        <v>3181</v>
      </c>
      <c r="B44" s="271">
        <v>0</v>
      </c>
      <c r="C44" s="69"/>
      <c r="D44" s="72"/>
      <c r="E44" s="273">
        <v>0</v>
      </c>
      <c r="G44" s="268"/>
      <c r="H44" s="212"/>
      <c r="I44" s="207" t="s">
        <v>3380</v>
      </c>
      <c r="J44" s="208"/>
      <c r="K44" s="281"/>
      <c r="L44" s="271">
        <v>0</v>
      </c>
      <c r="M44" s="69"/>
      <c r="N44" s="72"/>
      <c r="O44" s="273">
        <v>32.14</v>
      </c>
      <c r="Q44" s="268"/>
      <c r="R44" s="212"/>
      <c r="S44" s="207" t="s">
        <v>3380</v>
      </c>
      <c r="T44" s="208"/>
      <c r="U44" s="281"/>
      <c r="V44" s="271">
        <v>0</v>
      </c>
      <c r="W44" s="69"/>
      <c r="X44" s="72"/>
      <c r="Y44" s="273">
        <v>32.14</v>
      </c>
      <c r="Z44" s="268"/>
      <c r="AA44" s="268"/>
      <c r="AB44" s="212"/>
      <c r="AC44" s="207" t="s">
        <v>3380</v>
      </c>
      <c r="AD44" s="208"/>
      <c r="AE44" s="281"/>
      <c r="AF44" s="271">
        <v>0</v>
      </c>
      <c r="AG44" s="69"/>
      <c r="AH44" s="72"/>
      <c r="AI44" s="273">
        <v>32.14</v>
      </c>
      <c r="AJ44" s="267"/>
      <c r="AK44" s="268"/>
      <c r="AL44" s="212"/>
      <c r="AM44" s="207" t="s">
        <v>3380</v>
      </c>
      <c r="AN44" s="208"/>
      <c r="AO44" s="281"/>
    </row>
    <row r="45" spans="1:41" ht="5.0999999999999996" customHeight="1" x14ac:dyDescent="0.25">
      <c r="A45" s="213">
        <v>0</v>
      </c>
      <c r="B45" s="71"/>
      <c r="C45" s="71"/>
      <c r="D45" s="56"/>
      <c r="E45" s="108"/>
      <c r="G45" s="108"/>
      <c r="H45" s="197"/>
      <c r="I45" s="134"/>
      <c r="J45" s="205"/>
      <c r="K45" s="281"/>
      <c r="L45" s="71"/>
      <c r="M45" s="71"/>
      <c r="N45" s="56"/>
      <c r="O45" s="108"/>
      <c r="Q45" s="108"/>
      <c r="R45" s="197"/>
      <c r="S45" s="134"/>
      <c r="T45" s="205"/>
      <c r="U45" s="281"/>
      <c r="V45" s="71"/>
      <c r="W45" s="71"/>
      <c r="X45" s="56"/>
      <c r="Y45" s="108"/>
      <c r="Z45" s="108"/>
      <c r="AA45" s="108"/>
      <c r="AB45" s="197"/>
      <c r="AC45" s="134"/>
      <c r="AD45" s="205"/>
      <c r="AE45" s="281"/>
      <c r="AF45" s="71"/>
      <c r="AG45" s="71"/>
      <c r="AH45" s="56"/>
      <c r="AI45" s="108"/>
      <c r="AJ45" s="267"/>
      <c r="AK45" s="108"/>
      <c r="AL45" s="197"/>
      <c r="AM45" s="134"/>
      <c r="AN45" s="205"/>
      <c r="AO45" s="281"/>
    </row>
    <row r="46" spans="1:41" ht="15.75" x14ac:dyDescent="0.25">
      <c r="A46" s="68"/>
      <c r="B46" s="71"/>
      <c r="C46" s="71"/>
      <c r="D46" s="56"/>
      <c r="E46" s="108"/>
      <c r="G46" s="108"/>
      <c r="H46" s="197"/>
      <c r="I46" s="134"/>
      <c r="J46" s="205"/>
      <c r="K46" s="281"/>
      <c r="L46" s="71"/>
      <c r="M46" s="71"/>
      <c r="N46" s="56"/>
      <c r="O46" s="108"/>
      <c r="Q46" s="108"/>
      <c r="R46" s="197"/>
      <c r="S46" s="134"/>
      <c r="T46" s="205"/>
      <c r="U46" s="281"/>
      <c r="V46" s="71"/>
      <c r="W46" s="71"/>
      <c r="X46" s="56"/>
      <c r="Y46" s="108"/>
      <c r="Z46" s="108"/>
      <c r="AA46" s="108"/>
      <c r="AB46" s="197"/>
      <c r="AC46" s="134"/>
      <c r="AD46" s="205"/>
      <c r="AE46" s="281"/>
      <c r="AF46" s="71"/>
      <c r="AG46" s="71"/>
      <c r="AH46" s="56"/>
      <c r="AI46" s="108"/>
      <c r="AJ46" s="267"/>
      <c r="AK46" s="108"/>
      <c r="AL46" s="197"/>
      <c r="AM46" s="134"/>
      <c r="AN46" s="205"/>
      <c r="AO46" s="281"/>
    </row>
    <row r="47" spans="1:41" x14ac:dyDescent="0.25">
      <c r="A47" s="70" t="s">
        <v>4139</v>
      </c>
      <c r="B47" s="271">
        <v>0</v>
      </c>
      <c r="C47" s="69"/>
      <c r="D47" s="56"/>
      <c r="E47" s="273">
        <v>0</v>
      </c>
      <c r="G47" s="268"/>
      <c r="H47" s="212"/>
      <c r="I47" s="207" t="s">
        <v>3380</v>
      </c>
      <c r="J47" s="208"/>
      <c r="K47" s="281"/>
      <c r="L47" s="271">
        <v>0</v>
      </c>
      <c r="M47" s="69"/>
      <c r="N47" s="56"/>
      <c r="O47" s="273">
        <v>3</v>
      </c>
      <c r="Q47" s="268"/>
      <c r="R47" s="212"/>
      <c r="S47" s="207" t="s">
        <v>3380</v>
      </c>
      <c r="T47" s="208"/>
      <c r="U47" s="281"/>
      <c r="V47" s="271">
        <v>0</v>
      </c>
      <c r="W47" s="69"/>
      <c r="X47" s="56"/>
      <c r="Y47" s="273">
        <v>3</v>
      </c>
      <c r="Z47" s="268"/>
      <c r="AA47" s="268"/>
      <c r="AB47" s="212"/>
      <c r="AC47" s="207" t="s">
        <v>3380</v>
      </c>
      <c r="AD47" s="208"/>
      <c r="AE47" s="281"/>
      <c r="AF47" s="271">
        <v>0</v>
      </c>
      <c r="AG47" s="69"/>
      <c r="AH47" s="56"/>
      <c r="AI47" s="273">
        <v>3</v>
      </c>
      <c r="AJ47" s="267"/>
      <c r="AK47" s="268"/>
      <c r="AL47" s="212"/>
      <c r="AM47" s="207" t="s">
        <v>3380</v>
      </c>
      <c r="AN47" s="208"/>
      <c r="AO47" s="281"/>
    </row>
    <row r="48" spans="1:41" x14ac:dyDescent="0.25">
      <c r="A48" s="70" t="s">
        <v>4140</v>
      </c>
      <c r="B48" s="271">
        <v>0</v>
      </c>
      <c r="C48" s="69"/>
      <c r="D48" s="56"/>
      <c r="E48" s="273">
        <v>0</v>
      </c>
      <c r="G48" s="268"/>
      <c r="H48" s="212"/>
      <c r="I48" s="207" t="s">
        <v>3380</v>
      </c>
      <c r="J48" s="208"/>
      <c r="K48" s="281"/>
      <c r="L48" s="271">
        <v>0</v>
      </c>
      <c r="M48" s="69"/>
      <c r="N48" s="56"/>
      <c r="O48" s="273">
        <v>3.49</v>
      </c>
      <c r="Q48" s="268"/>
      <c r="R48" s="212"/>
      <c r="S48" s="207" t="s">
        <v>3380</v>
      </c>
      <c r="T48" s="208"/>
      <c r="U48" s="281"/>
      <c r="V48" s="271">
        <v>0</v>
      </c>
      <c r="W48" s="69"/>
      <c r="X48" s="56"/>
      <c r="Y48" s="273">
        <v>3.49</v>
      </c>
      <c r="Z48" s="268"/>
      <c r="AA48" s="268"/>
      <c r="AB48" s="212"/>
      <c r="AC48" s="207" t="s">
        <v>3380</v>
      </c>
      <c r="AD48" s="208"/>
      <c r="AE48" s="281"/>
      <c r="AF48" s="271">
        <v>0</v>
      </c>
      <c r="AG48" s="69"/>
      <c r="AH48" s="56"/>
      <c r="AI48" s="273">
        <v>3.49</v>
      </c>
      <c r="AJ48" s="267"/>
      <c r="AK48" s="268"/>
      <c r="AL48" s="212"/>
      <c r="AM48" s="207" t="s">
        <v>3380</v>
      </c>
      <c r="AN48" s="208"/>
      <c r="AO48" s="281"/>
    </row>
    <row r="49" spans="1:41" x14ac:dyDescent="0.25">
      <c r="A49" s="70" t="s">
        <v>4138</v>
      </c>
      <c r="B49" s="271">
        <v>0</v>
      </c>
      <c r="C49" s="69"/>
      <c r="D49" s="56"/>
      <c r="E49" s="273">
        <v>0</v>
      </c>
      <c r="G49" s="267"/>
      <c r="H49" s="212"/>
      <c r="I49" s="207" t="s">
        <v>3380</v>
      </c>
      <c r="J49" s="208"/>
      <c r="K49" s="281"/>
      <c r="L49" s="271">
        <v>0</v>
      </c>
      <c r="M49" s="69"/>
      <c r="N49" s="56"/>
      <c r="O49" s="272">
        <v>3.99</v>
      </c>
      <c r="Q49" s="267"/>
      <c r="R49" s="212"/>
      <c r="S49" s="207" t="s">
        <v>3380</v>
      </c>
      <c r="T49" s="208"/>
      <c r="U49" s="281"/>
      <c r="V49" s="271">
        <v>0</v>
      </c>
      <c r="W49" s="69"/>
      <c r="X49" s="56"/>
      <c r="Y49" s="272">
        <v>3.99</v>
      </c>
      <c r="Z49" s="267"/>
      <c r="AA49" s="267"/>
      <c r="AB49" s="212"/>
      <c r="AC49" s="207" t="s">
        <v>3380</v>
      </c>
      <c r="AD49" s="208"/>
      <c r="AE49" s="281"/>
      <c r="AF49" s="271">
        <v>0</v>
      </c>
      <c r="AG49" s="69"/>
      <c r="AH49" s="56"/>
      <c r="AI49" s="272">
        <v>3.99</v>
      </c>
      <c r="AJ49" s="267"/>
      <c r="AK49" s="267"/>
      <c r="AL49" s="212"/>
      <c r="AM49" s="207" t="s">
        <v>3380</v>
      </c>
      <c r="AN49" s="208"/>
      <c r="AO49" s="281"/>
    </row>
    <row r="50" spans="1:41" x14ac:dyDescent="0.25">
      <c r="A50" s="106" t="s">
        <v>4141</v>
      </c>
      <c r="B50" s="271">
        <v>0</v>
      </c>
      <c r="C50" s="69"/>
      <c r="D50" s="107"/>
      <c r="E50" s="273">
        <v>0</v>
      </c>
      <c r="G50" s="267"/>
      <c r="H50" s="212"/>
      <c r="I50" s="207" t="s">
        <v>3380</v>
      </c>
      <c r="J50" s="208"/>
      <c r="K50" s="281"/>
      <c r="L50" s="271">
        <v>0</v>
      </c>
      <c r="M50" s="69"/>
      <c r="N50" s="107"/>
      <c r="O50" s="272">
        <v>1.89</v>
      </c>
      <c r="Q50" s="267"/>
      <c r="R50" s="212"/>
      <c r="S50" s="207" t="s">
        <v>3380</v>
      </c>
      <c r="T50" s="208"/>
      <c r="U50" s="281"/>
      <c r="V50" s="271">
        <v>0</v>
      </c>
      <c r="W50" s="69"/>
      <c r="X50" s="107"/>
      <c r="Y50" s="272">
        <v>1.89</v>
      </c>
      <c r="Z50" s="267"/>
      <c r="AA50" s="267"/>
      <c r="AB50" s="212"/>
      <c r="AC50" s="207" t="s">
        <v>3380</v>
      </c>
      <c r="AD50" s="208"/>
      <c r="AE50" s="281"/>
      <c r="AF50" s="271">
        <v>0</v>
      </c>
      <c r="AG50" s="69"/>
      <c r="AH50" s="107"/>
      <c r="AI50" s="272">
        <v>1.89</v>
      </c>
      <c r="AJ50" s="267"/>
      <c r="AK50" s="267"/>
      <c r="AL50" s="212"/>
      <c r="AM50" s="207" t="s">
        <v>3380</v>
      </c>
      <c r="AN50" s="208"/>
      <c r="AO50" s="281"/>
    </row>
    <row r="51" spans="1:41" x14ac:dyDescent="0.25">
      <c r="A51" s="106" t="s">
        <v>4142</v>
      </c>
      <c r="B51" s="271">
        <v>0</v>
      </c>
      <c r="C51" s="69"/>
      <c r="D51" s="107"/>
      <c r="E51" s="273">
        <v>0</v>
      </c>
      <c r="G51" s="267"/>
      <c r="H51" s="212"/>
      <c r="I51" s="207" t="s">
        <v>3380</v>
      </c>
      <c r="J51" s="208"/>
      <c r="K51" s="281"/>
      <c r="L51" s="271">
        <v>0</v>
      </c>
      <c r="M51" s="69"/>
      <c r="N51" s="107"/>
      <c r="O51" s="272">
        <v>1.69</v>
      </c>
      <c r="Q51" s="267"/>
      <c r="R51" s="212"/>
      <c r="S51" s="207" t="s">
        <v>3380</v>
      </c>
      <c r="T51" s="208"/>
      <c r="U51" s="281"/>
      <c r="V51" s="271">
        <v>0</v>
      </c>
      <c r="W51" s="69"/>
      <c r="X51" s="107"/>
      <c r="Y51" s="272">
        <v>1.69</v>
      </c>
      <c r="Z51" s="267"/>
      <c r="AA51" s="267"/>
      <c r="AB51" s="212"/>
      <c r="AC51" s="207" t="s">
        <v>3380</v>
      </c>
      <c r="AD51" s="208"/>
      <c r="AE51" s="281"/>
      <c r="AF51" s="271">
        <v>0</v>
      </c>
      <c r="AG51" s="69"/>
      <c r="AH51" s="107"/>
      <c r="AI51" s="272">
        <v>1.69</v>
      </c>
      <c r="AJ51" s="267"/>
      <c r="AK51" s="267"/>
      <c r="AL51" s="212"/>
      <c r="AM51" s="207" t="s">
        <v>3380</v>
      </c>
      <c r="AN51" s="208"/>
      <c r="AO51" s="281"/>
    </row>
    <row r="52" spans="1:41" x14ac:dyDescent="0.25">
      <c r="A52" s="70" t="s">
        <v>4143</v>
      </c>
      <c r="B52" s="271">
        <v>0</v>
      </c>
      <c r="C52" s="69"/>
      <c r="D52" s="56"/>
      <c r="E52" s="273">
        <v>0</v>
      </c>
      <c r="G52" s="268"/>
      <c r="H52" s="212"/>
      <c r="I52" s="207" t="s">
        <v>3380</v>
      </c>
      <c r="J52" s="208"/>
      <c r="K52" s="281"/>
      <c r="L52" s="271">
        <v>0</v>
      </c>
      <c r="M52" s="69"/>
      <c r="N52" s="56"/>
      <c r="O52" s="273">
        <v>1.99</v>
      </c>
      <c r="Q52" s="268"/>
      <c r="R52" s="212"/>
      <c r="S52" s="207" t="s">
        <v>3380</v>
      </c>
      <c r="T52" s="208"/>
      <c r="U52" s="281"/>
      <c r="V52" s="271">
        <v>0</v>
      </c>
      <c r="W52" s="69"/>
      <c r="X52" s="56"/>
      <c r="Y52" s="273">
        <v>1.99</v>
      </c>
      <c r="Z52" s="268"/>
      <c r="AA52" s="268"/>
      <c r="AB52" s="212"/>
      <c r="AC52" s="207" t="s">
        <v>3380</v>
      </c>
      <c r="AD52" s="208"/>
      <c r="AE52" s="281"/>
      <c r="AF52" s="271">
        <v>0</v>
      </c>
      <c r="AG52" s="69"/>
      <c r="AH52" s="56"/>
      <c r="AI52" s="273">
        <v>1.99</v>
      </c>
      <c r="AJ52" s="267"/>
      <c r="AK52" s="268"/>
      <c r="AL52" s="212"/>
      <c r="AM52" s="207" t="s">
        <v>3380</v>
      </c>
      <c r="AN52" s="208"/>
      <c r="AO52" s="281"/>
    </row>
    <row r="53" spans="1:41" x14ac:dyDescent="0.25">
      <c r="A53" s="70" t="s">
        <v>4150</v>
      </c>
      <c r="B53" s="271">
        <v>0</v>
      </c>
      <c r="C53" s="69"/>
      <c r="D53" s="56"/>
      <c r="E53" s="273">
        <v>0</v>
      </c>
      <c r="G53" s="268"/>
      <c r="H53" s="212"/>
      <c r="I53" s="207" t="s">
        <v>3380</v>
      </c>
      <c r="J53" s="208"/>
      <c r="K53" s="281"/>
      <c r="L53" s="271">
        <v>0</v>
      </c>
      <c r="M53" s="69"/>
      <c r="N53" s="56"/>
      <c r="O53" s="273">
        <v>1.99</v>
      </c>
      <c r="Q53" s="268"/>
      <c r="R53" s="212"/>
      <c r="S53" s="207" t="s">
        <v>3380</v>
      </c>
      <c r="T53" s="208"/>
      <c r="U53" s="281"/>
      <c r="V53" s="271">
        <v>0</v>
      </c>
      <c r="W53" s="69"/>
      <c r="X53" s="56"/>
      <c r="Y53" s="273">
        <v>1.99</v>
      </c>
      <c r="Z53" s="268"/>
      <c r="AA53" s="268"/>
      <c r="AB53" s="212"/>
      <c r="AC53" s="207" t="s">
        <v>3380</v>
      </c>
      <c r="AD53" s="208"/>
      <c r="AE53" s="281"/>
      <c r="AF53" s="271">
        <v>0</v>
      </c>
      <c r="AG53" s="69"/>
      <c r="AH53" s="56"/>
      <c r="AI53" s="273">
        <v>1.99</v>
      </c>
      <c r="AJ53" s="267"/>
      <c r="AK53" s="268"/>
      <c r="AL53" s="212"/>
      <c r="AM53" s="207" t="s">
        <v>3380</v>
      </c>
      <c r="AN53" s="208"/>
      <c r="AO53" s="281"/>
    </row>
    <row r="54" spans="1:41" x14ac:dyDescent="0.25">
      <c r="A54" s="106" t="s">
        <v>4145</v>
      </c>
      <c r="B54" s="271">
        <v>0</v>
      </c>
      <c r="C54" s="69"/>
      <c r="D54" s="107"/>
      <c r="E54" s="273">
        <v>0</v>
      </c>
      <c r="G54" s="267"/>
      <c r="H54" s="212"/>
      <c r="I54" s="207" t="s">
        <v>3380</v>
      </c>
      <c r="J54" s="208"/>
      <c r="K54" s="281"/>
      <c r="L54" s="271">
        <v>0</v>
      </c>
      <c r="M54" s="69"/>
      <c r="N54" s="107"/>
      <c r="O54" s="272">
        <v>4.99</v>
      </c>
      <c r="Q54" s="267"/>
      <c r="R54" s="212"/>
      <c r="S54" s="207" t="s">
        <v>3380</v>
      </c>
      <c r="T54" s="208"/>
      <c r="U54" s="281"/>
      <c r="V54" s="271">
        <v>0</v>
      </c>
      <c r="W54" s="69"/>
      <c r="X54" s="107"/>
      <c r="Y54" s="272">
        <v>4.99</v>
      </c>
      <c r="Z54" s="267"/>
      <c r="AA54" s="267"/>
      <c r="AB54" s="212"/>
      <c r="AC54" s="207" t="s">
        <v>3380</v>
      </c>
      <c r="AD54" s="208"/>
      <c r="AE54" s="281"/>
      <c r="AF54" s="271">
        <v>0</v>
      </c>
      <c r="AG54" s="69"/>
      <c r="AH54" s="107"/>
      <c r="AI54" s="272">
        <v>4.99</v>
      </c>
      <c r="AJ54" s="267"/>
      <c r="AK54" s="267"/>
      <c r="AL54" s="212"/>
      <c r="AM54" s="207" t="s">
        <v>3380</v>
      </c>
      <c r="AN54" s="208"/>
      <c r="AO54" s="281"/>
    </row>
    <row r="55" spans="1:41" x14ac:dyDescent="0.25">
      <c r="A55" s="106" t="s">
        <v>4144</v>
      </c>
      <c r="B55" s="271">
        <v>0</v>
      </c>
      <c r="C55" s="69"/>
      <c r="D55" s="107"/>
      <c r="E55" s="273">
        <v>0</v>
      </c>
      <c r="G55" s="267"/>
      <c r="H55" s="212"/>
      <c r="I55" s="207" t="s">
        <v>3380</v>
      </c>
      <c r="J55" s="208"/>
      <c r="K55" s="281"/>
      <c r="L55" s="271">
        <v>0</v>
      </c>
      <c r="M55" s="69"/>
      <c r="N55" s="107"/>
      <c r="O55" s="272">
        <v>4.99</v>
      </c>
      <c r="Q55" s="267"/>
      <c r="R55" s="212"/>
      <c r="S55" s="207" t="s">
        <v>3380</v>
      </c>
      <c r="T55" s="208"/>
      <c r="U55" s="281"/>
      <c r="V55" s="271">
        <v>0</v>
      </c>
      <c r="W55" s="69"/>
      <c r="X55" s="107"/>
      <c r="Y55" s="272">
        <v>4.99</v>
      </c>
      <c r="Z55" s="267"/>
      <c r="AA55" s="267"/>
      <c r="AB55" s="212"/>
      <c r="AC55" s="207" t="s">
        <v>3380</v>
      </c>
      <c r="AD55" s="208"/>
      <c r="AE55" s="281"/>
      <c r="AF55" s="271">
        <v>0</v>
      </c>
      <c r="AG55" s="69"/>
      <c r="AH55" s="107"/>
      <c r="AI55" s="272">
        <v>4.99</v>
      </c>
      <c r="AJ55" s="267"/>
      <c r="AK55" s="267"/>
      <c r="AL55" s="212"/>
      <c r="AM55" s="207" t="s">
        <v>3380</v>
      </c>
      <c r="AN55" s="208"/>
      <c r="AO55" s="281"/>
    </row>
    <row r="56" spans="1:41" x14ac:dyDescent="0.25">
      <c r="A56" s="106" t="s">
        <v>4146</v>
      </c>
      <c r="B56" s="271">
        <v>0</v>
      </c>
      <c r="C56" s="69"/>
      <c r="D56" s="107"/>
      <c r="E56" s="273">
        <v>0</v>
      </c>
      <c r="G56" s="267"/>
      <c r="H56" s="212"/>
      <c r="I56" s="207" t="s">
        <v>3380</v>
      </c>
      <c r="J56" s="208"/>
      <c r="K56" s="281"/>
      <c r="L56" s="271">
        <v>0</v>
      </c>
      <c r="M56" s="69"/>
      <c r="N56" s="107"/>
      <c r="O56" s="272">
        <v>2.29</v>
      </c>
      <c r="Q56" s="267"/>
      <c r="R56" s="212"/>
      <c r="S56" s="207" t="s">
        <v>3380</v>
      </c>
      <c r="T56" s="208"/>
      <c r="U56" s="281"/>
      <c r="V56" s="271">
        <v>0</v>
      </c>
      <c r="W56" s="69"/>
      <c r="X56" s="107"/>
      <c r="Y56" s="272">
        <v>2.29</v>
      </c>
      <c r="Z56" s="267"/>
      <c r="AA56" s="267"/>
      <c r="AB56" s="212"/>
      <c r="AC56" s="207" t="s">
        <v>3380</v>
      </c>
      <c r="AD56" s="208"/>
      <c r="AE56" s="281"/>
      <c r="AF56" s="271">
        <v>0</v>
      </c>
      <c r="AG56" s="69"/>
      <c r="AH56" s="107"/>
      <c r="AI56" s="272">
        <v>2.29</v>
      </c>
      <c r="AJ56" s="267"/>
      <c r="AK56" s="267"/>
      <c r="AL56" s="212"/>
      <c r="AM56" s="207" t="s">
        <v>3380</v>
      </c>
      <c r="AN56" s="208"/>
      <c r="AO56" s="281"/>
    </row>
    <row r="57" spans="1:41" x14ac:dyDescent="0.25">
      <c r="A57" s="106" t="s">
        <v>4147</v>
      </c>
      <c r="B57" s="271">
        <v>0</v>
      </c>
      <c r="C57" s="69"/>
      <c r="D57" s="107"/>
      <c r="E57" s="273">
        <v>0</v>
      </c>
      <c r="G57" s="267"/>
      <c r="H57" s="212"/>
      <c r="I57" s="207" t="s">
        <v>3380</v>
      </c>
      <c r="J57" s="208"/>
      <c r="K57" s="281"/>
      <c r="L57" s="271">
        <v>0</v>
      </c>
      <c r="M57" s="69"/>
      <c r="N57" s="107"/>
      <c r="O57" s="272">
        <v>1.99</v>
      </c>
      <c r="Q57" s="267"/>
      <c r="R57" s="212"/>
      <c r="S57" s="207" t="s">
        <v>3380</v>
      </c>
      <c r="T57" s="208"/>
      <c r="U57" s="281"/>
      <c r="V57" s="271">
        <v>0</v>
      </c>
      <c r="W57" s="69"/>
      <c r="X57" s="107"/>
      <c r="Y57" s="272">
        <v>1.99</v>
      </c>
      <c r="Z57" s="267"/>
      <c r="AA57" s="267"/>
      <c r="AB57" s="212"/>
      <c r="AC57" s="207" t="s">
        <v>3380</v>
      </c>
      <c r="AD57" s="208"/>
      <c r="AE57" s="281"/>
      <c r="AF57" s="271">
        <v>0</v>
      </c>
      <c r="AG57" s="69"/>
      <c r="AH57" s="107"/>
      <c r="AI57" s="272">
        <v>1.99</v>
      </c>
      <c r="AJ57" s="267"/>
      <c r="AK57" s="267"/>
      <c r="AL57" s="212"/>
      <c r="AM57" s="207" t="s">
        <v>3380</v>
      </c>
      <c r="AN57" s="208"/>
      <c r="AO57" s="281"/>
    </row>
    <row r="58" spans="1:41" x14ac:dyDescent="0.25">
      <c r="A58" s="70" t="s">
        <v>4136</v>
      </c>
      <c r="B58" s="271">
        <v>0</v>
      </c>
      <c r="C58" s="69"/>
      <c r="D58" s="56"/>
      <c r="E58" s="273">
        <v>0</v>
      </c>
      <c r="G58" s="268"/>
      <c r="H58" s="212"/>
      <c r="I58" s="207" t="s">
        <v>3380</v>
      </c>
      <c r="J58" s="208"/>
      <c r="K58" s="281"/>
      <c r="L58" s="271">
        <v>0</v>
      </c>
      <c r="M58" s="69"/>
      <c r="N58" s="56"/>
      <c r="O58" s="273">
        <v>3.49</v>
      </c>
      <c r="Q58" s="268"/>
      <c r="R58" s="212"/>
      <c r="S58" s="207" t="s">
        <v>3380</v>
      </c>
      <c r="T58" s="208"/>
      <c r="U58" s="281"/>
      <c r="V58" s="271">
        <v>0</v>
      </c>
      <c r="W58" s="69"/>
      <c r="X58" s="56"/>
      <c r="Y58" s="273">
        <v>3.49</v>
      </c>
      <c r="Z58" s="268"/>
      <c r="AA58" s="268"/>
      <c r="AB58" s="212"/>
      <c r="AC58" s="207" t="s">
        <v>3380</v>
      </c>
      <c r="AD58" s="208"/>
      <c r="AE58" s="281"/>
      <c r="AF58" s="271">
        <v>0</v>
      </c>
      <c r="AG58" s="69"/>
      <c r="AH58" s="56"/>
      <c r="AI58" s="273">
        <v>3.49</v>
      </c>
      <c r="AJ58" s="267"/>
      <c r="AK58" s="268"/>
      <c r="AL58" s="212"/>
      <c r="AM58" s="207" t="s">
        <v>3380</v>
      </c>
      <c r="AN58" s="208"/>
      <c r="AO58" s="281"/>
    </row>
    <row r="59" spans="1:41" x14ac:dyDescent="0.25">
      <c r="A59" s="70" t="s">
        <v>4135</v>
      </c>
      <c r="B59" s="271">
        <v>0</v>
      </c>
      <c r="C59" s="69"/>
      <c r="D59" s="56"/>
      <c r="E59" s="273">
        <v>0</v>
      </c>
      <c r="G59" s="267"/>
      <c r="H59" s="212"/>
      <c r="I59" s="207" t="s">
        <v>3380</v>
      </c>
      <c r="J59" s="208"/>
      <c r="K59" s="281"/>
      <c r="L59" s="271">
        <v>0</v>
      </c>
      <c r="M59" s="69"/>
      <c r="N59" s="56"/>
      <c r="O59" s="272">
        <v>3.99</v>
      </c>
      <c r="Q59" s="267"/>
      <c r="R59" s="212"/>
      <c r="S59" s="207" t="s">
        <v>3380</v>
      </c>
      <c r="T59" s="208"/>
      <c r="U59" s="281"/>
      <c r="V59" s="271">
        <v>0</v>
      </c>
      <c r="W59" s="69"/>
      <c r="X59" s="56"/>
      <c r="Y59" s="272">
        <v>3.99</v>
      </c>
      <c r="Z59" s="267"/>
      <c r="AA59" s="267"/>
      <c r="AB59" s="212"/>
      <c r="AC59" s="207" t="s">
        <v>3380</v>
      </c>
      <c r="AD59" s="208"/>
      <c r="AE59" s="281"/>
      <c r="AF59" s="271">
        <v>0</v>
      </c>
      <c r="AG59" s="69"/>
      <c r="AH59" s="56"/>
      <c r="AI59" s="272">
        <v>3.99</v>
      </c>
      <c r="AJ59" s="267"/>
      <c r="AK59" s="267"/>
      <c r="AL59" s="212"/>
      <c r="AM59" s="207" t="s">
        <v>3380</v>
      </c>
      <c r="AN59" s="208"/>
      <c r="AO59" s="281"/>
    </row>
    <row r="60" spans="1:41" x14ac:dyDescent="0.25">
      <c r="A60" s="70" t="s">
        <v>4137</v>
      </c>
      <c r="B60" s="271">
        <v>0</v>
      </c>
      <c r="C60" s="69"/>
      <c r="D60" s="56"/>
      <c r="E60" s="273">
        <v>0</v>
      </c>
      <c r="G60" s="268"/>
      <c r="H60" s="212"/>
      <c r="I60" s="207" t="s">
        <v>3380</v>
      </c>
      <c r="J60" s="208"/>
      <c r="K60" s="281"/>
      <c r="L60" s="271">
        <v>0</v>
      </c>
      <c r="M60" s="69"/>
      <c r="N60" s="56"/>
      <c r="O60" s="273">
        <v>1.99</v>
      </c>
      <c r="Q60" s="268"/>
      <c r="R60" s="212"/>
      <c r="S60" s="207" t="s">
        <v>3380</v>
      </c>
      <c r="T60" s="208"/>
      <c r="U60" s="281"/>
      <c r="V60" s="271">
        <v>0</v>
      </c>
      <c r="W60" s="69"/>
      <c r="X60" s="56"/>
      <c r="Y60" s="273">
        <v>1.99</v>
      </c>
      <c r="Z60" s="268"/>
      <c r="AA60" s="268"/>
      <c r="AB60" s="212"/>
      <c r="AC60" s="207" t="s">
        <v>3380</v>
      </c>
      <c r="AD60" s="208"/>
      <c r="AE60" s="281"/>
      <c r="AF60" s="271">
        <v>0</v>
      </c>
      <c r="AG60" s="69"/>
      <c r="AH60" s="56"/>
      <c r="AI60" s="273">
        <v>1.99</v>
      </c>
      <c r="AJ60" s="267"/>
      <c r="AK60" s="268"/>
      <c r="AL60" s="212"/>
      <c r="AM60" s="207" t="s">
        <v>3380</v>
      </c>
      <c r="AN60" s="208"/>
      <c r="AO60" s="281"/>
    </row>
    <row r="61" spans="1:41" x14ac:dyDescent="0.25">
      <c r="A61" s="106" t="s">
        <v>3176</v>
      </c>
      <c r="B61" s="271">
        <v>0</v>
      </c>
      <c r="C61" s="69"/>
      <c r="D61" s="107"/>
      <c r="E61" s="273">
        <v>0</v>
      </c>
      <c r="G61" s="267"/>
      <c r="H61" s="212"/>
      <c r="I61" s="207" t="s">
        <v>3380</v>
      </c>
      <c r="J61" s="208"/>
      <c r="K61" s="281"/>
      <c r="L61" s="271">
        <v>0</v>
      </c>
      <c r="M61" s="69"/>
      <c r="N61" s="107"/>
      <c r="O61" s="272">
        <v>3.99</v>
      </c>
      <c r="Q61" s="267"/>
      <c r="R61" s="212"/>
      <c r="S61" s="207" t="s">
        <v>3380</v>
      </c>
      <c r="T61" s="208"/>
      <c r="U61" s="281"/>
      <c r="V61" s="271">
        <v>0</v>
      </c>
      <c r="W61" s="69"/>
      <c r="X61" s="107"/>
      <c r="Y61" s="272">
        <v>3.99</v>
      </c>
      <c r="Z61" s="267"/>
      <c r="AA61" s="267"/>
      <c r="AB61" s="212"/>
      <c r="AC61" s="207" t="s">
        <v>3380</v>
      </c>
      <c r="AD61" s="208"/>
      <c r="AE61" s="281"/>
      <c r="AF61" s="271">
        <v>0</v>
      </c>
      <c r="AG61" s="69"/>
      <c r="AH61" s="107"/>
      <c r="AI61" s="272">
        <v>3.99</v>
      </c>
      <c r="AJ61" s="267"/>
      <c r="AK61" s="267"/>
      <c r="AL61" s="212"/>
      <c r="AM61" s="207" t="s">
        <v>3380</v>
      </c>
      <c r="AN61" s="208"/>
      <c r="AO61" s="281"/>
    </row>
    <row r="62" spans="1:41" x14ac:dyDescent="0.25">
      <c r="A62" s="106" t="s">
        <v>3239</v>
      </c>
      <c r="B62" s="271">
        <v>0</v>
      </c>
      <c r="C62" s="69"/>
      <c r="D62" s="107"/>
      <c r="E62" s="273">
        <v>0</v>
      </c>
      <c r="G62" s="267"/>
      <c r="H62" s="212"/>
      <c r="I62" s="207" t="s">
        <v>3380</v>
      </c>
      <c r="J62" s="208"/>
      <c r="K62" s="281"/>
      <c r="L62" s="271">
        <v>0</v>
      </c>
      <c r="M62" s="69"/>
      <c r="N62" s="107"/>
      <c r="O62" s="272">
        <v>1.49</v>
      </c>
      <c r="Q62" s="267"/>
      <c r="R62" s="212"/>
      <c r="S62" s="207" t="s">
        <v>3380</v>
      </c>
      <c r="T62" s="208"/>
      <c r="U62" s="281"/>
      <c r="V62" s="271">
        <v>0</v>
      </c>
      <c r="W62" s="69"/>
      <c r="X62" s="107"/>
      <c r="Y62" s="272">
        <v>1.49</v>
      </c>
      <c r="Z62" s="267"/>
      <c r="AA62" s="267"/>
      <c r="AB62" s="212"/>
      <c r="AC62" s="207" t="s">
        <v>3380</v>
      </c>
      <c r="AD62" s="208"/>
      <c r="AE62" s="281"/>
      <c r="AF62" s="271">
        <v>0</v>
      </c>
      <c r="AG62" s="69"/>
      <c r="AH62" s="107"/>
      <c r="AI62" s="272">
        <v>1.49</v>
      </c>
      <c r="AJ62" s="267"/>
      <c r="AK62" s="267"/>
      <c r="AL62" s="212"/>
      <c r="AM62" s="207" t="s">
        <v>3380</v>
      </c>
      <c r="AN62" s="208"/>
      <c r="AO62" s="281"/>
    </row>
    <row r="63" spans="1:41" x14ac:dyDescent="0.25">
      <c r="A63" s="106" t="s">
        <v>3240</v>
      </c>
      <c r="B63" s="271">
        <v>0</v>
      </c>
      <c r="C63" s="69"/>
      <c r="D63" s="107"/>
      <c r="E63" s="273">
        <v>0</v>
      </c>
      <c r="G63" s="267"/>
      <c r="H63" s="212"/>
      <c r="I63" s="207" t="s">
        <v>3380</v>
      </c>
      <c r="J63" s="208"/>
      <c r="K63" s="281"/>
      <c r="L63" s="271">
        <v>0</v>
      </c>
      <c r="M63" s="69"/>
      <c r="N63" s="107"/>
      <c r="O63" s="272">
        <v>1.99</v>
      </c>
      <c r="Q63" s="267"/>
      <c r="R63" s="212"/>
      <c r="S63" s="207" t="s">
        <v>3380</v>
      </c>
      <c r="T63" s="208"/>
      <c r="U63" s="281"/>
      <c r="V63" s="271">
        <v>0</v>
      </c>
      <c r="W63" s="69"/>
      <c r="X63" s="107"/>
      <c r="Y63" s="272">
        <v>1.99</v>
      </c>
      <c r="Z63" s="267"/>
      <c r="AA63" s="267"/>
      <c r="AB63" s="212"/>
      <c r="AC63" s="207" t="s">
        <v>3380</v>
      </c>
      <c r="AD63" s="208"/>
      <c r="AE63" s="281"/>
      <c r="AF63" s="271">
        <v>0</v>
      </c>
      <c r="AG63" s="69"/>
      <c r="AH63" s="107"/>
      <c r="AI63" s="272">
        <v>1.99</v>
      </c>
      <c r="AJ63" s="267"/>
      <c r="AK63" s="267"/>
      <c r="AL63" s="212"/>
      <c r="AM63" s="207" t="s">
        <v>3380</v>
      </c>
      <c r="AN63" s="208"/>
      <c r="AO63" s="281"/>
    </row>
    <row r="64" spans="1:41" x14ac:dyDescent="0.25">
      <c r="A64" s="70" t="s">
        <v>3224</v>
      </c>
      <c r="B64" s="271">
        <v>0</v>
      </c>
      <c r="C64" s="69"/>
      <c r="D64" s="72"/>
      <c r="E64" s="273">
        <v>0</v>
      </c>
      <c r="G64" s="268"/>
      <c r="H64" s="212"/>
      <c r="I64" s="207" t="s">
        <v>3380</v>
      </c>
      <c r="J64" s="208"/>
      <c r="K64" s="281"/>
      <c r="L64" s="271">
        <v>0</v>
      </c>
      <c r="M64" s="69"/>
      <c r="N64" s="72"/>
      <c r="O64" s="273">
        <v>0.79</v>
      </c>
      <c r="Q64" s="268"/>
      <c r="R64" s="212"/>
      <c r="S64" s="207" t="s">
        <v>3380</v>
      </c>
      <c r="T64" s="208"/>
      <c r="U64" s="281"/>
      <c r="V64" s="271">
        <v>0</v>
      </c>
      <c r="W64" s="69"/>
      <c r="X64" s="72"/>
      <c r="Y64" s="273">
        <v>0.79</v>
      </c>
      <c r="Z64" s="268"/>
      <c r="AA64" s="268"/>
      <c r="AB64" s="212"/>
      <c r="AC64" s="207" t="s">
        <v>3380</v>
      </c>
      <c r="AD64" s="208"/>
      <c r="AE64" s="281"/>
      <c r="AF64" s="271">
        <v>0</v>
      </c>
      <c r="AG64" s="69"/>
      <c r="AH64" s="72"/>
      <c r="AI64" s="273">
        <v>0.79</v>
      </c>
      <c r="AJ64" s="267"/>
      <c r="AK64" s="268"/>
      <c r="AL64" s="212"/>
      <c r="AM64" s="207" t="s">
        <v>3380</v>
      </c>
      <c r="AN64" s="208"/>
      <c r="AO64" s="281"/>
    </row>
    <row r="65" spans="1:41" x14ac:dyDescent="0.25">
      <c r="A65" s="70" t="s">
        <v>3824</v>
      </c>
      <c r="B65" s="271">
        <v>0</v>
      </c>
      <c r="C65" s="69"/>
      <c r="D65" s="72"/>
      <c r="E65" s="273">
        <v>0</v>
      </c>
      <c r="G65" s="268"/>
      <c r="H65" s="212"/>
      <c r="I65" s="207" t="s">
        <v>3380</v>
      </c>
      <c r="J65" s="208"/>
      <c r="K65" s="281"/>
      <c r="L65" s="271">
        <v>0</v>
      </c>
      <c r="M65" s="69"/>
      <c r="N65" s="72"/>
      <c r="O65" s="273">
        <v>1.99</v>
      </c>
      <c r="Q65" s="268"/>
      <c r="R65" s="212"/>
      <c r="S65" s="207" t="s">
        <v>3380</v>
      </c>
      <c r="T65" s="208"/>
      <c r="U65" s="281"/>
      <c r="V65" s="271">
        <v>0</v>
      </c>
      <c r="W65" s="69"/>
      <c r="X65" s="72"/>
      <c r="Y65" s="273">
        <v>1.99</v>
      </c>
      <c r="Z65" s="268"/>
      <c r="AA65" s="268"/>
      <c r="AB65" s="212"/>
      <c r="AC65" s="207" t="s">
        <v>3380</v>
      </c>
      <c r="AD65" s="208"/>
      <c r="AE65" s="281"/>
      <c r="AF65" s="271">
        <v>0</v>
      </c>
      <c r="AG65" s="69"/>
      <c r="AH65" s="72"/>
      <c r="AI65" s="273">
        <v>1.99</v>
      </c>
      <c r="AJ65" s="267"/>
      <c r="AK65" s="268"/>
      <c r="AL65" s="212"/>
      <c r="AM65" s="207" t="s">
        <v>3380</v>
      </c>
      <c r="AN65" s="208"/>
      <c r="AO65" s="281"/>
    </row>
    <row r="66" spans="1:41" x14ac:dyDescent="0.25">
      <c r="A66" s="70" t="s">
        <v>3497</v>
      </c>
      <c r="B66" s="271">
        <v>0</v>
      </c>
      <c r="C66" s="69"/>
      <c r="D66" s="72"/>
      <c r="E66" s="273">
        <v>0</v>
      </c>
      <c r="G66" s="268"/>
      <c r="H66" s="212"/>
      <c r="I66" s="207" t="s">
        <v>3380</v>
      </c>
      <c r="J66" s="208"/>
      <c r="K66" s="281"/>
      <c r="L66" s="271">
        <v>14.3</v>
      </c>
      <c r="M66" s="69"/>
      <c r="N66" s="72"/>
      <c r="O66" s="273">
        <v>1.99</v>
      </c>
      <c r="Q66" s="268"/>
      <c r="R66" s="212"/>
      <c r="S66" s="207" t="s">
        <v>3380</v>
      </c>
      <c r="T66" s="208"/>
      <c r="U66" s="281"/>
      <c r="V66" s="271">
        <v>13.25</v>
      </c>
      <c r="W66" s="69"/>
      <c r="X66" s="72"/>
      <c r="Y66" s="273">
        <v>1.99</v>
      </c>
      <c r="Z66" s="268"/>
      <c r="AA66" s="268"/>
      <c r="AB66" s="212">
        <v>2</v>
      </c>
      <c r="AC66" s="207" t="s">
        <v>3380</v>
      </c>
      <c r="AD66" s="208">
        <v>3</v>
      </c>
      <c r="AE66" s="281"/>
      <c r="AF66" s="271">
        <v>13.25</v>
      </c>
      <c r="AG66" s="69"/>
      <c r="AH66" s="72"/>
      <c r="AI66" s="273">
        <v>1.99</v>
      </c>
      <c r="AJ66" s="267"/>
      <c r="AK66" s="268"/>
      <c r="AL66" s="212">
        <v>2</v>
      </c>
      <c r="AM66" s="207" t="s">
        <v>3380</v>
      </c>
      <c r="AN66" s="208">
        <v>3</v>
      </c>
      <c r="AO66" s="281"/>
    </row>
    <row r="67" spans="1:41" x14ac:dyDescent="0.25">
      <c r="A67" s="111" t="s">
        <v>3498</v>
      </c>
      <c r="B67" s="271">
        <v>0</v>
      </c>
      <c r="C67" s="112"/>
      <c r="D67" s="72"/>
      <c r="E67" s="273">
        <v>0</v>
      </c>
      <c r="G67" s="268"/>
      <c r="H67" s="212"/>
      <c r="I67" s="207" t="s">
        <v>3380</v>
      </c>
      <c r="J67" s="208"/>
      <c r="K67" s="281"/>
      <c r="L67" s="271">
        <v>0</v>
      </c>
      <c r="M67" s="112"/>
      <c r="N67" s="72"/>
      <c r="O67" s="273">
        <v>5.99</v>
      </c>
      <c r="Q67" s="268"/>
      <c r="R67" s="212"/>
      <c r="S67" s="207" t="s">
        <v>3380</v>
      </c>
      <c r="T67" s="208"/>
      <c r="U67" s="281"/>
      <c r="V67" s="271">
        <v>0</v>
      </c>
      <c r="W67" s="112"/>
      <c r="X67" s="72"/>
      <c r="Y67" s="273">
        <v>5.99</v>
      </c>
      <c r="Z67" s="268"/>
      <c r="AA67" s="268"/>
      <c r="AB67" s="212"/>
      <c r="AC67" s="207" t="s">
        <v>3380</v>
      </c>
      <c r="AD67" s="208"/>
      <c r="AE67" s="281"/>
      <c r="AF67" s="271">
        <v>0</v>
      </c>
      <c r="AG67" s="112"/>
      <c r="AH67" s="72"/>
      <c r="AI67" s="273">
        <v>5.99</v>
      </c>
      <c r="AJ67" s="267"/>
      <c r="AK67" s="268"/>
      <c r="AL67" s="212"/>
      <c r="AM67" s="207" t="s">
        <v>3380</v>
      </c>
      <c r="AN67" s="208"/>
      <c r="AO67" s="281"/>
    </row>
    <row r="68" spans="1:41" ht="5.0999999999999996" customHeight="1" x14ac:dyDescent="0.25">
      <c r="A68" s="213">
        <v>0</v>
      </c>
      <c r="B68" s="71"/>
      <c r="C68" s="71"/>
      <c r="D68" s="56"/>
      <c r="E68" s="108"/>
      <c r="G68" s="108"/>
      <c r="H68" s="197"/>
      <c r="I68" s="134"/>
      <c r="J68" s="205"/>
      <c r="K68" s="281"/>
      <c r="L68" s="71"/>
      <c r="M68" s="71"/>
      <c r="N68" s="56"/>
      <c r="O68" s="108"/>
      <c r="Q68" s="108"/>
      <c r="R68" s="197"/>
      <c r="S68" s="134"/>
      <c r="T68" s="205"/>
      <c r="U68" s="281"/>
      <c r="V68" s="71"/>
      <c r="W68" s="71"/>
      <c r="X68" s="56"/>
      <c r="Y68" s="108"/>
      <c r="Z68" s="108"/>
      <c r="AA68" s="108"/>
      <c r="AB68" s="197"/>
      <c r="AC68" s="134"/>
      <c r="AD68" s="205"/>
      <c r="AE68" s="281"/>
      <c r="AF68" s="71"/>
      <c r="AG68" s="71"/>
      <c r="AH68" s="56"/>
      <c r="AI68" s="108"/>
      <c r="AJ68" s="267"/>
      <c r="AK68" s="108"/>
      <c r="AL68" s="197"/>
      <c r="AM68" s="134"/>
      <c r="AN68" s="205"/>
      <c r="AO68" s="281"/>
    </row>
    <row r="69" spans="1:41" ht="15.75" x14ac:dyDescent="0.25">
      <c r="A69" s="68"/>
      <c r="B69" s="71"/>
      <c r="C69" s="71"/>
      <c r="D69" s="56"/>
      <c r="E69" s="108"/>
      <c r="G69" s="108"/>
      <c r="H69" s="197"/>
      <c r="I69" s="134"/>
      <c r="J69" s="205"/>
      <c r="K69" s="281"/>
      <c r="L69" s="71"/>
      <c r="M69" s="71"/>
      <c r="N69" s="56"/>
      <c r="O69" s="108"/>
      <c r="Q69" s="108"/>
      <c r="R69" s="197"/>
      <c r="S69" s="134"/>
      <c r="T69" s="205"/>
      <c r="U69" s="281"/>
      <c r="V69" s="71"/>
      <c r="W69" s="71"/>
      <c r="X69" s="56"/>
      <c r="Y69" s="108"/>
      <c r="Z69" s="108"/>
      <c r="AA69" s="108"/>
      <c r="AB69" s="197"/>
      <c r="AC69" s="134"/>
      <c r="AD69" s="205"/>
      <c r="AE69" s="281"/>
      <c r="AF69" s="71"/>
      <c r="AG69" s="71"/>
      <c r="AH69" s="56"/>
      <c r="AI69" s="108"/>
      <c r="AJ69" s="267"/>
      <c r="AK69" s="108"/>
      <c r="AL69" s="197"/>
      <c r="AM69" s="134"/>
      <c r="AN69" s="205"/>
      <c r="AO69" s="281"/>
    </row>
    <row r="70" spans="1:41" x14ac:dyDescent="0.25">
      <c r="A70" s="70" t="s">
        <v>3495</v>
      </c>
      <c r="B70" s="271">
        <v>0</v>
      </c>
      <c r="C70" s="69"/>
      <c r="D70" s="72"/>
      <c r="E70" s="273">
        <v>0</v>
      </c>
      <c r="G70" s="268"/>
      <c r="H70" s="212"/>
      <c r="I70" s="207" t="s">
        <v>3380</v>
      </c>
      <c r="J70" s="208"/>
      <c r="K70" s="281"/>
      <c r="L70" s="271">
        <v>16.5</v>
      </c>
      <c r="M70" s="69"/>
      <c r="N70" s="72"/>
      <c r="O70" s="273">
        <v>2.29</v>
      </c>
      <c r="Q70" s="268"/>
      <c r="R70" s="212"/>
      <c r="S70" s="207" t="s">
        <v>3380</v>
      </c>
      <c r="T70" s="208"/>
      <c r="U70" s="281"/>
      <c r="V70" s="271">
        <v>15.5</v>
      </c>
      <c r="W70" s="69"/>
      <c r="X70" s="72"/>
      <c r="Y70" s="273">
        <v>2.29</v>
      </c>
      <c r="Z70" s="268"/>
      <c r="AA70" s="268"/>
      <c r="AB70" s="212">
        <v>2</v>
      </c>
      <c r="AC70" s="207" t="s">
        <v>3380</v>
      </c>
      <c r="AD70" s="208">
        <v>4</v>
      </c>
      <c r="AE70" s="281"/>
      <c r="AF70" s="271">
        <v>15.5</v>
      </c>
      <c r="AG70" s="69"/>
      <c r="AH70" s="72"/>
      <c r="AI70" s="273">
        <v>2.29</v>
      </c>
      <c r="AJ70" s="267"/>
      <c r="AK70" s="268"/>
      <c r="AL70" s="212">
        <v>2</v>
      </c>
      <c r="AM70" s="207" t="s">
        <v>3380</v>
      </c>
      <c r="AN70" s="208">
        <v>4</v>
      </c>
      <c r="AO70" s="281"/>
    </row>
    <row r="71" spans="1:41" x14ac:dyDescent="0.25">
      <c r="A71" s="111" t="s">
        <v>3649</v>
      </c>
      <c r="B71" s="271">
        <v>0</v>
      </c>
      <c r="C71" s="112"/>
      <c r="D71" s="72"/>
      <c r="E71" s="273">
        <v>0</v>
      </c>
      <c r="G71" s="268"/>
      <c r="H71" s="212"/>
      <c r="I71" s="207" t="s">
        <v>3380</v>
      </c>
      <c r="J71" s="208"/>
      <c r="K71" s="281"/>
      <c r="L71" s="271">
        <v>0</v>
      </c>
      <c r="M71" s="112"/>
      <c r="N71" s="72"/>
      <c r="O71" s="273">
        <v>9.99</v>
      </c>
      <c r="Q71" s="268"/>
      <c r="R71" s="212"/>
      <c r="S71" s="207" t="s">
        <v>3380</v>
      </c>
      <c r="T71" s="208"/>
      <c r="U71" s="281"/>
      <c r="V71" s="271">
        <v>0</v>
      </c>
      <c r="W71" s="112"/>
      <c r="X71" s="72"/>
      <c r="Y71" s="273">
        <v>9.99</v>
      </c>
      <c r="Z71" s="268"/>
      <c r="AA71" s="268"/>
      <c r="AB71" s="212"/>
      <c r="AC71" s="207" t="s">
        <v>3380</v>
      </c>
      <c r="AD71" s="208"/>
      <c r="AE71" s="281"/>
      <c r="AF71" s="271">
        <v>0</v>
      </c>
      <c r="AG71" s="112"/>
      <c r="AH71" s="72"/>
      <c r="AI71" s="273">
        <v>9.99</v>
      </c>
      <c r="AJ71" s="267"/>
      <c r="AK71" s="268"/>
      <c r="AL71" s="212"/>
      <c r="AM71" s="207" t="s">
        <v>3380</v>
      </c>
      <c r="AN71" s="208"/>
      <c r="AO71" s="281"/>
    </row>
    <row r="72" spans="1:41" x14ac:dyDescent="0.25">
      <c r="A72" s="70" t="s">
        <v>3859</v>
      </c>
      <c r="B72" s="271">
        <v>0</v>
      </c>
      <c r="C72" s="69"/>
      <c r="D72" s="72"/>
      <c r="E72" s="273">
        <v>0</v>
      </c>
      <c r="G72" s="268"/>
      <c r="H72" s="212"/>
      <c r="I72" s="207" t="s">
        <v>3380</v>
      </c>
      <c r="J72" s="208"/>
      <c r="K72" s="281"/>
      <c r="L72" s="271">
        <v>16.5</v>
      </c>
      <c r="M72" s="69"/>
      <c r="N72" s="72"/>
      <c r="O72" s="273">
        <v>2.29</v>
      </c>
      <c r="Q72" s="268"/>
      <c r="R72" s="212"/>
      <c r="S72" s="207" t="s">
        <v>3380</v>
      </c>
      <c r="T72" s="208"/>
      <c r="U72" s="281"/>
      <c r="V72" s="271">
        <v>15.75</v>
      </c>
      <c r="W72" s="69"/>
      <c r="X72" s="72"/>
      <c r="Y72" s="273">
        <v>2.29</v>
      </c>
      <c r="Z72" s="268"/>
      <c r="AA72" s="268"/>
      <c r="AB72" s="212">
        <v>2</v>
      </c>
      <c r="AC72" s="207" t="s">
        <v>3380</v>
      </c>
      <c r="AD72" s="208">
        <v>4</v>
      </c>
      <c r="AE72" s="281"/>
      <c r="AF72" s="271">
        <v>15.75</v>
      </c>
      <c r="AG72" s="69"/>
      <c r="AH72" s="72"/>
      <c r="AI72" s="273">
        <v>2.29</v>
      </c>
      <c r="AJ72" s="267"/>
      <c r="AK72" s="268"/>
      <c r="AL72" s="212">
        <v>2</v>
      </c>
      <c r="AM72" s="207" t="s">
        <v>3380</v>
      </c>
      <c r="AN72" s="208">
        <v>4</v>
      </c>
      <c r="AO72" s="281"/>
    </row>
    <row r="73" spans="1:41" x14ac:dyDescent="0.25">
      <c r="A73" s="70" t="s">
        <v>3200</v>
      </c>
      <c r="B73" s="271">
        <v>0</v>
      </c>
      <c r="C73" s="69"/>
      <c r="D73" s="72"/>
      <c r="E73" s="273">
        <v>0</v>
      </c>
      <c r="G73" s="268"/>
      <c r="H73" s="212"/>
      <c r="I73" s="207" t="s">
        <v>3380</v>
      </c>
      <c r="J73" s="208"/>
      <c r="K73" s="281"/>
      <c r="L73" s="271">
        <v>0</v>
      </c>
      <c r="M73" s="69"/>
      <c r="N73" s="72"/>
      <c r="O73" s="273">
        <v>2.4900000000000002</v>
      </c>
      <c r="Q73" s="268"/>
      <c r="R73" s="212"/>
      <c r="S73" s="207" t="s">
        <v>3380</v>
      </c>
      <c r="T73" s="208"/>
      <c r="U73" s="281"/>
      <c r="V73" s="271">
        <v>0</v>
      </c>
      <c r="W73" s="69"/>
      <c r="X73" s="72"/>
      <c r="Y73" s="273">
        <v>2.4900000000000002</v>
      </c>
      <c r="Z73" s="268"/>
      <c r="AA73" s="268"/>
      <c r="AB73" s="212"/>
      <c r="AC73" s="207" t="s">
        <v>3380</v>
      </c>
      <c r="AD73" s="208"/>
      <c r="AE73" s="281"/>
      <c r="AF73" s="271">
        <v>0</v>
      </c>
      <c r="AG73" s="69"/>
      <c r="AH73" s="72"/>
      <c r="AI73" s="273">
        <v>2.4900000000000002</v>
      </c>
      <c r="AJ73" s="267"/>
      <c r="AK73" s="268"/>
      <c r="AL73" s="212"/>
      <c r="AM73" s="207" t="s">
        <v>3380</v>
      </c>
      <c r="AN73" s="208"/>
      <c r="AO73" s="281"/>
    </row>
    <row r="74" spans="1:41" x14ac:dyDescent="0.25">
      <c r="A74" s="70" t="s">
        <v>913</v>
      </c>
      <c r="B74" s="271">
        <v>0</v>
      </c>
      <c r="C74" s="69"/>
      <c r="D74" s="56"/>
      <c r="E74" s="273">
        <v>0</v>
      </c>
      <c r="G74" s="267"/>
      <c r="H74" s="212"/>
      <c r="I74" s="207" t="s">
        <v>3380</v>
      </c>
      <c r="J74" s="208"/>
      <c r="K74" s="281"/>
      <c r="L74" s="271">
        <v>17.5</v>
      </c>
      <c r="M74" s="69"/>
      <c r="N74" s="56"/>
      <c r="O74" s="272">
        <v>2.4900000000000002</v>
      </c>
      <c r="Q74" s="267"/>
      <c r="R74" s="212"/>
      <c r="S74" s="207" t="s">
        <v>3380</v>
      </c>
      <c r="T74" s="208"/>
      <c r="U74" s="281"/>
      <c r="V74" s="271">
        <v>16.45</v>
      </c>
      <c r="W74" s="69"/>
      <c r="X74" s="56"/>
      <c r="Y74" s="272">
        <v>2.4900000000000002</v>
      </c>
      <c r="Z74" s="267"/>
      <c r="AA74" s="267"/>
      <c r="AB74" s="212">
        <v>2</v>
      </c>
      <c r="AC74" s="207" t="s">
        <v>3380</v>
      </c>
      <c r="AD74" s="208">
        <v>4</v>
      </c>
      <c r="AE74" s="281"/>
      <c r="AF74" s="271">
        <v>16.45</v>
      </c>
      <c r="AG74" s="69"/>
      <c r="AH74" s="56"/>
      <c r="AI74" s="272">
        <v>2.4900000000000002</v>
      </c>
      <c r="AJ74" s="267"/>
      <c r="AK74" s="267"/>
      <c r="AL74" s="212">
        <v>2</v>
      </c>
      <c r="AM74" s="207" t="s">
        <v>3380</v>
      </c>
      <c r="AN74" s="208">
        <v>4</v>
      </c>
      <c r="AO74" s="281"/>
    </row>
    <row r="75" spans="1:41" x14ac:dyDescent="0.25">
      <c r="A75" s="70" t="s">
        <v>912</v>
      </c>
      <c r="B75" s="271">
        <v>0</v>
      </c>
      <c r="C75" s="69"/>
      <c r="D75" s="72"/>
      <c r="E75" s="273">
        <v>0</v>
      </c>
      <c r="G75" s="268"/>
      <c r="H75" s="212"/>
      <c r="I75" s="207" t="s">
        <v>3380</v>
      </c>
      <c r="J75" s="208"/>
      <c r="K75" s="281"/>
      <c r="L75" s="271">
        <v>16</v>
      </c>
      <c r="M75" s="69"/>
      <c r="N75" s="72"/>
      <c r="O75" s="273">
        <v>2.29</v>
      </c>
      <c r="Q75" s="268"/>
      <c r="R75" s="212"/>
      <c r="S75" s="207" t="s">
        <v>3380</v>
      </c>
      <c r="T75" s="208"/>
      <c r="U75" s="281"/>
      <c r="V75" s="271">
        <v>14.6</v>
      </c>
      <c r="W75" s="69"/>
      <c r="X75" s="72"/>
      <c r="Y75" s="273">
        <v>2.29</v>
      </c>
      <c r="Z75" s="268"/>
      <c r="AA75" s="268"/>
      <c r="AB75" s="212">
        <v>2</v>
      </c>
      <c r="AC75" s="207" t="s">
        <v>3380</v>
      </c>
      <c r="AD75" s="208">
        <v>3.5</v>
      </c>
      <c r="AE75" s="281"/>
      <c r="AF75" s="271">
        <v>14.6</v>
      </c>
      <c r="AG75" s="69"/>
      <c r="AH75" s="72"/>
      <c r="AI75" s="273">
        <v>2.29</v>
      </c>
      <c r="AJ75" s="267"/>
      <c r="AK75" s="268"/>
      <c r="AL75" s="212">
        <v>2</v>
      </c>
      <c r="AM75" s="207" t="s">
        <v>3380</v>
      </c>
      <c r="AN75" s="208">
        <v>3.5</v>
      </c>
      <c r="AO75" s="281"/>
    </row>
    <row r="76" spans="1:41" x14ac:dyDescent="0.25">
      <c r="A76" s="106" t="s">
        <v>3163</v>
      </c>
      <c r="B76" s="271">
        <v>0</v>
      </c>
      <c r="C76" s="69"/>
      <c r="D76" s="107"/>
      <c r="E76" s="273">
        <v>0</v>
      </c>
      <c r="G76" s="267"/>
      <c r="H76" s="212"/>
      <c r="I76" s="207" t="s">
        <v>3380</v>
      </c>
      <c r="J76" s="208"/>
      <c r="K76" s="281"/>
      <c r="L76" s="271">
        <v>0</v>
      </c>
      <c r="M76" s="69"/>
      <c r="N76" s="107"/>
      <c r="O76" s="272">
        <v>0.99</v>
      </c>
      <c r="Q76" s="267"/>
      <c r="R76" s="212"/>
      <c r="S76" s="207" t="s">
        <v>3380</v>
      </c>
      <c r="T76" s="208"/>
      <c r="U76" s="281"/>
      <c r="V76" s="271">
        <v>0</v>
      </c>
      <c r="W76" s="69"/>
      <c r="X76" s="107"/>
      <c r="Y76" s="272">
        <v>0.99</v>
      </c>
      <c r="Z76" s="267"/>
      <c r="AA76" s="267"/>
      <c r="AB76" s="212"/>
      <c r="AC76" s="207" t="s">
        <v>3380</v>
      </c>
      <c r="AD76" s="208"/>
      <c r="AE76" s="281"/>
      <c r="AF76" s="271">
        <v>0</v>
      </c>
      <c r="AG76" s="69"/>
      <c r="AH76" s="107"/>
      <c r="AI76" s="272">
        <v>0.99</v>
      </c>
      <c r="AJ76" s="267"/>
      <c r="AK76" s="267"/>
      <c r="AL76" s="212"/>
      <c r="AM76" s="207" t="s">
        <v>3380</v>
      </c>
      <c r="AN76" s="208"/>
      <c r="AO76" s="281"/>
    </row>
    <row r="77" spans="1:41" x14ac:dyDescent="0.25">
      <c r="A77" s="106" t="s">
        <v>3164</v>
      </c>
      <c r="B77" s="271">
        <v>0</v>
      </c>
      <c r="C77" s="69"/>
      <c r="D77" s="107"/>
      <c r="E77" s="273">
        <v>0</v>
      </c>
      <c r="G77" s="267"/>
      <c r="H77" s="212"/>
      <c r="I77" s="207" t="s">
        <v>3380</v>
      </c>
      <c r="J77" s="208"/>
      <c r="K77" s="281"/>
      <c r="L77" s="271">
        <v>0</v>
      </c>
      <c r="M77" s="69"/>
      <c r="N77" s="107"/>
      <c r="O77" s="272">
        <v>1.19</v>
      </c>
      <c r="Q77" s="267"/>
      <c r="R77" s="212"/>
      <c r="S77" s="207" t="s">
        <v>3380</v>
      </c>
      <c r="T77" s="208"/>
      <c r="U77" s="281"/>
      <c r="V77" s="271">
        <v>0</v>
      </c>
      <c r="W77" s="69"/>
      <c r="X77" s="107"/>
      <c r="Y77" s="272">
        <v>1.19</v>
      </c>
      <c r="Z77" s="267"/>
      <c r="AA77" s="267"/>
      <c r="AB77" s="212"/>
      <c r="AC77" s="207" t="s">
        <v>3380</v>
      </c>
      <c r="AD77" s="208"/>
      <c r="AE77" s="281"/>
      <c r="AF77" s="271">
        <v>0</v>
      </c>
      <c r="AG77" s="69"/>
      <c r="AH77" s="107"/>
      <c r="AI77" s="272">
        <v>1.19</v>
      </c>
      <c r="AJ77" s="267"/>
      <c r="AK77" s="267"/>
      <c r="AL77" s="212"/>
      <c r="AM77" s="207" t="s">
        <v>3380</v>
      </c>
      <c r="AN77" s="208"/>
      <c r="AO77" s="281"/>
    </row>
    <row r="78" spans="1:41" ht="5.0999999999999996" customHeight="1" x14ac:dyDescent="0.25">
      <c r="A78" s="213">
        <v>0</v>
      </c>
      <c r="B78" s="71"/>
      <c r="C78" s="71"/>
      <c r="D78" s="56"/>
      <c r="E78" s="108"/>
      <c r="G78" s="108"/>
      <c r="H78" s="197"/>
      <c r="I78" s="134"/>
      <c r="J78" s="205"/>
      <c r="K78" s="281"/>
      <c r="L78" s="71"/>
      <c r="M78" s="71"/>
      <c r="N78" s="56"/>
      <c r="O78" s="108"/>
      <c r="Q78" s="108"/>
      <c r="R78" s="197"/>
      <c r="S78" s="134"/>
      <c r="T78" s="205"/>
      <c r="U78" s="281"/>
      <c r="V78" s="71"/>
      <c r="W78" s="71"/>
      <c r="X78" s="56"/>
      <c r="Y78" s="108"/>
      <c r="Z78" s="108"/>
      <c r="AA78" s="108"/>
      <c r="AB78" s="197"/>
      <c r="AC78" s="134"/>
      <c r="AD78" s="205"/>
      <c r="AE78" s="281"/>
      <c r="AF78" s="71"/>
      <c r="AG78" s="71"/>
      <c r="AH78" s="56"/>
      <c r="AI78" s="108"/>
      <c r="AJ78" s="267"/>
      <c r="AK78" s="108"/>
      <c r="AL78" s="197"/>
      <c r="AM78" s="134"/>
      <c r="AN78" s="205"/>
      <c r="AO78" s="281"/>
    </row>
    <row r="79" spans="1:41" ht="15.75" x14ac:dyDescent="0.25">
      <c r="A79" s="68"/>
      <c r="B79" s="71"/>
      <c r="C79" s="71"/>
      <c r="D79" s="56"/>
      <c r="E79" s="108"/>
      <c r="G79" s="108"/>
      <c r="H79" s="197"/>
      <c r="I79" s="134"/>
      <c r="J79" s="205"/>
      <c r="K79" s="281"/>
      <c r="L79" s="71"/>
      <c r="M79" s="71"/>
      <c r="N79" s="56"/>
      <c r="O79" s="108"/>
      <c r="Q79" s="108"/>
      <c r="R79" s="197"/>
      <c r="S79" s="134"/>
      <c r="T79" s="205"/>
      <c r="U79" s="281"/>
      <c r="V79" s="71"/>
      <c r="W79" s="71"/>
      <c r="X79" s="56"/>
      <c r="Y79" s="108"/>
      <c r="Z79" s="108"/>
      <c r="AA79" s="108"/>
      <c r="AB79" s="197"/>
      <c r="AC79" s="134"/>
      <c r="AD79" s="205"/>
      <c r="AE79" s="281"/>
      <c r="AF79" s="71"/>
      <c r="AG79" s="71"/>
      <c r="AH79" s="56"/>
      <c r="AI79" s="108"/>
      <c r="AJ79" s="267"/>
      <c r="AK79" s="108"/>
      <c r="AL79" s="197"/>
      <c r="AM79" s="134"/>
      <c r="AN79" s="205"/>
      <c r="AO79" s="281"/>
    </row>
    <row r="80" spans="1:41" x14ac:dyDescent="0.25">
      <c r="A80" s="70" t="s">
        <v>3496</v>
      </c>
      <c r="B80" s="271">
        <v>0</v>
      </c>
      <c r="C80" s="69"/>
      <c r="D80" s="72"/>
      <c r="E80" s="273">
        <v>0</v>
      </c>
      <c r="G80" s="268"/>
      <c r="H80" s="212"/>
      <c r="I80" s="207" t="s">
        <v>3380</v>
      </c>
      <c r="J80" s="208"/>
      <c r="K80" s="281"/>
      <c r="L80" s="271">
        <v>16.5</v>
      </c>
      <c r="M80" s="69"/>
      <c r="N80" s="72"/>
      <c r="O80" s="273">
        <v>2.29</v>
      </c>
      <c r="Q80" s="268"/>
      <c r="R80" s="212"/>
      <c r="S80" s="207" t="s">
        <v>3380</v>
      </c>
      <c r="T80" s="208"/>
      <c r="U80" s="281"/>
      <c r="V80" s="271">
        <v>15.5</v>
      </c>
      <c r="W80" s="69"/>
      <c r="X80" s="72"/>
      <c r="Y80" s="273">
        <v>2.29</v>
      </c>
      <c r="Z80" s="268"/>
      <c r="AA80" s="268"/>
      <c r="AB80" s="212">
        <v>2</v>
      </c>
      <c r="AC80" s="207" t="s">
        <v>3380</v>
      </c>
      <c r="AD80" s="208">
        <v>4</v>
      </c>
      <c r="AE80" s="281"/>
      <c r="AF80" s="271">
        <v>15.5</v>
      </c>
      <c r="AG80" s="69"/>
      <c r="AH80" s="72"/>
      <c r="AI80" s="273">
        <v>2.29</v>
      </c>
      <c r="AJ80" s="267"/>
      <c r="AK80" s="268"/>
      <c r="AL80" s="212">
        <v>2</v>
      </c>
      <c r="AM80" s="207" t="s">
        <v>3380</v>
      </c>
      <c r="AN80" s="208">
        <v>4</v>
      </c>
      <c r="AO80" s="281"/>
    </row>
    <row r="81" spans="1:41" x14ac:dyDescent="0.25">
      <c r="A81" s="70" t="s">
        <v>3185</v>
      </c>
      <c r="B81" s="271">
        <v>0</v>
      </c>
      <c r="C81" s="69"/>
      <c r="D81" s="72"/>
      <c r="E81" s="273">
        <v>0</v>
      </c>
      <c r="G81" s="268"/>
      <c r="H81" s="212"/>
      <c r="I81" s="207" t="s">
        <v>3380</v>
      </c>
      <c r="J81" s="208"/>
      <c r="K81" s="281"/>
      <c r="L81" s="271">
        <v>11.5</v>
      </c>
      <c r="M81" s="69"/>
      <c r="N81" s="72"/>
      <c r="O81" s="273">
        <v>1.59</v>
      </c>
      <c r="Q81" s="268"/>
      <c r="R81" s="212"/>
      <c r="S81" s="207" t="s">
        <v>3380</v>
      </c>
      <c r="T81" s="208"/>
      <c r="U81" s="281"/>
      <c r="V81" s="271">
        <v>10.1</v>
      </c>
      <c r="W81" s="69"/>
      <c r="X81" s="72"/>
      <c r="Y81" s="273">
        <v>1.59</v>
      </c>
      <c r="Z81" s="268"/>
      <c r="AA81" s="268"/>
      <c r="AB81" s="212">
        <v>2</v>
      </c>
      <c r="AC81" s="207" t="s">
        <v>3380</v>
      </c>
      <c r="AD81" s="208">
        <v>2.2200000000000002</v>
      </c>
      <c r="AE81" s="281"/>
      <c r="AF81" s="271">
        <v>9.5</v>
      </c>
      <c r="AG81" s="69"/>
      <c r="AH81" s="72"/>
      <c r="AI81" s="273">
        <v>1.49</v>
      </c>
      <c r="AJ81" s="267"/>
      <c r="AK81" s="268"/>
      <c r="AL81" s="212">
        <v>2</v>
      </c>
      <c r="AM81" s="207" t="s">
        <v>3380</v>
      </c>
      <c r="AN81" s="208">
        <v>2.2200000000000002</v>
      </c>
      <c r="AO81" s="281"/>
    </row>
    <row r="82" spans="1:41" x14ac:dyDescent="0.25">
      <c r="A82" s="70" t="s">
        <v>3186</v>
      </c>
      <c r="B82" s="271">
        <v>0</v>
      </c>
      <c r="C82" s="69"/>
      <c r="D82" s="72"/>
      <c r="E82" s="273">
        <v>0</v>
      </c>
      <c r="G82" s="268"/>
      <c r="H82" s="212"/>
      <c r="I82" s="207" t="s">
        <v>3380</v>
      </c>
      <c r="J82" s="208"/>
      <c r="K82" s="281"/>
      <c r="L82" s="271">
        <v>0</v>
      </c>
      <c r="M82" s="69"/>
      <c r="N82" s="72"/>
      <c r="O82" s="273">
        <v>5.99</v>
      </c>
      <c r="Q82" s="268"/>
      <c r="R82" s="212"/>
      <c r="S82" s="207" t="s">
        <v>3380</v>
      </c>
      <c r="T82" s="208"/>
      <c r="U82" s="281"/>
      <c r="V82" s="271">
        <v>0</v>
      </c>
      <c r="W82" s="69"/>
      <c r="X82" s="72"/>
      <c r="Y82" s="273">
        <v>5.99</v>
      </c>
      <c r="Z82" s="268"/>
      <c r="AA82" s="268"/>
      <c r="AB82" s="212"/>
      <c r="AC82" s="207" t="s">
        <v>3380</v>
      </c>
      <c r="AD82" s="208"/>
      <c r="AE82" s="281"/>
      <c r="AF82" s="271">
        <v>0</v>
      </c>
      <c r="AG82" s="69"/>
      <c r="AH82" s="72"/>
      <c r="AI82" s="273">
        <v>5.99</v>
      </c>
      <c r="AJ82" s="267"/>
      <c r="AK82" s="268"/>
      <c r="AL82" s="212"/>
      <c r="AM82" s="207" t="s">
        <v>3380</v>
      </c>
      <c r="AN82" s="208"/>
      <c r="AO82" s="281"/>
    </row>
    <row r="83" spans="1:41" x14ac:dyDescent="0.25">
      <c r="A83" s="70" t="s">
        <v>3187</v>
      </c>
      <c r="B83" s="271">
        <v>0</v>
      </c>
      <c r="C83" s="69"/>
      <c r="D83" s="72"/>
      <c r="E83" s="273">
        <v>0</v>
      </c>
      <c r="G83" s="268"/>
      <c r="H83" s="212"/>
      <c r="I83" s="207" t="s">
        <v>3380</v>
      </c>
      <c r="J83" s="208"/>
      <c r="K83" s="281"/>
      <c r="L83" s="271">
        <v>0</v>
      </c>
      <c r="M83" s="69"/>
      <c r="N83" s="72"/>
      <c r="O83" s="273">
        <v>2.4900000000000002</v>
      </c>
      <c r="Q83" s="268"/>
      <c r="R83" s="212"/>
      <c r="S83" s="207" t="s">
        <v>3380</v>
      </c>
      <c r="T83" s="208"/>
      <c r="U83" s="281"/>
      <c r="V83" s="271">
        <v>0</v>
      </c>
      <c r="W83" s="69"/>
      <c r="X83" s="72"/>
      <c r="Y83" s="273">
        <v>2.4900000000000002</v>
      </c>
      <c r="Z83" s="268"/>
      <c r="AA83" s="268"/>
      <c r="AB83" s="212"/>
      <c r="AC83" s="207" t="s">
        <v>3380</v>
      </c>
      <c r="AD83" s="208"/>
      <c r="AE83" s="281"/>
      <c r="AF83" s="271">
        <v>0</v>
      </c>
      <c r="AG83" s="69"/>
      <c r="AH83" s="72"/>
      <c r="AI83" s="273">
        <v>2.4900000000000002</v>
      </c>
      <c r="AJ83" s="267"/>
      <c r="AK83" s="268"/>
      <c r="AL83" s="212"/>
      <c r="AM83" s="207" t="s">
        <v>3380</v>
      </c>
      <c r="AN83" s="208"/>
      <c r="AO83" s="281"/>
    </row>
    <row r="84" spans="1:41" x14ac:dyDescent="0.25">
      <c r="A84" s="70" t="s">
        <v>3192</v>
      </c>
      <c r="B84" s="271">
        <v>0</v>
      </c>
      <c r="C84" s="69"/>
      <c r="D84" s="72"/>
      <c r="E84" s="273">
        <v>0</v>
      </c>
      <c r="G84" s="268"/>
      <c r="H84" s="212"/>
      <c r="I84" s="207" t="s">
        <v>3380</v>
      </c>
      <c r="J84" s="208"/>
      <c r="K84" s="281"/>
      <c r="L84" s="271">
        <v>0</v>
      </c>
      <c r="M84" s="69"/>
      <c r="N84" s="72"/>
      <c r="O84" s="273">
        <v>0.79</v>
      </c>
      <c r="Q84" s="268"/>
      <c r="R84" s="212"/>
      <c r="S84" s="207" t="s">
        <v>3380</v>
      </c>
      <c r="T84" s="208"/>
      <c r="U84" s="281"/>
      <c r="V84" s="271">
        <v>0</v>
      </c>
      <c r="W84" s="69"/>
      <c r="X84" s="72"/>
      <c r="Y84" s="273">
        <v>0.79</v>
      </c>
      <c r="Z84" s="268"/>
      <c r="AA84" s="268"/>
      <c r="AB84" s="212"/>
      <c r="AC84" s="207" t="s">
        <v>3380</v>
      </c>
      <c r="AD84" s="208"/>
      <c r="AE84" s="281"/>
      <c r="AF84" s="271">
        <v>0</v>
      </c>
      <c r="AG84" s="69"/>
      <c r="AH84" s="72"/>
      <c r="AI84" s="273">
        <v>0.79</v>
      </c>
      <c r="AJ84" s="267"/>
      <c r="AK84" s="268"/>
      <c r="AL84" s="212"/>
      <c r="AM84" s="207" t="s">
        <v>3380</v>
      </c>
      <c r="AN84" s="208"/>
      <c r="AO84" s="281"/>
    </row>
    <row r="85" spans="1:41" x14ac:dyDescent="0.25">
      <c r="A85" s="70" t="s">
        <v>3193</v>
      </c>
      <c r="B85" s="271">
        <v>0</v>
      </c>
      <c r="C85" s="69"/>
      <c r="D85" s="72"/>
      <c r="E85" s="273">
        <v>0</v>
      </c>
      <c r="G85" s="268"/>
      <c r="H85" s="212"/>
      <c r="I85" s="207" t="s">
        <v>3380</v>
      </c>
      <c r="J85" s="208"/>
      <c r="K85" s="281"/>
      <c r="L85" s="271">
        <v>0</v>
      </c>
      <c r="M85" s="69"/>
      <c r="N85" s="72"/>
      <c r="O85" s="273">
        <v>3.99</v>
      </c>
      <c r="Q85" s="268"/>
      <c r="R85" s="212"/>
      <c r="S85" s="207" t="s">
        <v>3380</v>
      </c>
      <c r="T85" s="208"/>
      <c r="U85" s="281"/>
      <c r="V85" s="271">
        <v>0</v>
      </c>
      <c r="W85" s="69"/>
      <c r="X85" s="72"/>
      <c r="Y85" s="273">
        <v>3.99</v>
      </c>
      <c r="Z85" s="268"/>
      <c r="AA85" s="268"/>
      <c r="AB85" s="212"/>
      <c r="AC85" s="207" t="s">
        <v>3380</v>
      </c>
      <c r="AD85" s="208"/>
      <c r="AE85" s="281"/>
      <c r="AF85" s="271">
        <v>0</v>
      </c>
      <c r="AG85" s="69"/>
      <c r="AH85" s="72"/>
      <c r="AI85" s="273">
        <v>3.99</v>
      </c>
      <c r="AJ85" s="267"/>
      <c r="AK85" s="268"/>
      <c r="AL85" s="212"/>
      <c r="AM85" s="207" t="s">
        <v>3380</v>
      </c>
      <c r="AN85" s="208"/>
      <c r="AO85" s="281"/>
    </row>
    <row r="86" spans="1:41" x14ac:dyDescent="0.25">
      <c r="A86" s="70" t="s">
        <v>902</v>
      </c>
      <c r="B86" s="271">
        <v>0</v>
      </c>
      <c r="C86" s="69"/>
      <c r="D86" s="72"/>
      <c r="E86" s="273">
        <v>0</v>
      </c>
      <c r="G86" s="268"/>
      <c r="H86" s="212"/>
      <c r="I86" s="207" t="s">
        <v>3380</v>
      </c>
      <c r="J86" s="208"/>
      <c r="K86" s="281"/>
      <c r="L86" s="271">
        <v>11.5</v>
      </c>
      <c r="M86" s="69"/>
      <c r="N86" s="72"/>
      <c r="O86" s="273">
        <v>1.59</v>
      </c>
      <c r="Q86" s="268"/>
      <c r="R86" s="212"/>
      <c r="S86" s="207" t="s">
        <v>3380</v>
      </c>
      <c r="T86" s="208"/>
      <c r="U86" s="281"/>
      <c r="V86" s="271">
        <v>10.1</v>
      </c>
      <c r="W86" s="69"/>
      <c r="X86" s="72"/>
      <c r="Y86" s="273">
        <v>1.59</v>
      </c>
      <c r="Z86" s="268"/>
      <c r="AA86" s="268"/>
      <c r="AB86" s="212">
        <v>2</v>
      </c>
      <c r="AC86" s="207" t="s">
        <v>3380</v>
      </c>
      <c r="AD86" s="208">
        <v>2.2200000000000002</v>
      </c>
      <c r="AE86" s="281"/>
      <c r="AF86" s="271">
        <v>9.5</v>
      </c>
      <c r="AG86" s="69"/>
      <c r="AH86" s="72"/>
      <c r="AI86" s="273">
        <v>1.49</v>
      </c>
      <c r="AJ86" s="267"/>
      <c r="AK86" s="268"/>
      <c r="AL86" s="212">
        <v>2</v>
      </c>
      <c r="AM86" s="207" t="s">
        <v>3380</v>
      </c>
      <c r="AN86" s="208">
        <v>2.2200000000000002</v>
      </c>
      <c r="AO86" s="281"/>
    </row>
    <row r="87" spans="1:41" x14ac:dyDescent="0.25">
      <c r="A87" s="70" t="s">
        <v>3189</v>
      </c>
      <c r="B87" s="271">
        <v>0</v>
      </c>
      <c r="C87" s="69"/>
      <c r="D87" s="72"/>
      <c r="E87" s="273">
        <v>0</v>
      </c>
      <c r="G87" s="268"/>
      <c r="H87" s="212"/>
      <c r="I87" s="207" t="s">
        <v>3380</v>
      </c>
      <c r="J87" s="208"/>
      <c r="K87" s="281"/>
      <c r="L87" s="271">
        <v>0</v>
      </c>
      <c r="M87" s="69"/>
      <c r="N87" s="72"/>
      <c r="O87" s="273">
        <v>1.33</v>
      </c>
      <c r="Q87" s="268"/>
      <c r="R87" s="212"/>
      <c r="S87" s="207" t="s">
        <v>3380</v>
      </c>
      <c r="T87" s="208"/>
      <c r="U87" s="281"/>
      <c r="V87" s="271">
        <v>0</v>
      </c>
      <c r="W87" s="69"/>
      <c r="X87" s="72"/>
      <c r="Y87" s="273">
        <v>1.33</v>
      </c>
      <c r="Z87" s="268"/>
      <c r="AA87" s="268"/>
      <c r="AB87" s="212"/>
      <c r="AC87" s="207" t="s">
        <v>3380</v>
      </c>
      <c r="AD87" s="208"/>
      <c r="AE87" s="281"/>
      <c r="AF87" s="271">
        <v>0</v>
      </c>
      <c r="AG87" s="69"/>
      <c r="AH87" s="72"/>
      <c r="AI87" s="273">
        <v>1.33</v>
      </c>
      <c r="AJ87" s="267"/>
      <c r="AK87" s="268"/>
      <c r="AL87" s="212"/>
      <c r="AM87" s="207" t="s">
        <v>3380</v>
      </c>
      <c r="AN87" s="208"/>
      <c r="AO87" s="281"/>
    </row>
    <row r="88" spans="1:41" x14ac:dyDescent="0.25">
      <c r="A88" s="70" t="s">
        <v>3190</v>
      </c>
      <c r="B88" s="271">
        <v>0</v>
      </c>
      <c r="C88" s="69"/>
      <c r="D88" s="72"/>
      <c r="E88" s="273">
        <v>0</v>
      </c>
      <c r="G88" s="268"/>
      <c r="H88" s="212"/>
      <c r="I88" s="207" t="s">
        <v>3380</v>
      </c>
      <c r="J88" s="208"/>
      <c r="K88" s="281"/>
      <c r="L88" s="271">
        <v>0</v>
      </c>
      <c r="M88" s="69"/>
      <c r="N88" s="72"/>
      <c r="O88" s="273">
        <v>5.99</v>
      </c>
      <c r="Q88" s="268"/>
      <c r="R88" s="212"/>
      <c r="S88" s="207" t="s">
        <v>3380</v>
      </c>
      <c r="T88" s="208"/>
      <c r="U88" s="281"/>
      <c r="V88" s="271">
        <v>0</v>
      </c>
      <c r="W88" s="69"/>
      <c r="X88" s="72"/>
      <c r="Y88" s="273">
        <v>5.99</v>
      </c>
      <c r="Z88" s="268"/>
      <c r="AA88" s="268"/>
      <c r="AB88" s="212"/>
      <c r="AC88" s="207" t="s">
        <v>3380</v>
      </c>
      <c r="AD88" s="208"/>
      <c r="AE88" s="281"/>
      <c r="AF88" s="271">
        <v>0</v>
      </c>
      <c r="AG88" s="69"/>
      <c r="AH88" s="72"/>
      <c r="AI88" s="273">
        <v>5.99</v>
      </c>
      <c r="AJ88" s="267"/>
      <c r="AK88" s="268"/>
      <c r="AL88" s="212"/>
      <c r="AM88" s="207" t="s">
        <v>3380</v>
      </c>
      <c r="AN88" s="208"/>
      <c r="AO88" s="281"/>
    </row>
    <row r="89" spans="1:41" x14ac:dyDescent="0.25">
      <c r="A89" s="70" t="s">
        <v>3191</v>
      </c>
      <c r="B89" s="271">
        <v>0</v>
      </c>
      <c r="C89" s="69"/>
      <c r="D89" s="72"/>
      <c r="E89" s="273">
        <v>0</v>
      </c>
      <c r="G89" s="268"/>
      <c r="H89" s="212"/>
      <c r="I89" s="207" t="s">
        <v>3380</v>
      </c>
      <c r="J89" s="208"/>
      <c r="K89" s="281"/>
      <c r="L89" s="271">
        <v>0</v>
      </c>
      <c r="M89" s="69"/>
      <c r="N89" s="72"/>
      <c r="O89" s="273">
        <v>11.99</v>
      </c>
      <c r="Q89" s="268"/>
      <c r="R89" s="212"/>
      <c r="S89" s="207" t="s">
        <v>3380</v>
      </c>
      <c r="T89" s="208"/>
      <c r="U89" s="281"/>
      <c r="V89" s="271">
        <v>0</v>
      </c>
      <c r="W89" s="69"/>
      <c r="X89" s="72"/>
      <c r="Y89" s="273">
        <v>11.99</v>
      </c>
      <c r="Z89" s="268"/>
      <c r="AA89" s="268"/>
      <c r="AB89" s="212"/>
      <c r="AC89" s="207" t="s">
        <v>3380</v>
      </c>
      <c r="AD89" s="208"/>
      <c r="AE89" s="281"/>
      <c r="AF89" s="271">
        <v>0</v>
      </c>
      <c r="AG89" s="69"/>
      <c r="AH89" s="72"/>
      <c r="AI89" s="273">
        <v>11.99</v>
      </c>
      <c r="AJ89" s="267"/>
      <c r="AK89" s="268"/>
      <c r="AL89" s="212"/>
      <c r="AM89" s="207" t="s">
        <v>3380</v>
      </c>
      <c r="AN89" s="208"/>
      <c r="AO89" s="281"/>
    </row>
    <row r="90" spans="1:41" x14ac:dyDescent="0.25">
      <c r="A90" s="70" t="s">
        <v>3188</v>
      </c>
      <c r="B90" s="271">
        <v>0</v>
      </c>
      <c r="C90" s="69"/>
      <c r="D90" s="72"/>
      <c r="E90" s="273">
        <v>0</v>
      </c>
      <c r="G90" s="268"/>
      <c r="H90" s="212"/>
      <c r="I90" s="207" t="s">
        <v>3380</v>
      </c>
      <c r="J90" s="208"/>
      <c r="K90" s="281"/>
      <c r="L90" s="271">
        <v>0</v>
      </c>
      <c r="M90" s="69"/>
      <c r="N90" s="72"/>
      <c r="O90" s="273">
        <v>1.39</v>
      </c>
      <c r="Q90" s="268"/>
      <c r="R90" s="212"/>
      <c r="S90" s="207" t="s">
        <v>3380</v>
      </c>
      <c r="T90" s="208"/>
      <c r="U90" s="281"/>
      <c r="V90" s="271">
        <v>0</v>
      </c>
      <c r="W90" s="69"/>
      <c r="X90" s="72"/>
      <c r="Y90" s="273">
        <v>1.39</v>
      </c>
      <c r="Z90" s="268"/>
      <c r="AA90" s="268"/>
      <c r="AB90" s="212"/>
      <c r="AC90" s="207" t="s">
        <v>3380</v>
      </c>
      <c r="AD90" s="208"/>
      <c r="AE90" s="281"/>
      <c r="AF90" s="271">
        <v>0</v>
      </c>
      <c r="AG90" s="69"/>
      <c r="AH90" s="72"/>
      <c r="AI90" s="273">
        <v>1.39</v>
      </c>
      <c r="AJ90" s="267"/>
      <c r="AK90" s="268"/>
      <c r="AL90" s="212"/>
      <c r="AM90" s="207" t="s">
        <v>3380</v>
      </c>
      <c r="AN90" s="208"/>
      <c r="AO90" s="281"/>
    </row>
    <row r="91" spans="1:41" x14ac:dyDescent="0.25">
      <c r="A91" s="70" t="s">
        <v>903</v>
      </c>
      <c r="B91" s="271">
        <v>0</v>
      </c>
      <c r="C91" s="69"/>
      <c r="D91" s="72"/>
      <c r="E91" s="273">
        <v>0</v>
      </c>
      <c r="G91" s="268"/>
      <c r="H91" s="212"/>
      <c r="I91" s="207" t="s">
        <v>3380</v>
      </c>
      <c r="J91" s="208"/>
      <c r="K91" s="281"/>
      <c r="L91" s="271">
        <v>14</v>
      </c>
      <c r="M91" s="69"/>
      <c r="N91" s="72"/>
      <c r="O91" s="273">
        <v>1.99</v>
      </c>
      <c r="Q91" s="268"/>
      <c r="R91" s="212"/>
      <c r="S91" s="207" t="s">
        <v>3380</v>
      </c>
      <c r="T91" s="208"/>
      <c r="U91" s="281"/>
      <c r="V91" s="271">
        <v>12.5</v>
      </c>
      <c r="W91" s="69"/>
      <c r="X91" s="72"/>
      <c r="Y91" s="273">
        <v>1.99</v>
      </c>
      <c r="Z91" s="268"/>
      <c r="AA91" s="268"/>
      <c r="AB91" s="212">
        <v>2</v>
      </c>
      <c r="AC91" s="207" t="s">
        <v>3380</v>
      </c>
      <c r="AD91" s="208">
        <v>3</v>
      </c>
      <c r="AE91" s="281"/>
      <c r="AF91" s="271">
        <v>12.5</v>
      </c>
      <c r="AG91" s="69"/>
      <c r="AH91" s="72"/>
      <c r="AI91" s="273">
        <v>1.99</v>
      </c>
      <c r="AJ91" s="267"/>
      <c r="AK91" s="268"/>
      <c r="AL91" s="212">
        <v>2</v>
      </c>
      <c r="AM91" s="207" t="s">
        <v>3380</v>
      </c>
      <c r="AN91" s="208">
        <v>3</v>
      </c>
      <c r="AO91" s="281"/>
    </row>
    <row r="92" spans="1:41" x14ac:dyDescent="0.25">
      <c r="A92" s="70" t="s">
        <v>904</v>
      </c>
      <c r="B92" s="271">
        <v>0</v>
      </c>
      <c r="C92" s="69"/>
      <c r="D92" s="72"/>
      <c r="E92" s="273">
        <v>0</v>
      </c>
      <c r="G92" s="268"/>
      <c r="H92" s="212"/>
      <c r="I92" s="207" t="s">
        <v>3380</v>
      </c>
      <c r="J92" s="208"/>
      <c r="K92" s="281"/>
      <c r="L92" s="271">
        <v>0</v>
      </c>
      <c r="M92" s="69"/>
      <c r="N92" s="72"/>
      <c r="O92" s="273">
        <v>2.4900000000000002</v>
      </c>
      <c r="Q92" s="268"/>
      <c r="R92" s="212"/>
      <c r="S92" s="207" t="s">
        <v>3380</v>
      </c>
      <c r="T92" s="208"/>
      <c r="U92" s="281"/>
      <c r="V92" s="271">
        <v>0</v>
      </c>
      <c r="W92" s="69"/>
      <c r="X92" s="72"/>
      <c r="Y92" s="273">
        <v>2.4900000000000002</v>
      </c>
      <c r="Z92" s="268"/>
      <c r="AA92" s="268"/>
      <c r="AB92" s="212"/>
      <c r="AC92" s="207" t="s">
        <v>3380</v>
      </c>
      <c r="AD92" s="208"/>
      <c r="AE92" s="281"/>
      <c r="AF92" s="271">
        <v>0</v>
      </c>
      <c r="AG92" s="69"/>
      <c r="AH92" s="72"/>
      <c r="AI92" s="273">
        <v>2.4900000000000002</v>
      </c>
      <c r="AJ92" s="267"/>
      <c r="AK92" s="268"/>
      <c r="AL92" s="212"/>
      <c r="AM92" s="207" t="s">
        <v>3380</v>
      </c>
      <c r="AN92" s="208"/>
      <c r="AO92" s="281"/>
    </row>
    <row r="93" spans="1:41" x14ac:dyDescent="0.25">
      <c r="A93" s="70" t="s">
        <v>3194</v>
      </c>
      <c r="B93" s="271">
        <v>0</v>
      </c>
      <c r="C93" s="69"/>
      <c r="D93" s="72"/>
      <c r="E93" s="273">
        <v>0</v>
      </c>
      <c r="G93" s="268"/>
      <c r="H93" s="212"/>
      <c r="I93" s="207" t="s">
        <v>3380</v>
      </c>
      <c r="J93" s="208"/>
      <c r="K93" s="281"/>
      <c r="L93" s="271">
        <v>0</v>
      </c>
      <c r="M93" s="69"/>
      <c r="N93" s="72"/>
      <c r="O93" s="273">
        <v>0.99</v>
      </c>
      <c r="Q93" s="268"/>
      <c r="R93" s="212"/>
      <c r="S93" s="207" t="s">
        <v>3380</v>
      </c>
      <c r="T93" s="208"/>
      <c r="U93" s="281"/>
      <c r="V93" s="271">
        <v>0</v>
      </c>
      <c r="W93" s="69"/>
      <c r="X93" s="72"/>
      <c r="Y93" s="273">
        <v>0.99</v>
      </c>
      <c r="Z93" s="268"/>
      <c r="AA93" s="268"/>
      <c r="AB93" s="212"/>
      <c r="AC93" s="207" t="s">
        <v>3380</v>
      </c>
      <c r="AD93" s="208"/>
      <c r="AE93" s="281"/>
      <c r="AF93" s="271">
        <v>0</v>
      </c>
      <c r="AG93" s="69"/>
      <c r="AH93" s="72"/>
      <c r="AI93" s="273">
        <v>0.99</v>
      </c>
      <c r="AJ93" s="267"/>
      <c r="AK93" s="268"/>
      <c r="AL93" s="212"/>
      <c r="AM93" s="207" t="s">
        <v>3380</v>
      </c>
      <c r="AN93" s="208"/>
      <c r="AO93" s="281"/>
    </row>
    <row r="94" spans="1:41" x14ac:dyDescent="0.25">
      <c r="A94" s="70" t="s">
        <v>3258</v>
      </c>
      <c r="B94" s="271">
        <v>0</v>
      </c>
      <c r="C94" s="69"/>
      <c r="D94" s="72"/>
      <c r="E94" s="273">
        <v>0</v>
      </c>
      <c r="G94" s="268"/>
      <c r="H94" s="212"/>
      <c r="I94" s="207" t="s">
        <v>3380</v>
      </c>
      <c r="J94" s="208"/>
      <c r="K94" s="281"/>
      <c r="L94" s="271">
        <v>0</v>
      </c>
      <c r="M94" s="69"/>
      <c r="N94" s="72"/>
      <c r="O94" s="273">
        <v>0.99</v>
      </c>
      <c r="Q94" s="268"/>
      <c r="R94" s="212"/>
      <c r="S94" s="207" t="s">
        <v>3380</v>
      </c>
      <c r="T94" s="208"/>
      <c r="U94" s="281"/>
      <c r="V94" s="271">
        <v>0</v>
      </c>
      <c r="W94" s="69"/>
      <c r="X94" s="72"/>
      <c r="Y94" s="273">
        <v>0.99</v>
      </c>
      <c r="Z94" s="268"/>
      <c r="AA94" s="268"/>
      <c r="AB94" s="212"/>
      <c r="AC94" s="207" t="s">
        <v>3380</v>
      </c>
      <c r="AD94" s="208"/>
      <c r="AE94" s="281"/>
      <c r="AF94" s="271">
        <v>0</v>
      </c>
      <c r="AG94" s="69"/>
      <c r="AH94" s="72"/>
      <c r="AI94" s="273">
        <v>0.99</v>
      </c>
      <c r="AJ94" s="267"/>
      <c r="AK94" s="268"/>
      <c r="AL94" s="212"/>
      <c r="AM94" s="207" t="s">
        <v>3380</v>
      </c>
      <c r="AN94" s="208"/>
      <c r="AO94" s="281"/>
    </row>
    <row r="95" spans="1:41" x14ac:dyDescent="0.25">
      <c r="A95" s="70" t="s">
        <v>3259</v>
      </c>
      <c r="B95" s="271">
        <v>0</v>
      </c>
      <c r="C95" s="69"/>
      <c r="D95" s="72"/>
      <c r="E95" s="273">
        <v>0</v>
      </c>
      <c r="G95" s="268"/>
      <c r="H95" s="212"/>
      <c r="I95" s="207" t="s">
        <v>3380</v>
      </c>
      <c r="J95" s="208"/>
      <c r="K95" s="281"/>
      <c r="L95" s="271">
        <v>0</v>
      </c>
      <c r="M95" s="69"/>
      <c r="N95" s="72"/>
      <c r="O95" s="273">
        <v>1.0900000000000001</v>
      </c>
      <c r="Q95" s="268"/>
      <c r="R95" s="212"/>
      <c r="S95" s="207" t="s">
        <v>3380</v>
      </c>
      <c r="T95" s="208"/>
      <c r="U95" s="281"/>
      <c r="V95" s="271">
        <v>0</v>
      </c>
      <c r="W95" s="69"/>
      <c r="X95" s="72"/>
      <c r="Y95" s="273">
        <v>1.0900000000000001</v>
      </c>
      <c r="Z95" s="268"/>
      <c r="AA95" s="268"/>
      <c r="AB95" s="212"/>
      <c r="AC95" s="207" t="s">
        <v>3380</v>
      </c>
      <c r="AD95" s="208"/>
      <c r="AE95" s="281"/>
      <c r="AF95" s="271">
        <v>0</v>
      </c>
      <c r="AG95" s="69"/>
      <c r="AH95" s="72"/>
      <c r="AI95" s="273">
        <v>1.0900000000000001</v>
      </c>
      <c r="AJ95" s="267"/>
      <c r="AK95" s="268"/>
      <c r="AL95" s="212"/>
      <c r="AM95" s="207" t="s">
        <v>3380</v>
      </c>
      <c r="AN95" s="208"/>
      <c r="AO95" s="281"/>
    </row>
    <row r="96" spans="1:41" x14ac:dyDescent="0.25">
      <c r="A96" s="70" t="s">
        <v>3195</v>
      </c>
      <c r="B96" s="271">
        <v>0</v>
      </c>
      <c r="C96" s="69"/>
      <c r="D96" s="72"/>
      <c r="E96" s="273">
        <v>0</v>
      </c>
      <c r="G96" s="268"/>
      <c r="H96" s="212"/>
      <c r="I96" s="207" t="s">
        <v>3380</v>
      </c>
      <c r="J96" s="208"/>
      <c r="K96" s="281"/>
      <c r="L96" s="271">
        <v>0</v>
      </c>
      <c r="M96" s="69"/>
      <c r="N96" s="72"/>
      <c r="O96" s="273">
        <v>0.99</v>
      </c>
      <c r="Q96" s="268"/>
      <c r="R96" s="212"/>
      <c r="S96" s="207" t="s">
        <v>3380</v>
      </c>
      <c r="T96" s="208"/>
      <c r="U96" s="281"/>
      <c r="V96" s="271">
        <v>0</v>
      </c>
      <c r="W96" s="69"/>
      <c r="X96" s="72"/>
      <c r="Y96" s="273">
        <v>0.99</v>
      </c>
      <c r="Z96" s="268"/>
      <c r="AA96" s="268"/>
      <c r="AB96" s="212"/>
      <c r="AC96" s="207" t="s">
        <v>3380</v>
      </c>
      <c r="AD96" s="208"/>
      <c r="AE96" s="281"/>
      <c r="AF96" s="271">
        <v>0</v>
      </c>
      <c r="AG96" s="69"/>
      <c r="AH96" s="72"/>
      <c r="AI96" s="273">
        <v>0.99</v>
      </c>
      <c r="AJ96" s="267"/>
      <c r="AK96" s="268"/>
      <c r="AL96" s="212"/>
      <c r="AM96" s="207" t="s">
        <v>3380</v>
      </c>
      <c r="AN96" s="208"/>
      <c r="AO96" s="281"/>
    </row>
    <row r="97" spans="1:41" x14ac:dyDescent="0.25">
      <c r="A97" s="70" t="s">
        <v>3196</v>
      </c>
      <c r="B97" s="271">
        <v>0</v>
      </c>
      <c r="C97" s="69"/>
      <c r="D97" s="72"/>
      <c r="E97" s="273">
        <v>0</v>
      </c>
      <c r="G97" s="268"/>
      <c r="H97" s="212"/>
      <c r="I97" s="207" t="s">
        <v>3380</v>
      </c>
      <c r="J97" s="208"/>
      <c r="K97" s="281"/>
      <c r="L97" s="271">
        <v>0</v>
      </c>
      <c r="M97" s="69"/>
      <c r="N97" s="72"/>
      <c r="O97" s="273">
        <v>0.99</v>
      </c>
      <c r="Q97" s="268"/>
      <c r="R97" s="212"/>
      <c r="S97" s="207" t="s">
        <v>3380</v>
      </c>
      <c r="T97" s="208"/>
      <c r="U97" s="281"/>
      <c r="V97" s="271">
        <v>0</v>
      </c>
      <c r="W97" s="69"/>
      <c r="X97" s="72"/>
      <c r="Y97" s="273">
        <v>0.99</v>
      </c>
      <c r="Z97" s="268"/>
      <c r="AA97" s="268"/>
      <c r="AB97" s="212"/>
      <c r="AC97" s="207" t="s">
        <v>3380</v>
      </c>
      <c r="AD97" s="208"/>
      <c r="AE97" s="281"/>
      <c r="AF97" s="271">
        <v>0</v>
      </c>
      <c r="AG97" s="69"/>
      <c r="AH97" s="72"/>
      <c r="AI97" s="273">
        <v>0.99</v>
      </c>
      <c r="AJ97" s="267"/>
      <c r="AK97" s="268"/>
      <c r="AL97" s="212"/>
      <c r="AM97" s="207" t="s">
        <v>3380</v>
      </c>
      <c r="AN97" s="208"/>
      <c r="AO97" s="281"/>
    </row>
    <row r="98" spans="1:41" x14ac:dyDescent="0.25">
      <c r="A98" s="70" t="s">
        <v>3197</v>
      </c>
      <c r="B98" s="271">
        <v>0</v>
      </c>
      <c r="C98" s="69"/>
      <c r="D98" s="72"/>
      <c r="E98" s="273">
        <v>0</v>
      </c>
      <c r="G98" s="268"/>
      <c r="H98" s="212"/>
      <c r="I98" s="207" t="s">
        <v>3380</v>
      </c>
      <c r="J98" s="208"/>
      <c r="K98" s="281"/>
      <c r="L98" s="271">
        <v>0</v>
      </c>
      <c r="M98" s="69"/>
      <c r="N98" s="72"/>
      <c r="O98" s="273">
        <v>2.29</v>
      </c>
      <c r="Q98" s="268"/>
      <c r="R98" s="212"/>
      <c r="S98" s="207" t="s">
        <v>3380</v>
      </c>
      <c r="T98" s="208"/>
      <c r="U98" s="281"/>
      <c r="V98" s="271">
        <v>0</v>
      </c>
      <c r="W98" s="69"/>
      <c r="X98" s="72"/>
      <c r="Y98" s="273">
        <v>2.29</v>
      </c>
      <c r="Z98" s="268"/>
      <c r="AA98" s="268"/>
      <c r="AB98" s="212"/>
      <c r="AC98" s="207" t="s">
        <v>3380</v>
      </c>
      <c r="AD98" s="208"/>
      <c r="AE98" s="281"/>
      <c r="AF98" s="271">
        <v>0</v>
      </c>
      <c r="AG98" s="69"/>
      <c r="AH98" s="72"/>
      <c r="AI98" s="273">
        <v>2.29</v>
      </c>
      <c r="AJ98" s="267"/>
      <c r="AK98" s="268"/>
      <c r="AL98" s="212"/>
      <c r="AM98" s="207" t="s">
        <v>3380</v>
      </c>
      <c r="AN98" s="208"/>
      <c r="AO98" s="281"/>
    </row>
    <row r="99" spans="1:41" x14ac:dyDescent="0.25">
      <c r="A99" s="70" t="s">
        <v>3237</v>
      </c>
      <c r="B99" s="271">
        <v>0</v>
      </c>
      <c r="C99" s="69"/>
      <c r="D99" s="72"/>
      <c r="E99" s="273">
        <v>0</v>
      </c>
      <c r="G99" s="268"/>
      <c r="H99" s="212"/>
      <c r="I99" s="207" t="s">
        <v>3380</v>
      </c>
      <c r="J99" s="208"/>
      <c r="K99" s="281"/>
      <c r="L99" s="271">
        <v>0</v>
      </c>
      <c r="M99" s="69"/>
      <c r="N99" s="72"/>
      <c r="O99" s="273">
        <v>3.99</v>
      </c>
      <c r="Q99" s="268"/>
      <c r="R99" s="212"/>
      <c r="S99" s="207" t="s">
        <v>3380</v>
      </c>
      <c r="T99" s="208"/>
      <c r="U99" s="281"/>
      <c r="V99" s="271">
        <v>0</v>
      </c>
      <c r="W99" s="69"/>
      <c r="X99" s="72"/>
      <c r="Y99" s="273">
        <v>3.99</v>
      </c>
      <c r="Z99" s="268"/>
      <c r="AA99" s="268"/>
      <c r="AB99" s="212"/>
      <c r="AC99" s="207" t="s">
        <v>3380</v>
      </c>
      <c r="AD99" s="208"/>
      <c r="AE99" s="281"/>
      <c r="AF99" s="271">
        <v>0</v>
      </c>
      <c r="AG99" s="69"/>
      <c r="AH99" s="72"/>
      <c r="AI99" s="273">
        <v>3.99</v>
      </c>
      <c r="AJ99" s="267"/>
      <c r="AK99" s="268"/>
      <c r="AL99" s="212"/>
      <c r="AM99" s="207" t="s">
        <v>3380</v>
      </c>
      <c r="AN99" s="208"/>
      <c r="AO99" s="281"/>
    </row>
    <row r="100" spans="1:41" x14ac:dyDescent="0.25">
      <c r="A100" s="70" t="s">
        <v>3198</v>
      </c>
      <c r="B100" s="271">
        <v>0</v>
      </c>
      <c r="C100" s="69"/>
      <c r="D100" s="72"/>
      <c r="E100" s="273">
        <v>0</v>
      </c>
      <c r="G100" s="268"/>
      <c r="H100" s="212"/>
      <c r="I100" s="207" t="s">
        <v>3380</v>
      </c>
      <c r="J100" s="208"/>
      <c r="K100" s="281"/>
      <c r="L100" s="271">
        <v>0</v>
      </c>
      <c r="M100" s="69"/>
      <c r="N100" s="72"/>
      <c r="O100" s="273">
        <v>1.19</v>
      </c>
      <c r="Q100" s="268"/>
      <c r="R100" s="212"/>
      <c r="S100" s="207" t="s">
        <v>3380</v>
      </c>
      <c r="T100" s="208"/>
      <c r="U100" s="281"/>
      <c r="V100" s="271">
        <v>0</v>
      </c>
      <c r="W100" s="69"/>
      <c r="X100" s="72"/>
      <c r="Y100" s="273">
        <v>1.19</v>
      </c>
      <c r="Z100" s="268"/>
      <c r="AA100" s="268"/>
      <c r="AB100" s="212"/>
      <c r="AC100" s="207" t="s">
        <v>3380</v>
      </c>
      <c r="AD100" s="208"/>
      <c r="AE100" s="281"/>
      <c r="AF100" s="271">
        <v>0</v>
      </c>
      <c r="AG100" s="69"/>
      <c r="AH100" s="72"/>
      <c r="AI100" s="273">
        <v>1.19</v>
      </c>
      <c r="AJ100" s="267"/>
      <c r="AK100" s="268"/>
      <c r="AL100" s="212"/>
      <c r="AM100" s="207" t="s">
        <v>3380</v>
      </c>
      <c r="AN100" s="208"/>
      <c r="AO100" s="281"/>
    </row>
    <row r="101" spans="1:41" x14ac:dyDescent="0.25">
      <c r="A101" s="70" t="s">
        <v>3199</v>
      </c>
      <c r="B101" s="271">
        <v>0</v>
      </c>
      <c r="C101" s="69"/>
      <c r="D101" s="72"/>
      <c r="E101" s="273">
        <v>0</v>
      </c>
      <c r="G101" s="268"/>
      <c r="H101" s="212"/>
      <c r="I101" s="207" t="s">
        <v>3380</v>
      </c>
      <c r="J101" s="208"/>
      <c r="K101" s="281"/>
      <c r="L101" s="271">
        <v>0</v>
      </c>
      <c r="M101" s="69"/>
      <c r="N101" s="72"/>
      <c r="O101" s="273">
        <v>1.0900000000000001</v>
      </c>
      <c r="Q101" s="268"/>
      <c r="R101" s="212"/>
      <c r="S101" s="207" t="s">
        <v>3380</v>
      </c>
      <c r="T101" s="208"/>
      <c r="U101" s="281"/>
      <c r="V101" s="271">
        <v>0</v>
      </c>
      <c r="W101" s="69"/>
      <c r="X101" s="72"/>
      <c r="Y101" s="273">
        <v>1.0900000000000001</v>
      </c>
      <c r="Z101" s="268"/>
      <c r="AA101" s="268"/>
      <c r="AB101" s="212"/>
      <c r="AC101" s="207" t="s">
        <v>3380</v>
      </c>
      <c r="AD101" s="208"/>
      <c r="AE101" s="281"/>
      <c r="AF101" s="271">
        <v>0</v>
      </c>
      <c r="AG101" s="69"/>
      <c r="AH101" s="72"/>
      <c r="AI101" s="273">
        <v>1.0900000000000001</v>
      </c>
      <c r="AJ101" s="267"/>
      <c r="AK101" s="268"/>
      <c r="AL101" s="212"/>
      <c r="AM101" s="207" t="s">
        <v>3380</v>
      </c>
      <c r="AN101" s="208"/>
      <c r="AO101" s="281"/>
    </row>
    <row r="102" spans="1:41" x14ac:dyDescent="0.25">
      <c r="A102" s="70" t="s">
        <v>905</v>
      </c>
      <c r="B102" s="271">
        <v>0</v>
      </c>
      <c r="C102" s="69"/>
      <c r="D102" s="72"/>
      <c r="E102" s="273">
        <v>0</v>
      </c>
      <c r="G102" s="268"/>
      <c r="H102" s="212"/>
      <c r="I102" s="207" t="s">
        <v>3380</v>
      </c>
      <c r="J102" s="208"/>
      <c r="K102" s="281"/>
      <c r="L102" s="271">
        <v>11.5</v>
      </c>
      <c r="M102" s="69"/>
      <c r="N102" s="72"/>
      <c r="O102" s="273">
        <v>1.59</v>
      </c>
      <c r="Q102" s="268"/>
      <c r="R102" s="212"/>
      <c r="S102" s="207" t="s">
        <v>3380</v>
      </c>
      <c r="T102" s="208"/>
      <c r="U102" s="281"/>
      <c r="V102" s="271">
        <v>10</v>
      </c>
      <c r="W102" s="69"/>
      <c r="X102" s="72"/>
      <c r="Y102" s="273">
        <v>1.59</v>
      </c>
      <c r="Z102" s="268"/>
      <c r="AA102" s="268"/>
      <c r="AB102" s="212">
        <v>2</v>
      </c>
      <c r="AC102" s="207" t="s">
        <v>3380</v>
      </c>
      <c r="AD102" s="208">
        <v>2.2200000000000002</v>
      </c>
      <c r="AE102" s="281"/>
      <c r="AF102" s="271">
        <v>10</v>
      </c>
      <c r="AG102" s="69"/>
      <c r="AH102" s="72"/>
      <c r="AI102" s="273">
        <v>1.59</v>
      </c>
      <c r="AJ102" s="267"/>
      <c r="AK102" s="268"/>
      <c r="AL102" s="212">
        <v>2</v>
      </c>
      <c r="AM102" s="207" t="s">
        <v>3380</v>
      </c>
      <c r="AN102" s="208">
        <v>2.2200000000000002</v>
      </c>
      <c r="AO102" s="281"/>
    </row>
    <row r="103" spans="1:41" x14ac:dyDescent="0.25">
      <c r="A103" s="70" t="s">
        <v>3202</v>
      </c>
      <c r="B103" s="271">
        <v>0</v>
      </c>
      <c r="C103" s="69"/>
      <c r="D103" s="72"/>
      <c r="E103" s="273">
        <v>0</v>
      </c>
      <c r="G103" s="268"/>
      <c r="H103" s="212"/>
      <c r="I103" s="207" t="s">
        <v>3380</v>
      </c>
      <c r="J103" s="208"/>
      <c r="K103" s="281"/>
      <c r="L103" s="271">
        <v>0</v>
      </c>
      <c r="M103" s="69"/>
      <c r="N103" s="72"/>
      <c r="O103" s="273">
        <v>0.79</v>
      </c>
      <c r="Q103" s="268"/>
      <c r="R103" s="212"/>
      <c r="S103" s="207" t="s">
        <v>3380</v>
      </c>
      <c r="T103" s="208"/>
      <c r="U103" s="281"/>
      <c r="V103" s="271">
        <v>0</v>
      </c>
      <c r="W103" s="69"/>
      <c r="X103" s="72"/>
      <c r="Y103" s="273">
        <v>0.79</v>
      </c>
      <c r="Z103" s="268"/>
      <c r="AA103" s="268"/>
      <c r="AB103" s="212"/>
      <c r="AC103" s="207" t="s">
        <v>3380</v>
      </c>
      <c r="AD103" s="208"/>
      <c r="AE103" s="281"/>
      <c r="AF103" s="271">
        <v>0</v>
      </c>
      <c r="AG103" s="69"/>
      <c r="AH103" s="72"/>
      <c r="AI103" s="273">
        <v>0.79</v>
      </c>
      <c r="AJ103" s="267"/>
      <c r="AK103" s="268"/>
      <c r="AL103" s="212"/>
      <c r="AM103" s="207" t="s">
        <v>3380</v>
      </c>
      <c r="AN103" s="208"/>
      <c r="AO103" s="281"/>
    </row>
    <row r="104" spans="1:41" x14ac:dyDescent="0.25">
      <c r="A104" s="70" t="s">
        <v>3702</v>
      </c>
      <c r="B104" s="271">
        <v>0</v>
      </c>
      <c r="C104" s="69"/>
      <c r="D104" s="72"/>
      <c r="E104" s="273">
        <v>0</v>
      </c>
      <c r="G104" s="268"/>
      <c r="H104" s="212"/>
      <c r="I104" s="207" t="s">
        <v>3380</v>
      </c>
      <c r="J104" s="208"/>
      <c r="K104" s="281"/>
      <c r="L104" s="271">
        <v>0</v>
      </c>
      <c r="M104" s="69"/>
      <c r="N104" s="72"/>
      <c r="O104" s="273">
        <v>1.99</v>
      </c>
      <c r="Q104" s="268"/>
      <c r="R104" s="212"/>
      <c r="S104" s="207" t="s">
        <v>3380</v>
      </c>
      <c r="T104" s="208"/>
      <c r="U104" s="281"/>
      <c r="V104" s="271">
        <v>0</v>
      </c>
      <c r="W104" s="69"/>
      <c r="X104" s="72"/>
      <c r="Y104" s="273">
        <v>1.99</v>
      </c>
      <c r="Z104" s="268"/>
      <c r="AA104" s="268"/>
      <c r="AB104" s="212"/>
      <c r="AC104" s="207" t="s">
        <v>3380</v>
      </c>
      <c r="AD104" s="208"/>
      <c r="AE104" s="281"/>
      <c r="AF104" s="271">
        <v>0</v>
      </c>
      <c r="AG104" s="69"/>
      <c r="AH104" s="72"/>
      <c r="AI104" s="273">
        <v>1.99</v>
      </c>
      <c r="AJ104" s="267"/>
      <c r="AK104" s="268"/>
      <c r="AL104" s="212"/>
      <c r="AM104" s="207" t="s">
        <v>3380</v>
      </c>
      <c r="AN104" s="208"/>
      <c r="AO104" s="281"/>
    </row>
    <row r="105" spans="1:41" x14ac:dyDescent="0.25">
      <c r="A105" s="70" t="s">
        <v>3201</v>
      </c>
      <c r="B105" s="271">
        <v>0</v>
      </c>
      <c r="C105" s="69"/>
      <c r="D105" s="72"/>
      <c r="E105" s="273">
        <v>0</v>
      </c>
      <c r="G105" s="268"/>
      <c r="H105" s="212"/>
      <c r="I105" s="207" t="s">
        <v>3380</v>
      </c>
      <c r="J105" s="208"/>
      <c r="K105" s="281"/>
      <c r="L105" s="271">
        <v>0</v>
      </c>
      <c r="M105" s="69"/>
      <c r="N105" s="72"/>
      <c r="O105" s="273">
        <v>1.49</v>
      </c>
      <c r="Q105" s="268"/>
      <c r="R105" s="212"/>
      <c r="S105" s="207" t="s">
        <v>3380</v>
      </c>
      <c r="T105" s="208"/>
      <c r="U105" s="281"/>
      <c r="V105" s="271">
        <v>0</v>
      </c>
      <c r="W105" s="69"/>
      <c r="X105" s="72"/>
      <c r="Y105" s="273">
        <v>1.49</v>
      </c>
      <c r="Z105" s="268"/>
      <c r="AA105" s="268"/>
      <c r="AB105" s="212"/>
      <c r="AC105" s="207" t="s">
        <v>3380</v>
      </c>
      <c r="AD105" s="208"/>
      <c r="AE105" s="281"/>
      <c r="AF105" s="271">
        <v>0</v>
      </c>
      <c r="AG105" s="69"/>
      <c r="AH105" s="72"/>
      <c r="AI105" s="273">
        <v>1.49</v>
      </c>
      <c r="AJ105" s="267"/>
      <c r="AK105" s="268"/>
      <c r="AL105" s="212"/>
      <c r="AM105" s="207" t="s">
        <v>3380</v>
      </c>
      <c r="AN105" s="208"/>
      <c r="AO105" s="281"/>
    </row>
    <row r="106" spans="1:41" x14ac:dyDescent="0.25">
      <c r="A106" s="70" t="s">
        <v>3206</v>
      </c>
      <c r="B106" s="271">
        <v>0</v>
      </c>
      <c r="C106" s="69"/>
      <c r="D106" s="72"/>
      <c r="E106" s="273">
        <v>0</v>
      </c>
      <c r="G106" s="268"/>
      <c r="H106" s="212"/>
      <c r="I106" s="207" t="s">
        <v>3380</v>
      </c>
      <c r="J106" s="208"/>
      <c r="K106" s="281"/>
      <c r="L106" s="271">
        <v>0</v>
      </c>
      <c r="M106" s="69"/>
      <c r="N106" s="72"/>
      <c r="O106" s="273">
        <v>3.99</v>
      </c>
      <c r="Q106" s="268"/>
      <c r="R106" s="212"/>
      <c r="S106" s="207" t="s">
        <v>3380</v>
      </c>
      <c r="T106" s="208"/>
      <c r="U106" s="281"/>
      <c r="V106" s="271">
        <v>0</v>
      </c>
      <c r="W106" s="69"/>
      <c r="X106" s="72"/>
      <c r="Y106" s="273">
        <v>3.99</v>
      </c>
      <c r="Z106" s="268"/>
      <c r="AA106" s="268"/>
      <c r="AB106" s="212"/>
      <c r="AC106" s="207" t="s">
        <v>3380</v>
      </c>
      <c r="AD106" s="208"/>
      <c r="AE106" s="281"/>
      <c r="AF106" s="271">
        <v>0</v>
      </c>
      <c r="AG106" s="69"/>
      <c r="AH106" s="72"/>
      <c r="AI106" s="273">
        <v>3.99</v>
      </c>
      <c r="AJ106" s="267"/>
      <c r="AK106" s="268"/>
      <c r="AL106" s="212"/>
      <c r="AM106" s="207" t="s">
        <v>3380</v>
      </c>
      <c r="AN106" s="208"/>
      <c r="AO106" s="281"/>
    </row>
    <row r="107" spans="1:41" x14ac:dyDescent="0.25">
      <c r="A107" s="70" t="s">
        <v>3262</v>
      </c>
      <c r="B107" s="271">
        <v>0</v>
      </c>
      <c r="C107" s="69"/>
      <c r="D107" s="72"/>
      <c r="E107" s="273">
        <v>0</v>
      </c>
      <c r="G107" s="268"/>
      <c r="H107" s="212"/>
      <c r="I107" s="207" t="s">
        <v>3380</v>
      </c>
      <c r="J107" s="208"/>
      <c r="K107" s="281"/>
      <c r="L107" s="271">
        <v>0</v>
      </c>
      <c r="M107" s="69"/>
      <c r="N107" s="72"/>
      <c r="O107" s="273">
        <v>4.49</v>
      </c>
      <c r="Q107" s="268"/>
      <c r="R107" s="212"/>
      <c r="S107" s="207" t="s">
        <v>3380</v>
      </c>
      <c r="T107" s="208"/>
      <c r="U107" s="281"/>
      <c r="V107" s="271">
        <v>0</v>
      </c>
      <c r="W107" s="69"/>
      <c r="X107" s="72"/>
      <c r="Y107" s="273">
        <v>4.49</v>
      </c>
      <c r="Z107" s="268"/>
      <c r="AA107" s="268"/>
      <c r="AB107" s="212"/>
      <c r="AC107" s="207" t="s">
        <v>3380</v>
      </c>
      <c r="AD107" s="208"/>
      <c r="AE107" s="281"/>
      <c r="AF107" s="271">
        <v>0</v>
      </c>
      <c r="AG107" s="69"/>
      <c r="AH107" s="72"/>
      <c r="AI107" s="273">
        <v>4.49</v>
      </c>
      <c r="AJ107" s="267"/>
      <c r="AK107" s="268"/>
      <c r="AL107" s="212"/>
      <c r="AM107" s="207" t="s">
        <v>3380</v>
      </c>
      <c r="AN107" s="208"/>
      <c r="AO107" s="281"/>
    </row>
    <row r="108" spans="1:41" x14ac:dyDescent="0.25">
      <c r="A108" s="70" t="s">
        <v>3203</v>
      </c>
      <c r="B108" s="271">
        <v>0</v>
      </c>
      <c r="C108" s="69"/>
      <c r="D108" s="72"/>
      <c r="E108" s="273">
        <v>0</v>
      </c>
      <c r="G108" s="268"/>
      <c r="H108" s="212"/>
      <c r="I108" s="207" t="s">
        <v>3380</v>
      </c>
      <c r="J108" s="208"/>
      <c r="K108" s="281"/>
      <c r="L108" s="271">
        <v>0</v>
      </c>
      <c r="M108" s="69"/>
      <c r="N108" s="72"/>
      <c r="O108" s="273">
        <v>1.29</v>
      </c>
      <c r="Q108" s="268"/>
      <c r="R108" s="212"/>
      <c r="S108" s="207" t="s">
        <v>3380</v>
      </c>
      <c r="T108" s="208"/>
      <c r="U108" s="281"/>
      <c r="V108" s="271">
        <v>0</v>
      </c>
      <c r="W108" s="69"/>
      <c r="X108" s="72"/>
      <c r="Y108" s="273">
        <v>1.29</v>
      </c>
      <c r="Z108" s="268"/>
      <c r="AA108" s="268"/>
      <c r="AB108" s="212"/>
      <c r="AC108" s="207" t="s">
        <v>3380</v>
      </c>
      <c r="AD108" s="208"/>
      <c r="AE108" s="281"/>
      <c r="AF108" s="271">
        <v>0</v>
      </c>
      <c r="AG108" s="69"/>
      <c r="AH108" s="72"/>
      <c r="AI108" s="273">
        <v>1.29</v>
      </c>
      <c r="AJ108" s="267"/>
      <c r="AK108" s="268"/>
      <c r="AL108" s="212"/>
      <c r="AM108" s="207" t="s">
        <v>3380</v>
      </c>
      <c r="AN108" s="208"/>
      <c r="AO108" s="281"/>
    </row>
    <row r="109" spans="1:41" x14ac:dyDescent="0.25">
      <c r="A109" s="70" t="s">
        <v>3204</v>
      </c>
      <c r="B109" s="271">
        <v>0</v>
      </c>
      <c r="C109" s="69"/>
      <c r="D109" s="72"/>
      <c r="E109" s="273">
        <v>0</v>
      </c>
      <c r="G109" s="268"/>
      <c r="H109" s="212"/>
      <c r="I109" s="207" t="s">
        <v>3380</v>
      </c>
      <c r="J109" s="208"/>
      <c r="K109" s="281"/>
      <c r="L109" s="271">
        <v>0</v>
      </c>
      <c r="M109" s="69"/>
      <c r="N109" s="72"/>
      <c r="O109" s="273">
        <v>1.99</v>
      </c>
      <c r="Q109" s="268"/>
      <c r="R109" s="212"/>
      <c r="S109" s="207" t="s">
        <v>3380</v>
      </c>
      <c r="T109" s="208"/>
      <c r="U109" s="281"/>
      <c r="V109" s="271">
        <v>0</v>
      </c>
      <c r="W109" s="69"/>
      <c r="X109" s="72"/>
      <c r="Y109" s="273">
        <v>1.99</v>
      </c>
      <c r="Z109" s="268"/>
      <c r="AA109" s="268"/>
      <c r="AB109" s="212"/>
      <c r="AC109" s="207" t="s">
        <v>3380</v>
      </c>
      <c r="AD109" s="208"/>
      <c r="AE109" s="281"/>
      <c r="AF109" s="271">
        <v>0</v>
      </c>
      <c r="AG109" s="69"/>
      <c r="AH109" s="72"/>
      <c r="AI109" s="273">
        <v>1.99</v>
      </c>
      <c r="AJ109" s="267"/>
      <c r="AK109" s="268"/>
      <c r="AL109" s="212"/>
      <c r="AM109" s="207" t="s">
        <v>3380</v>
      </c>
      <c r="AN109" s="208"/>
      <c r="AO109" s="281"/>
    </row>
    <row r="110" spans="1:41" x14ac:dyDescent="0.25">
      <c r="A110" s="70" t="s">
        <v>3205</v>
      </c>
      <c r="B110" s="271">
        <v>0</v>
      </c>
      <c r="C110" s="69"/>
      <c r="D110" s="72"/>
      <c r="E110" s="273">
        <v>0</v>
      </c>
      <c r="G110" s="268"/>
      <c r="H110" s="212"/>
      <c r="I110" s="207" t="s">
        <v>3380</v>
      </c>
      <c r="J110" s="208"/>
      <c r="K110" s="281"/>
      <c r="L110" s="271">
        <v>0</v>
      </c>
      <c r="M110" s="69"/>
      <c r="N110" s="72"/>
      <c r="O110" s="273">
        <v>2.4900000000000002</v>
      </c>
      <c r="Q110" s="268"/>
      <c r="R110" s="212"/>
      <c r="S110" s="207" t="s">
        <v>3380</v>
      </c>
      <c r="T110" s="208"/>
      <c r="U110" s="281"/>
      <c r="V110" s="271">
        <v>0</v>
      </c>
      <c r="W110" s="69"/>
      <c r="X110" s="72"/>
      <c r="Y110" s="273">
        <v>2.4900000000000002</v>
      </c>
      <c r="Z110" s="268"/>
      <c r="AA110" s="268"/>
      <c r="AB110" s="212"/>
      <c r="AC110" s="207" t="s">
        <v>3380</v>
      </c>
      <c r="AD110" s="208"/>
      <c r="AE110" s="281"/>
      <c r="AF110" s="271">
        <v>0</v>
      </c>
      <c r="AG110" s="69"/>
      <c r="AH110" s="72"/>
      <c r="AI110" s="273">
        <v>2.4900000000000002</v>
      </c>
      <c r="AJ110" s="267"/>
      <c r="AK110" s="268"/>
      <c r="AL110" s="212"/>
      <c r="AM110" s="207" t="s">
        <v>3380</v>
      </c>
      <c r="AN110" s="208"/>
      <c r="AO110" s="281"/>
    </row>
    <row r="111" spans="1:41" x14ac:dyDescent="0.25">
      <c r="A111" s="70" t="s">
        <v>908</v>
      </c>
      <c r="B111" s="271">
        <v>0</v>
      </c>
      <c r="C111" s="69"/>
      <c r="D111" s="72"/>
      <c r="E111" s="273">
        <v>0</v>
      </c>
      <c r="G111" s="268"/>
      <c r="H111" s="212"/>
      <c r="I111" s="207" t="s">
        <v>3380</v>
      </c>
      <c r="J111" s="208"/>
      <c r="K111" s="281"/>
      <c r="L111" s="271">
        <v>0</v>
      </c>
      <c r="M111" s="69"/>
      <c r="N111" s="72"/>
      <c r="O111" s="273">
        <v>3.99</v>
      </c>
      <c r="Q111" s="268"/>
      <c r="R111" s="212"/>
      <c r="S111" s="207" t="s">
        <v>3380</v>
      </c>
      <c r="T111" s="208"/>
      <c r="U111" s="281"/>
      <c r="V111" s="271">
        <v>0</v>
      </c>
      <c r="W111" s="69"/>
      <c r="X111" s="72"/>
      <c r="Y111" s="273">
        <v>3.99</v>
      </c>
      <c r="Z111" s="268"/>
      <c r="AA111" s="268"/>
      <c r="AB111" s="212"/>
      <c r="AC111" s="207" t="s">
        <v>3380</v>
      </c>
      <c r="AD111" s="208"/>
      <c r="AE111" s="281"/>
      <c r="AF111" s="271">
        <v>0</v>
      </c>
      <c r="AG111" s="69"/>
      <c r="AH111" s="72"/>
      <c r="AI111" s="273">
        <v>3.99</v>
      </c>
      <c r="AJ111" s="267"/>
      <c r="AK111" s="268"/>
      <c r="AL111" s="212"/>
      <c r="AM111" s="207" t="s">
        <v>3380</v>
      </c>
      <c r="AN111" s="208"/>
      <c r="AO111" s="281"/>
    </row>
    <row r="112" spans="1:41" x14ac:dyDescent="0.25">
      <c r="A112" s="70" t="s">
        <v>907</v>
      </c>
      <c r="B112" s="271">
        <v>0</v>
      </c>
      <c r="C112" s="69"/>
      <c r="D112" s="72"/>
      <c r="E112" s="273">
        <v>0</v>
      </c>
      <c r="G112" s="268"/>
      <c r="H112" s="212"/>
      <c r="I112" s="207" t="s">
        <v>3380</v>
      </c>
      <c r="J112" s="208"/>
      <c r="K112" s="281"/>
      <c r="L112" s="271">
        <v>0</v>
      </c>
      <c r="M112" s="69"/>
      <c r="N112" s="72"/>
      <c r="O112" s="273">
        <v>1.69</v>
      </c>
      <c r="Q112" s="268"/>
      <c r="R112" s="212"/>
      <c r="S112" s="207" t="s">
        <v>3380</v>
      </c>
      <c r="T112" s="208"/>
      <c r="U112" s="281"/>
      <c r="V112" s="271">
        <v>0</v>
      </c>
      <c r="W112" s="69"/>
      <c r="X112" s="72"/>
      <c r="Y112" s="273">
        <v>1.69</v>
      </c>
      <c r="Z112" s="268"/>
      <c r="AA112" s="268"/>
      <c r="AB112" s="212"/>
      <c r="AC112" s="207" t="s">
        <v>3380</v>
      </c>
      <c r="AD112" s="208"/>
      <c r="AE112" s="281"/>
      <c r="AF112" s="271">
        <v>0</v>
      </c>
      <c r="AG112" s="69"/>
      <c r="AH112" s="72"/>
      <c r="AI112" s="273">
        <v>1.69</v>
      </c>
      <c r="AJ112" s="267"/>
      <c r="AK112" s="268"/>
      <c r="AL112" s="212"/>
      <c r="AM112" s="207" t="s">
        <v>3380</v>
      </c>
      <c r="AN112" s="208"/>
      <c r="AO112" s="281"/>
    </row>
    <row r="113" spans="1:41" x14ac:dyDescent="0.25">
      <c r="A113" s="70" t="s">
        <v>906</v>
      </c>
      <c r="B113" s="271">
        <v>0</v>
      </c>
      <c r="C113" s="69"/>
      <c r="D113" s="72"/>
      <c r="E113" s="273">
        <v>0</v>
      </c>
      <c r="G113" s="268"/>
      <c r="H113" s="212"/>
      <c r="I113" s="207" t="s">
        <v>3380</v>
      </c>
      <c r="J113" s="208"/>
      <c r="K113" s="281"/>
      <c r="L113" s="271">
        <v>0</v>
      </c>
      <c r="M113" s="69"/>
      <c r="N113" s="72"/>
      <c r="O113" s="273">
        <v>1.79</v>
      </c>
      <c r="Q113" s="268"/>
      <c r="R113" s="212"/>
      <c r="S113" s="207" t="s">
        <v>3380</v>
      </c>
      <c r="T113" s="208"/>
      <c r="U113" s="281"/>
      <c r="V113" s="271">
        <v>0</v>
      </c>
      <c r="W113" s="69"/>
      <c r="X113" s="72"/>
      <c r="Y113" s="273">
        <v>1.79</v>
      </c>
      <c r="Z113" s="268"/>
      <c r="AA113" s="268"/>
      <c r="AB113" s="212"/>
      <c r="AC113" s="207" t="s">
        <v>3380</v>
      </c>
      <c r="AD113" s="208"/>
      <c r="AE113" s="281"/>
      <c r="AF113" s="271">
        <v>0</v>
      </c>
      <c r="AG113" s="69"/>
      <c r="AH113" s="72"/>
      <c r="AI113" s="273">
        <v>1.79</v>
      </c>
      <c r="AJ113" s="267"/>
      <c r="AK113" s="268"/>
      <c r="AL113" s="212"/>
      <c r="AM113" s="207" t="s">
        <v>3380</v>
      </c>
      <c r="AN113" s="208"/>
      <c r="AO113" s="281"/>
    </row>
    <row r="114" spans="1:41" x14ac:dyDescent="0.25">
      <c r="A114" s="70" t="s">
        <v>3207</v>
      </c>
      <c r="B114" s="271">
        <v>0</v>
      </c>
      <c r="C114" s="69"/>
      <c r="D114" s="72"/>
      <c r="E114" s="273">
        <v>0</v>
      </c>
      <c r="G114" s="268"/>
      <c r="H114" s="212"/>
      <c r="I114" s="207" t="s">
        <v>3380</v>
      </c>
      <c r="J114" s="208"/>
      <c r="K114" s="281"/>
      <c r="L114" s="271">
        <v>0</v>
      </c>
      <c r="M114" s="69"/>
      <c r="N114" s="72"/>
      <c r="O114" s="273">
        <v>2.79</v>
      </c>
      <c r="Q114" s="268"/>
      <c r="R114" s="212"/>
      <c r="S114" s="207" t="s">
        <v>3380</v>
      </c>
      <c r="T114" s="208"/>
      <c r="U114" s="281"/>
      <c r="V114" s="271">
        <v>0</v>
      </c>
      <c r="W114" s="69"/>
      <c r="X114" s="72"/>
      <c r="Y114" s="273">
        <v>2.79</v>
      </c>
      <c r="Z114" s="268"/>
      <c r="AA114" s="268"/>
      <c r="AB114" s="212"/>
      <c r="AC114" s="207" t="s">
        <v>3380</v>
      </c>
      <c r="AD114" s="208"/>
      <c r="AE114" s="281"/>
      <c r="AF114" s="271">
        <v>0</v>
      </c>
      <c r="AG114" s="69"/>
      <c r="AH114" s="72"/>
      <c r="AI114" s="273">
        <v>2.79</v>
      </c>
      <c r="AJ114" s="267"/>
      <c r="AK114" s="268"/>
      <c r="AL114" s="212"/>
      <c r="AM114" s="207" t="s">
        <v>3380</v>
      </c>
      <c r="AN114" s="208"/>
      <c r="AO114" s="281"/>
    </row>
    <row r="115" spans="1:41" x14ac:dyDescent="0.25">
      <c r="A115" s="70" t="s">
        <v>3208</v>
      </c>
      <c r="B115" s="271">
        <v>0</v>
      </c>
      <c r="C115" s="69"/>
      <c r="D115" s="72"/>
      <c r="E115" s="273">
        <v>0</v>
      </c>
      <c r="G115" s="268"/>
      <c r="H115" s="212"/>
      <c r="I115" s="207" t="s">
        <v>3380</v>
      </c>
      <c r="J115" s="208"/>
      <c r="K115" s="281"/>
      <c r="L115" s="271">
        <v>0</v>
      </c>
      <c r="M115" s="69"/>
      <c r="N115" s="72"/>
      <c r="O115" s="273">
        <v>4.49</v>
      </c>
      <c r="Q115" s="268"/>
      <c r="R115" s="212"/>
      <c r="S115" s="207" t="s">
        <v>3380</v>
      </c>
      <c r="T115" s="208"/>
      <c r="U115" s="281"/>
      <c r="V115" s="271">
        <v>0</v>
      </c>
      <c r="W115" s="69"/>
      <c r="X115" s="72"/>
      <c r="Y115" s="273">
        <v>4.49</v>
      </c>
      <c r="Z115" s="268"/>
      <c r="AA115" s="268"/>
      <c r="AB115" s="212"/>
      <c r="AC115" s="207" t="s">
        <v>3380</v>
      </c>
      <c r="AD115" s="208"/>
      <c r="AE115" s="281"/>
      <c r="AF115" s="271">
        <v>0</v>
      </c>
      <c r="AG115" s="69"/>
      <c r="AH115" s="72"/>
      <c r="AI115" s="273">
        <v>4.49</v>
      </c>
      <c r="AJ115" s="267"/>
      <c r="AK115" s="268"/>
      <c r="AL115" s="212"/>
      <c r="AM115" s="207" t="s">
        <v>3380</v>
      </c>
      <c r="AN115" s="208"/>
      <c r="AO115" s="281"/>
    </row>
    <row r="116" spans="1:41" ht="5.0999999999999996" customHeight="1" x14ac:dyDescent="0.25">
      <c r="A116" s="213">
        <v>0</v>
      </c>
      <c r="B116" s="71"/>
      <c r="C116" s="71"/>
      <c r="D116" s="56"/>
      <c r="E116" s="108"/>
      <c r="G116" s="108"/>
      <c r="H116" s="197"/>
      <c r="I116" s="134"/>
      <c r="J116" s="205"/>
      <c r="K116" s="281"/>
      <c r="L116" s="71"/>
      <c r="M116" s="71"/>
      <c r="N116" s="56"/>
      <c r="O116" s="108"/>
      <c r="Q116" s="108"/>
      <c r="R116" s="197"/>
      <c r="S116" s="134"/>
      <c r="T116" s="205"/>
      <c r="U116" s="281"/>
      <c r="V116" s="71"/>
      <c r="W116" s="71"/>
      <c r="X116" s="56"/>
      <c r="Y116" s="108"/>
      <c r="Z116" s="108"/>
      <c r="AA116" s="108"/>
      <c r="AB116" s="197"/>
      <c r="AC116" s="134"/>
      <c r="AD116" s="205"/>
      <c r="AE116" s="281"/>
      <c r="AF116" s="71"/>
      <c r="AG116" s="71"/>
      <c r="AH116" s="56"/>
      <c r="AI116" s="108"/>
      <c r="AJ116" s="267"/>
      <c r="AK116" s="108"/>
      <c r="AL116" s="197"/>
      <c r="AM116" s="134"/>
      <c r="AN116" s="205"/>
      <c r="AO116" s="281"/>
    </row>
    <row r="117" spans="1:41" ht="15.75" x14ac:dyDescent="0.25">
      <c r="A117" s="68"/>
      <c r="B117" s="71"/>
      <c r="C117" s="71"/>
      <c r="D117" s="56"/>
      <c r="E117" s="108"/>
      <c r="G117" s="108"/>
      <c r="H117" s="197"/>
      <c r="I117" s="134"/>
      <c r="J117" s="205"/>
      <c r="K117" s="281"/>
      <c r="L117" s="71"/>
      <c r="M117" s="71"/>
      <c r="N117" s="56"/>
      <c r="O117" s="108"/>
      <c r="Q117" s="108"/>
      <c r="R117" s="197"/>
      <c r="S117" s="134"/>
      <c r="T117" s="205"/>
      <c r="U117" s="281"/>
      <c r="V117" s="71"/>
      <c r="W117" s="71"/>
      <c r="X117" s="56"/>
      <c r="Y117" s="108"/>
      <c r="Z117" s="108"/>
      <c r="AA117" s="108"/>
      <c r="AB117" s="197"/>
      <c r="AC117" s="134"/>
      <c r="AD117" s="205"/>
      <c r="AE117" s="281"/>
      <c r="AF117" s="71"/>
      <c r="AG117" s="71"/>
      <c r="AH117" s="56"/>
      <c r="AI117" s="108"/>
      <c r="AJ117" s="267"/>
      <c r="AK117" s="108"/>
      <c r="AL117" s="197"/>
      <c r="AM117" s="134"/>
      <c r="AN117" s="205"/>
      <c r="AO117" s="281"/>
    </row>
    <row r="118" spans="1:41" x14ac:dyDescent="0.25">
      <c r="A118" s="70" t="s">
        <v>3970</v>
      </c>
      <c r="B118" s="271">
        <v>0</v>
      </c>
      <c r="C118" s="69"/>
      <c r="D118" s="72"/>
      <c r="E118" s="273">
        <v>0</v>
      </c>
      <c r="G118" s="268"/>
      <c r="H118" s="212"/>
      <c r="I118" s="207" t="s">
        <v>3380</v>
      </c>
      <c r="J118" s="208"/>
      <c r="K118" s="281"/>
      <c r="L118" s="271">
        <v>0</v>
      </c>
      <c r="M118" s="69"/>
      <c r="N118" s="72"/>
      <c r="O118" s="273">
        <v>0.79</v>
      </c>
      <c r="Q118" s="268"/>
      <c r="R118" s="212"/>
      <c r="S118" s="207" t="s">
        <v>3380</v>
      </c>
      <c r="T118" s="208"/>
      <c r="U118" s="281"/>
      <c r="V118" s="271">
        <v>0</v>
      </c>
      <c r="W118" s="69"/>
      <c r="X118" s="72"/>
      <c r="Y118" s="273">
        <v>0.79</v>
      </c>
      <c r="Z118" s="268"/>
      <c r="AA118" s="268"/>
      <c r="AB118" s="212"/>
      <c r="AC118" s="207" t="s">
        <v>3380</v>
      </c>
      <c r="AD118" s="208"/>
      <c r="AE118" s="281"/>
      <c r="AF118" s="271">
        <v>0</v>
      </c>
      <c r="AG118" s="69"/>
      <c r="AH118" s="72"/>
      <c r="AI118" s="273">
        <v>0.79</v>
      </c>
      <c r="AJ118" s="267"/>
      <c r="AK118" s="268"/>
      <c r="AL118" s="212"/>
      <c r="AM118" s="207" t="s">
        <v>3380</v>
      </c>
      <c r="AN118" s="208"/>
      <c r="AO118" s="281"/>
    </row>
    <row r="119" spans="1:41" x14ac:dyDescent="0.25">
      <c r="A119" s="70" t="s">
        <v>3971</v>
      </c>
      <c r="B119" s="271">
        <v>0</v>
      </c>
      <c r="C119" s="69"/>
      <c r="D119" s="72"/>
      <c r="E119" s="273">
        <v>0</v>
      </c>
      <c r="G119" s="268"/>
      <c r="H119" s="212"/>
      <c r="I119" s="207" t="s">
        <v>3380</v>
      </c>
      <c r="J119" s="208"/>
      <c r="K119" s="281"/>
      <c r="L119" s="271">
        <v>0</v>
      </c>
      <c r="M119" s="69"/>
      <c r="N119" s="72"/>
      <c r="O119" s="273">
        <v>4.29</v>
      </c>
      <c r="Q119" s="268"/>
      <c r="R119" s="212"/>
      <c r="S119" s="207" t="s">
        <v>3380</v>
      </c>
      <c r="T119" s="208"/>
      <c r="U119" s="281"/>
      <c r="V119" s="271">
        <v>0</v>
      </c>
      <c r="W119" s="69"/>
      <c r="X119" s="72"/>
      <c r="Y119" s="273">
        <v>4.29</v>
      </c>
      <c r="Z119" s="268"/>
      <c r="AA119" s="268"/>
      <c r="AB119" s="212"/>
      <c r="AC119" s="207" t="s">
        <v>3380</v>
      </c>
      <c r="AD119" s="208"/>
      <c r="AE119" s="281"/>
      <c r="AF119" s="271">
        <v>0</v>
      </c>
      <c r="AG119" s="69"/>
      <c r="AH119" s="72"/>
      <c r="AI119" s="273">
        <v>4.29</v>
      </c>
      <c r="AJ119" s="267"/>
      <c r="AK119" s="268"/>
      <c r="AL119" s="212"/>
      <c r="AM119" s="207" t="s">
        <v>3380</v>
      </c>
      <c r="AN119" s="208"/>
      <c r="AO119" s="281"/>
    </row>
    <row r="120" spans="1:41" x14ac:dyDescent="0.25">
      <c r="A120" s="70" t="s">
        <v>3972</v>
      </c>
      <c r="B120" s="271">
        <v>0</v>
      </c>
      <c r="C120" s="69"/>
      <c r="D120" s="72"/>
      <c r="E120" s="273">
        <v>0</v>
      </c>
      <c r="G120" s="268"/>
      <c r="H120" s="212"/>
      <c r="I120" s="207" t="s">
        <v>3380</v>
      </c>
      <c r="J120" s="208"/>
      <c r="K120" s="281"/>
      <c r="L120" s="271">
        <v>0</v>
      </c>
      <c r="M120" s="69"/>
      <c r="N120" s="72"/>
      <c r="O120" s="273">
        <v>5.49</v>
      </c>
      <c r="Q120" s="268"/>
      <c r="R120" s="212"/>
      <c r="S120" s="207" t="s">
        <v>3380</v>
      </c>
      <c r="T120" s="208"/>
      <c r="U120" s="281"/>
      <c r="V120" s="271">
        <v>0</v>
      </c>
      <c r="W120" s="69"/>
      <c r="X120" s="72"/>
      <c r="Y120" s="273">
        <v>5.49</v>
      </c>
      <c r="Z120" s="268"/>
      <c r="AA120" s="268"/>
      <c r="AB120" s="212"/>
      <c r="AC120" s="207" t="s">
        <v>3380</v>
      </c>
      <c r="AD120" s="208"/>
      <c r="AE120" s="281"/>
      <c r="AF120" s="271">
        <v>0</v>
      </c>
      <c r="AG120" s="69"/>
      <c r="AH120" s="72"/>
      <c r="AI120" s="273">
        <v>5.49</v>
      </c>
      <c r="AJ120" s="267"/>
      <c r="AK120" s="268"/>
      <c r="AL120" s="212"/>
      <c r="AM120" s="207" t="s">
        <v>3380</v>
      </c>
      <c r="AN120" s="208"/>
      <c r="AO120" s="281"/>
    </row>
    <row r="121" spans="1:41" x14ac:dyDescent="0.25">
      <c r="A121" s="70" t="s">
        <v>3973</v>
      </c>
      <c r="B121" s="271">
        <v>0</v>
      </c>
      <c r="C121" s="69"/>
      <c r="D121" s="72"/>
      <c r="E121" s="273">
        <v>0</v>
      </c>
      <c r="G121" s="268"/>
      <c r="H121" s="212"/>
      <c r="I121" s="207" t="s">
        <v>3380</v>
      </c>
      <c r="J121" s="208"/>
      <c r="K121" s="281"/>
      <c r="L121" s="271">
        <v>0</v>
      </c>
      <c r="M121" s="69"/>
      <c r="N121" s="72"/>
      <c r="O121" s="273">
        <v>1.19</v>
      </c>
      <c r="Q121" s="268"/>
      <c r="R121" s="212"/>
      <c r="S121" s="207" t="s">
        <v>3380</v>
      </c>
      <c r="T121" s="208"/>
      <c r="U121" s="281"/>
      <c r="V121" s="271">
        <v>0</v>
      </c>
      <c r="W121" s="69"/>
      <c r="X121" s="72"/>
      <c r="Y121" s="273">
        <v>1.19</v>
      </c>
      <c r="Z121" s="268"/>
      <c r="AA121" s="268"/>
      <c r="AB121" s="212"/>
      <c r="AC121" s="207" t="s">
        <v>3380</v>
      </c>
      <c r="AD121" s="208"/>
      <c r="AE121" s="281"/>
      <c r="AF121" s="271">
        <v>0</v>
      </c>
      <c r="AG121" s="69"/>
      <c r="AH121" s="72"/>
      <c r="AI121" s="273">
        <v>1.19</v>
      </c>
      <c r="AJ121" s="267"/>
      <c r="AK121" s="268"/>
      <c r="AL121" s="212"/>
      <c r="AM121" s="207" t="s">
        <v>3380</v>
      </c>
      <c r="AN121" s="208"/>
      <c r="AO121" s="281"/>
    </row>
    <row r="122" spans="1:41" x14ac:dyDescent="0.25">
      <c r="A122" s="70" t="s">
        <v>3974</v>
      </c>
      <c r="B122" s="271">
        <v>0</v>
      </c>
      <c r="C122" s="69"/>
      <c r="D122" s="72"/>
      <c r="E122" s="273">
        <v>0</v>
      </c>
      <c r="G122" s="268"/>
      <c r="H122" s="212"/>
      <c r="I122" s="207" t="s">
        <v>3380</v>
      </c>
      <c r="J122" s="208"/>
      <c r="K122" s="281"/>
      <c r="L122" s="271">
        <v>0</v>
      </c>
      <c r="M122" s="69"/>
      <c r="N122" s="72"/>
      <c r="O122" s="273">
        <v>3.49</v>
      </c>
      <c r="Q122" s="268"/>
      <c r="R122" s="212"/>
      <c r="S122" s="207" t="s">
        <v>3380</v>
      </c>
      <c r="T122" s="208"/>
      <c r="U122" s="281"/>
      <c r="V122" s="271">
        <v>0</v>
      </c>
      <c r="W122" s="69"/>
      <c r="X122" s="72"/>
      <c r="Y122" s="273">
        <v>3.49</v>
      </c>
      <c r="Z122" s="268"/>
      <c r="AA122" s="268"/>
      <c r="AB122" s="212"/>
      <c r="AC122" s="207" t="s">
        <v>3380</v>
      </c>
      <c r="AD122" s="208"/>
      <c r="AE122" s="281"/>
      <c r="AF122" s="271">
        <v>0</v>
      </c>
      <c r="AG122" s="69"/>
      <c r="AH122" s="72"/>
      <c r="AI122" s="273">
        <v>3.49</v>
      </c>
      <c r="AJ122" s="267"/>
      <c r="AK122" s="268"/>
      <c r="AL122" s="212"/>
      <c r="AM122" s="207" t="s">
        <v>3380</v>
      </c>
      <c r="AN122" s="208"/>
      <c r="AO122" s="281"/>
    </row>
    <row r="123" spans="1:41" x14ac:dyDescent="0.25">
      <c r="A123" s="70" t="s">
        <v>3975</v>
      </c>
      <c r="B123" s="271">
        <v>0</v>
      </c>
      <c r="C123" s="69"/>
      <c r="D123" s="72"/>
      <c r="E123" s="273">
        <v>0</v>
      </c>
      <c r="G123" s="268"/>
      <c r="H123" s="212"/>
      <c r="I123" s="207" t="s">
        <v>3380</v>
      </c>
      <c r="J123" s="208"/>
      <c r="K123" s="281"/>
      <c r="L123" s="271">
        <v>21.5</v>
      </c>
      <c r="M123" s="69"/>
      <c r="N123" s="72"/>
      <c r="O123" s="273">
        <v>1.49</v>
      </c>
      <c r="Q123" s="268"/>
      <c r="R123" s="212"/>
      <c r="S123" s="207" t="s">
        <v>3380</v>
      </c>
      <c r="T123" s="208"/>
      <c r="U123" s="281"/>
      <c r="V123" s="271">
        <v>19.5</v>
      </c>
      <c r="W123" s="69"/>
      <c r="X123" s="72"/>
      <c r="Y123" s="273">
        <v>1.49</v>
      </c>
      <c r="Z123" s="268"/>
      <c r="AA123" s="268"/>
      <c r="AB123" s="212">
        <v>2</v>
      </c>
      <c r="AC123" s="207" t="s">
        <v>3380</v>
      </c>
      <c r="AD123" s="208">
        <v>2.2200000000000002</v>
      </c>
      <c r="AE123" s="281"/>
      <c r="AF123" s="271">
        <v>19.5</v>
      </c>
      <c r="AG123" s="69"/>
      <c r="AH123" s="72"/>
      <c r="AI123" s="273">
        <v>1.49</v>
      </c>
      <c r="AJ123" s="267"/>
      <c r="AK123" s="268"/>
      <c r="AL123" s="212">
        <v>2</v>
      </c>
      <c r="AM123" s="207" t="s">
        <v>3380</v>
      </c>
      <c r="AN123" s="208">
        <v>2.2200000000000002</v>
      </c>
      <c r="AO123" s="281"/>
    </row>
    <row r="124" spans="1:41" ht="5.0999999999999996" customHeight="1" x14ac:dyDescent="0.25">
      <c r="A124" s="213">
        <v>0</v>
      </c>
      <c r="B124" s="71"/>
      <c r="C124" s="71"/>
      <c r="D124" s="56"/>
      <c r="E124" s="108"/>
      <c r="G124" s="108"/>
      <c r="H124" s="197"/>
      <c r="I124" s="134"/>
      <c r="J124" s="205"/>
      <c r="K124" s="281"/>
      <c r="L124" s="71"/>
      <c r="M124" s="71"/>
      <c r="N124" s="56"/>
      <c r="O124" s="108"/>
      <c r="Q124" s="108"/>
      <c r="R124" s="197"/>
      <c r="S124" s="134"/>
      <c r="T124" s="205"/>
      <c r="U124" s="281"/>
      <c r="V124" s="71"/>
      <c r="W124" s="71"/>
      <c r="X124" s="56"/>
      <c r="Y124" s="108"/>
      <c r="Z124" s="108"/>
      <c r="AA124" s="108"/>
      <c r="AB124" s="197"/>
      <c r="AC124" s="134"/>
      <c r="AD124" s="205"/>
      <c r="AE124" s="281"/>
      <c r="AF124" s="71"/>
      <c r="AG124" s="71"/>
      <c r="AH124" s="56"/>
      <c r="AI124" s="108"/>
      <c r="AJ124" s="267"/>
      <c r="AK124" s="108"/>
      <c r="AL124" s="197"/>
      <c r="AM124" s="134"/>
      <c r="AN124" s="205"/>
      <c r="AO124" s="281"/>
    </row>
    <row r="125" spans="1:41" ht="15.75" x14ac:dyDescent="0.25">
      <c r="A125" s="68"/>
      <c r="B125" s="71"/>
      <c r="C125" s="71"/>
      <c r="D125" s="56"/>
      <c r="E125" s="108"/>
      <c r="G125" s="108"/>
      <c r="H125" s="197"/>
      <c r="I125" s="134"/>
      <c r="J125" s="205"/>
      <c r="K125" s="281"/>
      <c r="L125" s="71"/>
      <c r="M125" s="71"/>
      <c r="N125" s="56"/>
      <c r="O125" s="108"/>
      <c r="Q125" s="108"/>
      <c r="R125" s="197"/>
      <c r="S125" s="134"/>
      <c r="T125" s="205"/>
      <c r="U125" s="281"/>
      <c r="V125" s="71"/>
      <c r="W125" s="71"/>
      <c r="X125" s="56"/>
      <c r="Y125" s="108"/>
      <c r="Z125" s="108"/>
      <c r="AA125" s="108"/>
      <c r="AB125" s="197"/>
      <c r="AC125" s="134"/>
      <c r="AD125" s="205"/>
      <c r="AE125" s="281"/>
      <c r="AF125" s="71"/>
      <c r="AG125" s="71"/>
      <c r="AH125" s="56"/>
      <c r="AI125" s="108"/>
      <c r="AJ125" s="267"/>
      <c r="AK125" s="108"/>
      <c r="AL125" s="197"/>
      <c r="AM125" s="134"/>
      <c r="AN125" s="205"/>
      <c r="AO125" s="281"/>
    </row>
    <row r="126" spans="1:41" x14ac:dyDescent="0.25">
      <c r="A126" s="70" t="s">
        <v>3916</v>
      </c>
      <c r="B126" s="271">
        <v>0</v>
      </c>
      <c r="C126" s="69"/>
      <c r="D126" s="72"/>
      <c r="E126" s="273">
        <v>0</v>
      </c>
      <c r="G126" s="268"/>
      <c r="H126" s="212"/>
      <c r="I126" s="207" t="s">
        <v>3380</v>
      </c>
      <c r="J126" s="208"/>
      <c r="K126" s="281"/>
      <c r="L126" s="271">
        <v>0</v>
      </c>
      <c r="M126" s="69"/>
      <c r="N126" s="72"/>
      <c r="O126" s="273">
        <v>2.99</v>
      </c>
      <c r="Q126" s="268"/>
      <c r="R126" s="212"/>
      <c r="S126" s="207" t="s">
        <v>3380</v>
      </c>
      <c r="T126" s="208"/>
      <c r="U126" s="281"/>
      <c r="V126" s="271">
        <v>0</v>
      </c>
      <c r="W126" s="69"/>
      <c r="X126" s="72"/>
      <c r="Y126" s="273">
        <v>2.99</v>
      </c>
      <c r="Z126" s="268"/>
      <c r="AA126" s="268"/>
      <c r="AB126" s="212"/>
      <c r="AC126" s="207" t="s">
        <v>3380</v>
      </c>
      <c r="AD126" s="208"/>
      <c r="AE126" s="281"/>
      <c r="AF126" s="271">
        <v>0</v>
      </c>
      <c r="AG126" s="69"/>
      <c r="AH126" s="72"/>
      <c r="AI126" s="273">
        <v>2.99</v>
      </c>
      <c r="AJ126" s="267"/>
      <c r="AK126" s="268"/>
      <c r="AL126" s="212"/>
      <c r="AM126" s="207" t="s">
        <v>3380</v>
      </c>
      <c r="AN126" s="208"/>
      <c r="AO126" s="281"/>
    </row>
    <row r="127" spans="1:41" x14ac:dyDescent="0.25">
      <c r="A127" s="70" t="s">
        <v>1052</v>
      </c>
      <c r="B127" s="271">
        <v>0</v>
      </c>
      <c r="C127" s="69"/>
      <c r="D127" s="72"/>
      <c r="E127" s="273">
        <v>0</v>
      </c>
      <c r="G127" s="268"/>
      <c r="H127" s="212"/>
      <c r="I127" s="207" t="s">
        <v>3380</v>
      </c>
      <c r="J127" s="208"/>
      <c r="K127" s="281"/>
      <c r="L127" s="271">
        <v>21.5</v>
      </c>
      <c r="M127" s="69"/>
      <c r="N127" s="72"/>
      <c r="O127" s="273">
        <v>2.99</v>
      </c>
      <c r="Q127" s="268"/>
      <c r="R127" s="212"/>
      <c r="S127" s="207" t="s">
        <v>3380</v>
      </c>
      <c r="T127" s="208"/>
      <c r="U127" s="281"/>
      <c r="V127" s="271">
        <v>20.8</v>
      </c>
      <c r="W127" s="69"/>
      <c r="X127" s="72"/>
      <c r="Y127" s="273">
        <v>2.99</v>
      </c>
      <c r="Z127" s="268"/>
      <c r="AA127" s="268"/>
      <c r="AB127" s="212">
        <v>2</v>
      </c>
      <c r="AC127" s="207" t="s">
        <v>3380</v>
      </c>
      <c r="AD127" s="208">
        <v>5</v>
      </c>
      <c r="AE127" s="281"/>
      <c r="AF127" s="271">
        <v>20.8</v>
      </c>
      <c r="AG127" s="69"/>
      <c r="AH127" s="72"/>
      <c r="AI127" s="273">
        <v>2.99</v>
      </c>
      <c r="AJ127" s="267"/>
      <c r="AK127" s="268"/>
      <c r="AL127" s="212">
        <v>2</v>
      </c>
      <c r="AM127" s="207" t="s">
        <v>3380</v>
      </c>
      <c r="AN127" s="208">
        <v>5</v>
      </c>
      <c r="AO127" s="281"/>
    </row>
    <row r="128" spans="1:41" x14ac:dyDescent="0.25">
      <c r="A128" s="70" t="s">
        <v>909</v>
      </c>
      <c r="B128" s="271">
        <v>0</v>
      </c>
      <c r="C128" s="69"/>
      <c r="D128" s="72"/>
      <c r="E128" s="273">
        <v>0</v>
      </c>
      <c r="G128" s="268"/>
      <c r="H128" s="212"/>
      <c r="I128" s="207" t="s">
        <v>3380</v>
      </c>
      <c r="J128" s="208"/>
      <c r="K128" s="281"/>
      <c r="L128" s="271">
        <v>21.5</v>
      </c>
      <c r="M128" s="69"/>
      <c r="N128" s="72"/>
      <c r="O128" s="273">
        <v>2.99</v>
      </c>
      <c r="Q128" s="268"/>
      <c r="R128" s="212"/>
      <c r="S128" s="207" t="s">
        <v>3380</v>
      </c>
      <c r="T128" s="208"/>
      <c r="U128" s="281"/>
      <c r="V128" s="271">
        <v>19.5</v>
      </c>
      <c r="W128" s="69"/>
      <c r="X128" s="72"/>
      <c r="Y128" s="273">
        <v>2.99</v>
      </c>
      <c r="Z128" s="268"/>
      <c r="AA128" s="268"/>
      <c r="AB128" s="212">
        <v>2</v>
      </c>
      <c r="AC128" s="207" t="s">
        <v>3380</v>
      </c>
      <c r="AD128" s="208">
        <v>5</v>
      </c>
      <c r="AE128" s="281"/>
      <c r="AF128" s="271">
        <v>19.5</v>
      </c>
      <c r="AG128" s="69"/>
      <c r="AH128" s="72"/>
      <c r="AI128" s="273">
        <v>2.99</v>
      </c>
      <c r="AJ128" s="267"/>
      <c r="AK128" s="268"/>
      <c r="AL128" s="212">
        <v>2</v>
      </c>
      <c r="AM128" s="207" t="s">
        <v>3380</v>
      </c>
      <c r="AN128" s="208">
        <v>5</v>
      </c>
      <c r="AO128" s="281"/>
    </row>
    <row r="129" spans="1:41" x14ac:dyDescent="0.25">
      <c r="A129" s="70" t="s">
        <v>910</v>
      </c>
      <c r="B129" s="271">
        <v>0</v>
      </c>
      <c r="C129" s="69"/>
      <c r="D129" s="72"/>
      <c r="E129" s="273">
        <v>0</v>
      </c>
      <c r="G129" s="268"/>
      <c r="H129" s="212"/>
      <c r="I129" s="207" t="s">
        <v>3380</v>
      </c>
      <c r="J129" s="208"/>
      <c r="K129" s="281"/>
      <c r="L129" s="271">
        <v>0</v>
      </c>
      <c r="M129" s="69"/>
      <c r="N129" s="72"/>
      <c r="O129" s="273">
        <v>9.99</v>
      </c>
      <c r="Q129" s="268"/>
      <c r="R129" s="212"/>
      <c r="S129" s="207" t="s">
        <v>3380</v>
      </c>
      <c r="T129" s="208"/>
      <c r="U129" s="281"/>
      <c r="V129" s="271">
        <v>0</v>
      </c>
      <c r="W129" s="69"/>
      <c r="X129" s="72"/>
      <c r="Y129" s="273">
        <v>9.99</v>
      </c>
      <c r="Z129" s="268"/>
      <c r="AA129" s="268"/>
      <c r="AB129" s="212"/>
      <c r="AC129" s="207" t="s">
        <v>3380</v>
      </c>
      <c r="AD129" s="208"/>
      <c r="AE129" s="281"/>
      <c r="AF129" s="271">
        <v>0</v>
      </c>
      <c r="AG129" s="69"/>
      <c r="AH129" s="72"/>
      <c r="AI129" s="273">
        <v>9.99</v>
      </c>
      <c r="AJ129" s="267"/>
      <c r="AK129" s="268"/>
      <c r="AL129" s="212"/>
      <c r="AM129" s="207" t="s">
        <v>3380</v>
      </c>
      <c r="AN129" s="208"/>
      <c r="AO129" s="281"/>
    </row>
    <row r="130" spans="1:41" x14ac:dyDescent="0.25">
      <c r="A130" s="70" t="s">
        <v>1225</v>
      </c>
      <c r="B130" s="271">
        <v>0</v>
      </c>
      <c r="C130" s="69"/>
      <c r="D130" s="72"/>
      <c r="E130" s="273">
        <v>0</v>
      </c>
      <c r="G130" s="268"/>
      <c r="H130" s="212"/>
      <c r="I130" s="207" t="s">
        <v>3380</v>
      </c>
      <c r="J130" s="208"/>
      <c r="K130" s="281"/>
      <c r="L130" s="271">
        <v>25</v>
      </c>
      <c r="M130" s="69"/>
      <c r="N130" s="72"/>
      <c r="O130" s="273">
        <v>3.49</v>
      </c>
      <c r="Q130" s="268"/>
      <c r="R130" s="212"/>
      <c r="S130" s="207" t="s">
        <v>3380</v>
      </c>
      <c r="T130" s="208"/>
      <c r="U130" s="281"/>
      <c r="V130" s="271">
        <v>23.2</v>
      </c>
      <c r="W130" s="69"/>
      <c r="X130" s="72"/>
      <c r="Y130" s="273">
        <v>3.49</v>
      </c>
      <c r="Z130" s="268"/>
      <c r="AA130" s="268"/>
      <c r="AB130" s="212">
        <v>2</v>
      </c>
      <c r="AC130" s="207" t="s">
        <v>3380</v>
      </c>
      <c r="AD130" s="208">
        <v>6</v>
      </c>
      <c r="AE130" s="281"/>
      <c r="AF130" s="271">
        <v>23.2</v>
      </c>
      <c r="AG130" s="69"/>
      <c r="AH130" s="72"/>
      <c r="AI130" s="273">
        <v>3.49</v>
      </c>
      <c r="AJ130" s="267"/>
      <c r="AK130" s="268"/>
      <c r="AL130" s="212">
        <v>2</v>
      </c>
      <c r="AM130" s="207" t="s">
        <v>3380</v>
      </c>
      <c r="AN130" s="208">
        <v>6</v>
      </c>
      <c r="AO130" s="281"/>
    </row>
    <row r="131" spans="1:41" x14ac:dyDescent="0.25">
      <c r="A131" s="70" t="s">
        <v>1224</v>
      </c>
      <c r="B131" s="271">
        <v>0</v>
      </c>
      <c r="C131" s="69"/>
      <c r="D131" s="72"/>
      <c r="E131" s="273">
        <v>0</v>
      </c>
      <c r="G131" s="268"/>
      <c r="H131" s="212"/>
      <c r="I131" s="207" t="s">
        <v>3380</v>
      </c>
      <c r="J131" s="208"/>
      <c r="K131" s="281"/>
      <c r="L131" s="271">
        <v>0</v>
      </c>
      <c r="M131" s="69"/>
      <c r="N131" s="72"/>
      <c r="O131" s="273">
        <v>2.4900000000000002</v>
      </c>
      <c r="Q131" s="268"/>
      <c r="R131" s="212"/>
      <c r="S131" s="207" t="s">
        <v>3380</v>
      </c>
      <c r="T131" s="208"/>
      <c r="U131" s="281"/>
      <c r="V131" s="271">
        <v>0</v>
      </c>
      <c r="W131" s="69"/>
      <c r="X131" s="72"/>
      <c r="Y131" s="273">
        <v>2.4900000000000002</v>
      </c>
      <c r="Z131" s="268"/>
      <c r="AA131" s="268"/>
      <c r="AB131" s="212"/>
      <c r="AC131" s="207" t="s">
        <v>3380</v>
      </c>
      <c r="AD131" s="208"/>
      <c r="AE131" s="281"/>
      <c r="AF131" s="271">
        <v>0</v>
      </c>
      <c r="AG131" s="69"/>
      <c r="AH131" s="72"/>
      <c r="AI131" s="273">
        <v>2.4900000000000002</v>
      </c>
      <c r="AJ131" s="267"/>
      <c r="AK131" s="268"/>
      <c r="AL131" s="212"/>
      <c r="AM131" s="207" t="s">
        <v>3380</v>
      </c>
      <c r="AN131" s="208"/>
      <c r="AO131" s="281"/>
    </row>
    <row r="132" spans="1:41" x14ac:dyDescent="0.25">
      <c r="A132" s="70" t="s">
        <v>3918</v>
      </c>
      <c r="B132" s="271">
        <v>0</v>
      </c>
      <c r="C132" s="69"/>
      <c r="D132" s="237"/>
      <c r="E132" s="273">
        <v>0</v>
      </c>
      <c r="G132" s="268"/>
      <c r="H132" s="212"/>
      <c r="I132" s="207" t="s">
        <v>3380</v>
      </c>
      <c r="J132" s="208"/>
      <c r="K132" s="281"/>
      <c r="L132" s="271">
        <v>21.5</v>
      </c>
      <c r="M132" s="69"/>
      <c r="N132" s="237"/>
      <c r="O132" s="273">
        <v>2.99</v>
      </c>
      <c r="Q132" s="268"/>
      <c r="R132" s="212"/>
      <c r="S132" s="207" t="s">
        <v>3380</v>
      </c>
      <c r="T132" s="208"/>
      <c r="U132" s="281"/>
      <c r="V132" s="271">
        <v>17.2</v>
      </c>
      <c r="W132" s="69"/>
      <c r="X132" s="237"/>
      <c r="Y132" s="273">
        <v>2.99</v>
      </c>
      <c r="Z132" s="268"/>
      <c r="AA132" s="268"/>
      <c r="AB132" s="212">
        <v>2</v>
      </c>
      <c r="AC132" s="207" t="s">
        <v>3380</v>
      </c>
      <c r="AD132" s="208">
        <v>5</v>
      </c>
      <c r="AE132" s="281"/>
      <c r="AF132" s="271">
        <v>17.2</v>
      </c>
      <c r="AG132" s="69"/>
      <c r="AH132" s="237"/>
      <c r="AI132" s="273">
        <v>2.99</v>
      </c>
      <c r="AJ132" s="267"/>
      <c r="AK132" s="268"/>
      <c r="AL132" s="212">
        <v>2</v>
      </c>
      <c r="AM132" s="207" t="s">
        <v>3380</v>
      </c>
      <c r="AN132" s="208">
        <v>5</v>
      </c>
      <c r="AO132" s="281"/>
    </row>
    <row r="133" spans="1:41" x14ac:dyDescent="0.25">
      <c r="A133" s="70" t="s">
        <v>3969</v>
      </c>
      <c r="B133" s="271">
        <v>0</v>
      </c>
      <c r="C133" s="69"/>
      <c r="D133" s="237"/>
      <c r="E133" s="273">
        <v>0</v>
      </c>
      <c r="G133" s="268"/>
      <c r="H133" s="212"/>
      <c r="I133" s="207" t="s">
        <v>3380</v>
      </c>
      <c r="J133" s="208"/>
      <c r="K133" s="281"/>
      <c r="L133" s="271">
        <v>21.5</v>
      </c>
      <c r="M133" s="69"/>
      <c r="N133" s="237"/>
      <c r="O133" s="273">
        <v>2.99</v>
      </c>
      <c r="Q133" s="268"/>
      <c r="R133" s="212"/>
      <c r="S133" s="207" t="s">
        <v>3380</v>
      </c>
      <c r="T133" s="208"/>
      <c r="U133" s="281"/>
      <c r="V133" s="271">
        <v>17.2</v>
      </c>
      <c r="W133" s="69"/>
      <c r="X133" s="237"/>
      <c r="Y133" s="273">
        <v>2.99</v>
      </c>
      <c r="Z133" s="268"/>
      <c r="AA133" s="268"/>
      <c r="AB133" s="212">
        <v>2</v>
      </c>
      <c r="AC133" s="207" t="s">
        <v>3380</v>
      </c>
      <c r="AD133" s="208">
        <v>5</v>
      </c>
      <c r="AE133" s="281"/>
      <c r="AF133" s="271">
        <v>17.2</v>
      </c>
      <c r="AG133" s="69"/>
      <c r="AH133" s="237"/>
      <c r="AI133" s="273">
        <v>2.99</v>
      </c>
      <c r="AJ133" s="267"/>
      <c r="AK133" s="268"/>
      <c r="AL133" s="212">
        <v>2</v>
      </c>
      <c r="AM133" s="207" t="s">
        <v>3380</v>
      </c>
      <c r="AN133" s="208">
        <v>5</v>
      </c>
      <c r="AO133" s="281"/>
    </row>
    <row r="134" spans="1:41" x14ac:dyDescent="0.25">
      <c r="A134" s="70" t="s">
        <v>1246</v>
      </c>
      <c r="B134" s="271">
        <v>0</v>
      </c>
      <c r="C134" s="69"/>
      <c r="D134" s="237"/>
      <c r="E134" s="273">
        <v>0</v>
      </c>
      <c r="G134" s="268"/>
      <c r="H134" s="212"/>
      <c r="I134" s="207" t="s">
        <v>3380</v>
      </c>
      <c r="J134" s="208"/>
      <c r="K134" s="281"/>
      <c r="L134" s="271">
        <v>21.5</v>
      </c>
      <c r="M134" s="69"/>
      <c r="N134" s="237"/>
      <c r="O134" s="273">
        <v>2.99</v>
      </c>
      <c r="Q134" s="268"/>
      <c r="R134" s="212"/>
      <c r="S134" s="207" t="s">
        <v>3380</v>
      </c>
      <c r="T134" s="208"/>
      <c r="U134" s="281"/>
      <c r="V134" s="271">
        <v>20.399999999999999</v>
      </c>
      <c r="W134" s="69"/>
      <c r="X134" s="237"/>
      <c r="Y134" s="273">
        <v>2.99</v>
      </c>
      <c r="Z134" s="268"/>
      <c r="AA134" s="268"/>
      <c r="AB134" s="212">
        <v>2</v>
      </c>
      <c r="AC134" s="207" t="s">
        <v>3380</v>
      </c>
      <c r="AD134" s="208">
        <v>5</v>
      </c>
      <c r="AE134" s="281"/>
      <c r="AF134" s="271">
        <v>20.399999999999999</v>
      </c>
      <c r="AG134" s="69"/>
      <c r="AH134" s="237"/>
      <c r="AI134" s="273">
        <v>2.99</v>
      </c>
      <c r="AJ134" s="267"/>
      <c r="AK134" s="268"/>
      <c r="AL134" s="212">
        <v>2</v>
      </c>
      <c r="AM134" s="207" t="s">
        <v>3380</v>
      </c>
      <c r="AN134" s="208">
        <v>5</v>
      </c>
      <c r="AO134" s="281"/>
    </row>
    <row r="135" spans="1:41" ht="5.0999999999999996" customHeight="1" x14ac:dyDescent="0.25">
      <c r="A135" s="213">
        <v>0</v>
      </c>
      <c r="B135" s="71"/>
      <c r="C135" s="71"/>
      <c r="D135" s="56"/>
      <c r="E135" s="108"/>
      <c r="G135" s="108"/>
      <c r="H135" s="197"/>
      <c r="I135" s="134"/>
      <c r="J135" s="205"/>
      <c r="K135" s="281"/>
      <c r="L135" s="71"/>
      <c r="M135" s="71"/>
      <c r="N135" s="56"/>
      <c r="O135" s="108"/>
      <c r="Q135" s="108"/>
      <c r="R135" s="197"/>
      <c r="S135" s="134"/>
      <c r="T135" s="205"/>
      <c r="U135" s="281"/>
      <c r="V135" s="71"/>
      <c r="W135" s="71"/>
      <c r="X135" s="56"/>
      <c r="Y135" s="108"/>
      <c r="Z135" s="108"/>
      <c r="AA135" s="108"/>
      <c r="AB135" s="197"/>
      <c r="AC135" s="134"/>
      <c r="AD135" s="205"/>
      <c r="AE135" s="281"/>
      <c r="AF135" s="71"/>
      <c r="AG135" s="71"/>
      <c r="AH135" s="56"/>
      <c r="AI135" s="108"/>
      <c r="AJ135" s="267"/>
      <c r="AK135" s="108"/>
      <c r="AL135" s="197"/>
      <c r="AM135" s="134"/>
      <c r="AN135" s="205"/>
      <c r="AO135" s="281"/>
    </row>
    <row r="136" spans="1:41" ht="15.75" x14ac:dyDescent="0.25">
      <c r="A136" s="68"/>
      <c r="B136" s="71"/>
      <c r="C136" s="71"/>
      <c r="D136" s="56"/>
      <c r="E136" s="108"/>
      <c r="G136" s="108"/>
      <c r="H136" s="197"/>
      <c r="I136" s="134"/>
      <c r="J136" s="205"/>
      <c r="K136" s="281"/>
      <c r="L136" s="71"/>
      <c r="M136" s="71"/>
      <c r="N136" s="56"/>
      <c r="O136" s="108"/>
      <c r="Q136" s="108"/>
      <c r="R136" s="197"/>
      <c r="S136" s="134"/>
      <c r="T136" s="205"/>
      <c r="U136" s="281"/>
      <c r="V136" s="71"/>
      <c r="W136" s="71"/>
      <c r="X136" s="56"/>
      <c r="Y136" s="108"/>
      <c r="Z136" s="108"/>
      <c r="AA136" s="108"/>
      <c r="AB136" s="197"/>
      <c r="AC136" s="134"/>
      <c r="AD136" s="205"/>
      <c r="AE136" s="281"/>
      <c r="AF136" s="71"/>
      <c r="AG136" s="71"/>
      <c r="AH136" s="56"/>
      <c r="AI136" s="108"/>
      <c r="AJ136" s="267"/>
      <c r="AK136" s="108"/>
      <c r="AL136" s="197"/>
      <c r="AM136" s="134"/>
      <c r="AN136" s="205"/>
      <c r="AO136" s="281"/>
    </row>
    <row r="137" spans="1:41" x14ac:dyDescent="0.25">
      <c r="A137" s="70" t="s">
        <v>1158</v>
      </c>
      <c r="B137" s="271">
        <v>0</v>
      </c>
      <c r="C137" s="69"/>
      <c r="D137" s="72"/>
      <c r="E137" s="273">
        <v>0</v>
      </c>
      <c r="G137" s="268"/>
      <c r="H137" s="212"/>
      <c r="I137" s="207" t="s">
        <v>3380</v>
      </c>
      <c r="J137" s="208"/>
      <c r="K137" s="281"/>
      <c r="L137" s="271">
        <v>15</v>
      </c>
      <c r="M137" s="69"/>
      <c r="N137" s="72"/>
      <c r="O137" s="273">
        <v>2.29</v>
      </c>
      <c r="Q137" s="268"/>
      <c r="R137" s="212"/>
      <c r="S137" s="207" t="s">
        <v>3380</v>
      </c>
      <c r="T137" s="208"/>
      <c r="U137" s="281"/>
      <c r="V137" s="271">
        <v>15</v>
      </c>
      <c r="W137" s="69"/>
      <c r="X137" s="72"/>
      <c r="Y137" s="273">
        <v>2.29</v>
      </c>
      <c r="Z137" s="268"/>
      <c r="AA137" s="268"/>
      <c r="AB137" s="212">
        <v>2</v>
      </c>
      <c r="AC137" s="207" t="s">
        <v>3380</v>
      </c>
      <c r="AD137" s="208">
        <v>4</v>
      </c>
      <c r="AE137" s="281"/>
      <c r="AF137" s="271">
        <v>15</v>
      </c>
      <c r="AG137" s="69"/>
      <c r="AH137" s="72"/>
      <c r="AI137" s="273">
        <v>2.29</v>
      </c>
      <c r="AJ137" s="267"/>
      <c r="AK137" s="268"/>
      <c r="AL137" s="212">
        <v>2</v>
      </c>
      <c r="AM137" s="207" t="s">
        <v>3380</v>
      </c>
      <c r="AN137" s="208">
        <v>4</v>
      </c>
      <c r="AO137" s="281"/>
    </row>
    <row r="138" spans="1:41" x14ac:dyDescent="0.25">
      <c r="A138" s="70" t="s">
        <v>3209</v>
      </c>
      <c r="B138" s="271">
        <v>0</v>
      </c>
      <c r="C138" s="69"/>
      <c r="D138" s="237"/>
      <c r="E138" s="273">
        <v>0</v>
      </c>
      <c r="G138" s="268"/>
      <c r="H138" s="212"/>
      <c r="I138" s="207" t="s">
        <v>3380</v>
      </c>
      <c r="J138" s="208"/>
      <c r="K138" s="281"/>
      <c r="L138" s="271">
        <v>14.5</v>
      </c>
      <c r="M138" s="69"/>
      <c r="N138" s="237"/>
      <c r="O138" s="273">
        <v>0.99</v>
      </c>
      <c r="Q138" s="268"/>
      <c r="R138" s="212"/>
      <c r="S138" s="207" t="s">
        <v>3380</v>
      </c>
      <c r="T138" s="208"/>
      <c r="U138" s="281"/>
      <c r="V138" s="271">
        <v>14.5</v>
      </c>
      <c r="W138" s="69"/>
      <c r="X138" s="237"/>
      <c r="Y138" s="273">
        <v>0.99</v>
      </c>
      <c r="Z138" s="268"/>
      <c r="AA138" s="268"/>
      <c r="AB138" s="212"/>
      <c r="AC138" s="207" t="s">
        <v>3380</v>
      </c>
      <c r="AD138" s="208"/>
      <c r="AE138" s="281"/>
      <c r="AF138" s="271">
        <v>14.5</v>
      </c>
      <c r="AG138" s="69"/>
      <c r="AH138" s="237"/>
      <c r="AI138" s="273">
        <v>0.99</v>
      </c>
      <c r="AJ138" s="267"/>
      <c r="AK138" s="268"/>
      <c r="AL138" s="212"/>
      <c r="AM138" s="207" t="s">
        <v>3380</v>
      </c>
      <c r="AN138" s="208"/>
      <c r="AO138" s="281"/>
    </row>
    <row r="139" spans="1:41" x14ac:dyDescent="0.25">
      <c r="A139" s="70" t="s">
        <v>3709</v>
      </c>
      <c r="B139" s="271">
        <v>0</v>
      </c>
      <c r="C139" s="69"/>
      <c r="D139" s="72"/>
      <c r="E139" s="273">
        <v>0</v>
      </c>
      <c r="G139" s="268"/>
      <c r="H139" s="212"/>
      <c r="I139" s="207" t="s">
        <v>3380</v>
      </c>
      <c r="J139" s="208"/>
      <c r="K139" s="281"/>
      <c r="L139" s="271">
        <v>16.3</v>
      </c>
      <c r="M139" s="69"/>
      <c r="N139" s="72"/>
      <c r="O139" s="273">
        <v>2.79</v>
      </c>
      <c r="Q139" s="268"/>
      <c r="R139" s="212">
        <v>2</v>
      </c>
      <c r="S139" s="207" t="s">
        <v>3380</v>
      </c>
      <c r="T139" s="208">
        <v>4</v>
      </c>
      <c r="U139" s="281"/>
      <c r="V139" s="271">
        <v>16.3</v>
      </c>
      <c r="W139" s="69"/>
      <c r="X139" s="72"/>
      <c r="Y139" s="273">
        <v>2.79</v>
      </c>
      <c r="Z139" s="268"/>
      <c r="AA139" s="268"/>
      <c r="AB139" s="212">
        <v>2</v>
      </c>
      <c r="AC139" s="207" t="s">
        <v>3380</v>
      </c>
      <c r="AD139" s="208">
        <v>4</v>
      </c>
      <c r="AE139" s="281"/>
      <c r="AF139" s="271">
        <v>16.3</v>
      </c>
      <c r="AG139" s="69"/>
      <c r="AH139" s="72"/>
      <c r="AI139" s="273">
        <v>2.79</v>
      </c>
      <c r="AJ139" s="267"/>
      <c r="AK139" s="268"/>
      <c r="AL139" s="212">
        <v>2</v>
      </c>
      <c r="AM139" s="207" t="s">
        <v>3380</v>
      </c>
      <c r="AN139" s="208">
        <v>4</v>
      </c>
      <c r="AO139" s="281"/>
    </row>
    <row r="140" spans="1:41" x14ac:dyDescent="0.25">
      <c r="A140" s="70" t="s">
        <v>1209</v>
      </c>
      <c r="B140" s="271">
        <v>0</v>
      </c>
      <c r="C140" s="69"/>
      <c r="D140" s="72"/>
      <c r="E140" s="273">
        <v>0</v>
      </c>
      <c r="G140" s="268"/>
      <c r="H140" s="212"/>
      <c r="I140" s="207" t="s">
        <v>3380</v>
      </c>
      <c r="J140" s="208"/>
      <c r="K140" s="281"/>
      <c r="L140" s="271">
        <v>21</v>
      </c>
      <c r="M140" s="69"/>
      <c r="N140" s="72"/>
      <c r="O140" s="273">
        <v>2.99</v>
      </c>
      <c r="Q140" s="268"/>
      <c r="R140" s="212"/>
      <c r="S140" s="207" t="s">
        <v>3380</v>
      </c>
      <c r="T140" s="208"/>
      <c r="U140" s="281"/>
      <c r="V140" s="271">
        <v>19.600000000000001</v>
      </c>
      <c r="W140" s="69"/>
      <c r="X140" s="72"/>
      <c r="Y140" s="273">
        <v>2.99</v>
      </c>
      <c r="Z140" s="268"/>
      <c r="AA140" s="268"/>
      <c r="AB140" s="212">
        <v>2</v>
      </c>
      <c r="AC140" s="207" t="s">
        <v>3380</v>
      </c>
      <c r="AD140" s="208">
        <v>5</v>
      </c>
      <c r="AE140" s="281"/>
      <c r="AF140" s="271">
        <v>19.600000000000001</v>
      </c>
      <c r="AG140" s="69"/>
      <c r="AH140" s="72"/>
      <c r="AI140" s="273">
        <v>2.99</v>
      </c>
      <c r="AJ140" s="267"/>
      <c r="AK140" s="268"/>
      <c r="AL140" s="212">
        <v>2</v>
      </c>
      <c r="AM140" s="207" t="s">
        <v>3380</v>
      </c>
      <c r="AN140" s="208">
        <v>5</v>
      </c>
      <c r="AO140" s="281"/>
    </row>
    <row r="141" spans="1:41" x14ac:dyDescent="0.25">
      <c r="A141" s="70" t="s">
        <v>4077</v>
      </c>
      <c r="B141" s="271">
        <v>0</v>
      </c>
      <c r="C141" s="69"/>
      <c r="D141" s="72"/>
      <c r="E141" s="273">
        <v>0</v>
      </c>
      <c r="G141" s="268"/>
      <c r="H141" s="212"/>
      <c r="I141" s="207" t="s">
        <v>3380</v>
      </c>
      <c r="J141" s="208"/>
      <c r="K141" s="281"/>
      <c r="L141" s="271">
        <v>0</v>
      </c>
      <c r="M141" s="69"/>
      <c r="N141" s="72"/>
      <c r="O141" s="273">
        <v>3.29</v>
      </c>
      <c r="Q141" s="268"/>
      <c r="R141" s="212"/>
      <c r="S141" s="207" t="s">
        <v>3380</v>
      </c>
      <c r="T141" s="208"/>
      <c r="U141" s="281"/>
      <c r="V141" s="271">
        <v>0</v>
      </c>
      <c r="W141" s="69"/>
      <c r="X141" s="72"/>
      <c r="Y141" s="273">
        <v>3.29</v>
      </c>
      <c r="Z141" s="268"/>
      <c r="AA141" s="268"/>
      <c r="AB141" s="212"/>
      <c r="AC141" s="207" t="s">
        <v>3380</v>
      </c>
      <c r="AD141" s="208"/>
      <c r="AE141" s="281"/>
      <c r="AF141" s="271">
        <v>0</v>
      </c>
      <c r="AG141" s="69"/>
      <c r="AH141" s="72"/>
      <c r="AI141" s="273">
        <v>3.29</v>
      </c>
      <c r="AJ141" s="267"/>
      <c r="AK141" s="268"/>
      <c r="AL141" s="212"/>
      <c r="AM141" s="207" t="s">
        <v>3380</v>
      </c>
      <c r="AN141" s="208"/>
      <c r="AO141" s="281"/>
    </row>
    <row r="142" spans="1:41" ht="5.0999999999999996" customHeight="1" x14ac:dyDescent="0.25">
      <c r="A142" s="213">
        <v>0</v>
      </c>
      <c r="B142" s="71"/>
      <c r="C142" s="71"/>
      <c r="D142" s="56"/>
      <c r="E142" s="108"/>
      <c r="G142" s="108"/>
      <c r="H142" s="197"/>
      <c r="I142" s="134"/>
      <c r="J142" s="205"/>
      <c r="K142" s="281"/>
      <c r="L142" s="71"/>
      <c r="M142" s="71"/>
      <c r="N142" s="56"/>
      <c r="O142" s="108"/>
      <c r="Q142" s="108"/>
      <c r="R142" s="197"/>
      <c r="S142" s="134"/>
      <c r="T142" s="205"/>
      <c r="U142" s="281"/>
      <c r="V142" s="71"/>
      <c r="W142" s="71"/>
      <c r="X142" s="56"/>
      <c r="Y142" s="108"/>
      <c r="Z142" s="108"/>
      <c r="AA142" s="108"/>
      <c r="AB142" s="197"/>
      <c r="AC142" s="134"/>
      <c r="AD142" s="205"/>
      <c r="AE142" s="281"/>
      <c r="AF142" s="71"/>
      <c r="AG142" s="71"/>
      <c r="AH142" s="56"/>
      <c r="AI142" s="108"/>
      <c r="AJ142" s="267"/>
      <c r="AK142" s="108"/>
      <c r="AL142" s="197"/>
      <c r="AM142" s="134"/>
      <c r="AN142" s="205"/>
      <c r="AO142" s="281"/>
    </row>
    <row r="143" spans="1:41" ht="15.75" x14ac:dyDescent="0.25">
      <c r="A143" s="68"/>
      <c r="B143" s="71"/>
      <c r="C143" s="71"/>
      <c r="D143" s="56"/>
      <c r="E143" s="108"/>
      <c r="G143" s="108"/>
      <c r="H143" s="197"/>
      <c r="I143" s="134"/>
      <c r="J143" s="205"/>
      <c r="K143" s="281"/>
      <c r="L143" s="71"/>
      <c r="M143" s="71"/>
      <c r="N143" s="56"/>
      <c r="O143" s="108"/>
      <c r="Q143" s="108"/>
      <c r="R143" s="197"/>
      <c r="S143" s="134"/>
      <c r="T143" s="205"/>
      <c r="U143" s="281"/>
      <c r="V143" s="71"/>
      <c r="W143" s="71"/>
      <c r="X143" s="56"/>
      <c r="Y143" s="108"/>
      <c r="Z143" s="108"/>
      <c r="AA143" s="108"/>
      <c r="AB143" s="197"/>
      <c r="AC143" s="134"/>
      <c r="AD143" s="205"/>
      <c r="AE143" s="281"/>
      <c r="AF143" s="71"/>
      <c r="AG143" s="71"/>
      <c r="AH143" s="56"/>
      <c r="AI143" s="108"/>
      <c r="AJ143" s="267"/>
      <c r="AK143" s="108"/>
      <c r="AL143" s="197"/>
      <c r="AM143" s="134"/>
      <c r="AN143" s="205"/>
      <c r="AO143" s="281"/>
    </row>
    <row r="144" spans="1:41" x14ac:dyDescent="0.25">
      <c r="A144" s="70" t="s">
        <v>3211</v>
      </c>
      <c r="B144" s="271">
        <v>0</v>
      </c>
      <c r="C144" s="69"/>
      <c r="D144" s="56"/>
      <c r="E144" s="272">
        <v>0</v>
      </c>
      <c r="G144" s="267"/>
      <c r="H144" s="212"/>
      <c r="I144" s="207" t="s">
        <v>3380</v>
      </c>
      <c r="J144" s="208"/>
      <c r="K144" s="281"/>
      <c r="L144" s="271">
        <v>16.5</v>
      </c>
      <c r="M144" s="69"/>
      <c r="N144" s="56"/>
      <c r="O144" s="272">
        <v>1.99</v>
      </c>
      <c r="Q144" s="267"/>
      <c r="R144" s="212"/>
      <c r="S144" s="207" t="s">
        <v>3380</v>
      </c>
      <c r="T144" s="208"/>
      <c r="U144" s="281"/>
      <c r="V144" s="271">
        <v>15.88</v>
      </c>
      <c r="W144" s="69"/>
      <c r="X144" s="56"/>
      <c r="Y144" s="272">
        <v>1.99</v>
      </c>
      <c r="Z144" s="267"/>
      <c r="AA144" s="267"/>
      <c r="AB144" s="212">
        <v>3</v>
      </c>
      <c r="AC144" s="207" t="s">
        <v>3380</v>
      </c>
      <c r="AD144" s="208">
        <v>5</v>
      </c>
      <c r="AE144" s="281"/>
      <c r="AF144" s="271">
        <v>15.88</v>
      </c>
      <c r="AG144" s="69"/>
      <c r="AH144" s="56"/>
      <c r="AI144" s="272">
        <v>1.99</v>
      </c>
      <c r="AJ144" s="267"/>
      <c r="AK144" s="267"/>
      <c r="AL144" s="212">
        <v>3</v>
      </c>
      <c r="AM144" s="207" t="s">
        <v>3380</v>
      </c>
      <c r="AN144" s="208">
        <v>5</v>
      </c>
      <c r="AO144" s="281"/>
    </row>
    <row r="145" spans="1:41" x14ac:dyDescent="0.25">
      <c r="A145" s="70" t="s">
        <v>3210</v>
      </c>
      <c r="B145" s="271">
        <v>0</v>
      </c>
      <c r="C145" s="69"/>
      <c r="D145" s="56"/>
      <c r="E145" s="272">
        <v>0</v>
      </c>
      <c r="G145" s="267"/>
      <c r="H145" s="212"/>
      <c r="I145" s="207" t="s">
        <v>3380</v>
      </c>
      <c r="J145" s="208"/>
      <c r="K145" s="281"/>
      <c r="L145" s="271">
        <v>22</v>
      </c>
      <c r="M145" s="69"/>
      <c r="N145" s="56"/>
      <c r="O145" s="272">
        <v>2.99</v>
      </c>
      <c r="Q145" s="267"/>
      <c r="R145" s="212"/>
      <c r="S145" s="207" t="s">
        <v>3380</v>
      </c>
      <c r="T145" s="208"/>
      <c r="U145" s="281"/>
      <c r="V145" s="271">
        <v>21.4</v>
      </c>
      <c r="W145" s="69"/>
      <c r="X145" s="56"/>
      <c r="Y145" s="272">
        <v>2.99</v>
      </c>
      <c r="Z145" s="267"/>
      <c r="AA145" s="267"/>
      <c r="AB145" s="212">
        <v>2</v>
      </c>
      <c r="AC145" s="207" t="s">
        <v>3380</v>
      </c>
      <c r="AD145" s="208">
        <v>5</v>
      </c>
      <c r="AE145" s="281"/>
      <c r="AF145" s="271">
        <v>21.4</v>
      </c>
      <c r="AG145" s="69"/>
      <c r="AH145" s="56"/>
      <c r="AI145" s="272">
        <v>2.99</v>
      </c>
      <c r="AJ145" s="267"/>
      <c r="AK145" s="267"/>
      <c r="AL145" s="212">
        <v>2</v>
      </c>
      <c r="AM145" s="207" t="s">
        <v>3380</v>
      </c>
      <c r="AN145" s="208">
        <v>5</v>
      </c>
      <c r="AO145" s="281"/>
    </row>
    <row r="146" spans="1:41" x14ac:dyDescent="0.25">
      <c r="A146" s="70" t="s">
        <v>3241</v>
      </c>
      <c r="B146" s="271">
        <v>0</v>
      </c>
      <c r="C146" s="69"/>
      <c r="D146" s="56"/>
      <c r="E146" s="272">
        <v>0</v>
      </c>
      <c r="G146" s="267"/>
      <c r="H146" s="212"/>
      <c r="I146" s="207" t="s">
        <v>3380</v>
      </c>
      <c r="J146" s="208"/>
      <c r="K146" s="281"/>
      <c r="L146" s="271">
        <v>43</v>
      </c>
      <c r="M146" s="69"/>
      <c r="N146" s="56"/>
      <c r="O146" s="272">
        <v>4.99</v>
      </c>
      <c r="Q146" s="267"/>
      <c r="R146" s="212"/>
      <c r="S146" s="207" t="s">
        <v>3380</v>
      </c>
      <c r="T146" s="208"/>
      <c r="U146" s="281"/>
      <c r="V146" s="271">
        <v>43</v>
      </c>
      <c r="W146" s="69"/>
      <c r="X146" s="56"/>
      <c r="Y146" s="272">
        <v>4.99</v>
      </c>
      <c r="Z146" s="267"/>
      <c r="AA146" s="267"/>
      <c r="AB146" s="212"/>
      <c r="AC146" s="207" t="s">
        <v>3380</v>
      </c>
      <c r="AD146" s="208"/>
      <c r="AE146" s="281"/>
      <c r="AF146" s="271">
        <v>43</v>
      </c>
      <c r="AG146" s="69"/>
      <c r="AH146" s="56"/>
      <c r="AI146" s="272">
        <v>4.99</v>
      </c>
      <c r="AJ146" s="267"/>
      <c r="AK146" s="267"/>
      <c r="AL146" s="212"/>
      <c r="AM146" s="207" t="s">
        <v>3380</v>
      </c>
      <c r="AN146" s="208"/>
      <c r="AO146" s="281"/>
    </row>
    <row r="147" spans="1:41" x14ac:dyDescent="0.25">
      <c r="A147" s="70" t="s">
        <v>3212</v>
      </c>
      <c r="B147" s="271">
        <v>0</v>
      </c>
      <c r="C147" s="69"/>
      <c r="D147" s="237"/>
      <c r="E147" s="272">
        <v>0</v>
      </c>
      <c r="G147" s="268"/>
      <c r="H147" s="212"/>
      <c r="I147" s="207" t="s">
        <v>3380</v>
      </c>
      <c r="J147" s="208"/>
      <c r="K147" s="281"/>
      <c r="L147" s="271">
        <v>0</v>
      </c>
      <c r="M147" s="69"/>
      <c r="N147" s="237"/>
      <c r="O147" s="273">
        <v>7.99</v>
      </c>
      <c r="Q147" s="268"/>
      <c r="R147" s="212"/>
      <c r="S147" s="207" t="s">
        <v>3380</v>
      </c>
      <c r="T147" s="208"/>
      <c r="U147" s="281"/>
      <c r="V147" s="271">
        <v>0</v>
      </c>
      <c r="W147" s="69"/>
      <c r="X147" s="237"/>
      <c r="Y147" s="273">
        <v>7.99</v>
      </c>
      <c r="Z147" s="268"/>
      <c r="AA147" s="268"/>
      <c r="AB147" s="212"/>
      <c r="AC147" s="207" t="s">
        <v>3380</v>
      </c>
      <c r="AD147" s="208"/>
      <c r="AE147" s="281"/>
      <c r="AF147" s="271">
        <v>0</v>
      </c>
      <c r="AG147" s="69"/>
      <c r="AH147" s="237"/>
      <c r="AI147" s="273">
        <v>7.99</v>
      </c>
      <c r="AJ147" s="267"/>
      <c r="AK147" s="268"/>
      <c r="AL147" s="212"/>
      <c r="AM147" s="207" t="s">
        <v>3380</v>
      </c>
      <c r="AN147" s="208"/>
      <c r="AO147" s="281"/>
    </row>
    <row r="148" spans="1:41" x14ac:dyDescent="0.25">
      <c r="A148" s="70" t="s">
        <v>1182</v>
      </c>
      <c r="B148" s="271">
        <v>0</v>
      </c>
      <c r="C148" s="69"/>
      <c r="D148" s="237"/>
      <c r="E148" s="272">
        <v>0</v>
      </c>
      <c r="G148" s="268"/>
      <c r="H148" s="212"/>
      <c r="I148" s="207" t="s">
        <v>3380</v>
      </c>
      <c r="J148" s="208"/>
      <c r="K148" s="281"/>
      <c r="L148" s="271">
        <v>22</v>
      </c>
      <c r="M148" s="69"/>
      <c r="N148" s="237"/>
      <c r="O148" s="273">
        <v>2.99</v>
      </c>
      <c r="Q148" s="268"/>
      <c r="R148" s="212"/>
      <c r="S148" s="207" t="s">
        <v>3380</v>
      </c>
      <c r="T148" s="208"/>
      <c r="U148" s="281"/>
      <c r="V148" s="271">
        <v>21.4</v>
      </c>
      <c r="W148" s="69"/>
      <c r="X148" s="237"/>
      <c r="Y148" s="273">
        <v>2.99</v>
      </c>
      <c r="Z148" s="268"/>
      <c r="AA148" s="268"/>
      <c r="AB148" s="212">
        <v>2</v>
      </c>
      <c r="AC148" s="207" t="s">
        <v>3380</v>
      </c>
      <c r="AD148" s="208">
        <v>5</v>
      </c>
      <c r="AE148" s="281"/>
      <c r="AF148" s="271">
        <v>21.4</v>
      </c>
      <c r="AG148" s="69"/>
      <c r="AH148" s="237"/>
      <c r="AI148" s="273">
        <v>2.99</v>
      </c>
      <c r="AJ148" s="267"/>
      <c r="AK148" s="268"/>
      <c r="AL148" s="212">
        <v>2</v>
      </c>
      <c r="AM148" s="207" t="s">
        <v>3380</v>
      </c>
      <c r="AN148" s="208">
        <v>5</v>
      </c>
      <c r="AO148" s="281"/>
    </row>
    <row r="149" spans="1:41" x14ac:dyDescent="0.25">
      <c r="A149" s="70" t="s">
        <v>1183</v>
      </c>
      <c r="B149" s="271">
        <v>0</v>
      </c>
      <c r="C149" s="69"/>
      <c r="D149" s="237"/>
      <c r="E149" s="272">
        <v>0</v>
      </c>
      <c r="G149" s="268"/>
      <c r="H149" s="212"/>
      <c r="I149" s="207" t="s">
        <v>3380</v>
      </c>
      <c r="J149" s="208"/>
      <c r="K149" s="281"/>
      <c r="L149" s="271">
        <v>14.5</v>
      </c>
      <c r="M149" s="69"/>
      <c r="N149" s="237"/>
      <c r="O149" s="273">
        <v>1.99</v>
      </c>
      <c r="Q149" s="268"/>
      <c r="R149" s="212"/>
      <c r="S149" s="207" t="s">
        <v>3380</v>
      </c>
      <c r="T149" s="208"/>
      <c r="U149" s="281"/>
      <c r="V149" s="271">
        <v>13.6</v>
      </c>
      <c r="W149" s="69"/>
      <c r="X149" s="237"/>
      <c r="Y149" s="273">
        <v>1.99</v>
      </c>
      <c r="Z149" s="268"/>
      <c r="AA149" s="268"/>
      <c r="AB149" s="212">
        <v>2</v>
      </c>
      <c r="AC149" s="207" t="s">
        <v>3380</v>
      </c>
      <c r="AD149" s="208">
        <v>3</v>
      </c>
      <c r="AE149" s="281"/>
      <c r="AF149" s="271">
        <v>13.6</v>
      </c>
      <c r="AG149" s="69"/>
      <c r="AH149" s="237"/>
      <c r="AI149" s="273">
        <v>1.99</v>
      </c>
      <c r="AJ149" s="267"/>
      <c r="AK149" s="268"/>
      <c r="AL149" s="212">
        <v>2</v>
      </c>
      <c r="AM149" s="207" t="s">
        <v>3380</v>
      </c>
      <c r="AN149" s="208">
        <v>3</v>
      </c>
      <c r="AO149" s="281"/>
    </row>
    <row r="150" spans="1:41" ht="5.0999999999999996" customHeight="1" x14ac:dyDescent="0.25">
      <c r="A150" s="213">
        <v>0</v>
      </c>
      <c r="B150" s="71"/>
      <c r="C150" s="71"/>
      <c r="D150" s="56"/>
      <c r="E150" s="108"/>
      <c r="G150" s="108"/>
      <c r="H150" s="197"/>
      <c r="I150" s="134"/>
      <c r="J150" s="205"/>
      <c r="K150" s="281"/>
      <c r="L150" s="71"/>
      <c r="M150" s="71"/>
      <c r="N150" s="56"/>
      <c r="O150" s="108"/>
      <c r="Q150" s="108"/>
      <c r="R150" s="197"/>
      <c r="S150" s="134"/>
      <c r="T150" s="205"/>
      <c r="U150" s="281"/>
      <c r="V150" s="71"/>
      <c r="W150" s="71"/>
      <c r="X150" s="56"/>
      <c r="Y150" s="108"/>
      <c r="Z150" s="108"/>
      <c r="AA150" s="108"/>
      <c r="AB150" s="197"/>
      <c r="AC150" s="134"/>
      <c r="AD150" s="205"/>
      <c r="AE150" s="281"/>
      <c r="AF150" s="71"/>
      <c r="AG150" s="71"/>
      <c r="AH150" s="56"/>
      <c r="AI150" s="108"/>
      <c r="AJ150" s="267"/>
      <c r="AK150" s="108"/>
      <c r="AL150" s="197"/>
      <c r="AM150" s="134"/>
      <c r="AN150" s="205"/>
      <c r="AO150" s="281"/>
    </row>
    <row r="151" spans="1:41" ht="15.75" x14ac:dyDescent="0.25">
      <c r="A151" s="68"/>
      <c r="B151" s="71"/>
      <c r="C151" s="71"/>
      <c r="D151" s="56"/>
      <c r="E151" s="108"/>
      <c r="G151" s="108"/>
      <c r="H151" s="197"/>
      <c r="I151" s="134"/>
      <c r="J151" s="205"/>
      <c r="K151" s="281"/>
      <c r="L151" s="71"/>
      <c r="M151" s="71"/>
      <c r="N151" s="56"/>
      <c r="O151" s="108"/>
      <c r="Q151" s="108"/>
      <c r="R151" s="197"/>
      <c r="S151" s="134"/>
      <c r="T151" s="205"/>
      <c r="U151" s="281"/>
      <c r="V151" s="71"/>
      <c r="W151" s="71"/>
      <c r="X151" s="56"/>
      <c r="Y151" s="108"/>
      <c r="Z151" s="108"/>
      <c r="AA151" s="108"/>
      <c r="AB151" s="197"/>
      <c r="AC151" s="134"/>
      <c r="AD151" s="205"/>
      <c r="AE151" s="281"/>
      <c r="AF151" s="71"/>
      <c r="AG151" s="71"/>
      <c r="AH151" s="56"/>
      <c r="AI151" s="108"/>
      <c r="AJ151" s="267"/>
      <c r="AK151" s="108"/>
      <c r="AL151" s="197"/>
      <c r="AM151" s="134"/>
      <c r="AN151" s="205"/>
      <c r="AO151" s="281"/>
    </row>
    <row r="152" spans="1:41" x14ac:dyDescent="0.25">
      <c r="A152" s="70" t="s">
        <v>956</v>
      </c>
      <c r="B152" s="271">
        <v>0</v>
      </c>
      <c r="C152" s="69"/>
      <c r="D152" s="72"/>
      <c r="E152" s="273">
        <v>0</v>
      </c>
      <c r="G152" s="268"/>
      <c r="H152" s="212"/>
      <c r="I152" s="207" t="s">
        <v>3380</v>
      </c>
      <c r="J152" s="208"/>
      <c r="K152" s="281"/>
      <c r="L152" s="271">
        <v>0</v>
      </c>
      <c r="M152" s="69"/>
      <c r="N152" s="72"/>
      <c r="O152" s="273">
        <v>1.29</v>
      </c>
      <c r="Q152" s="268"/>
      <c r="R152" s="212"/>
      <c r="S152" s="207" t="s">
        <v>3380</v>
      </c>
      <c r="T152" s="208"/>
      <c r="U152" s="281"/>
      <c r="V152" s="271">
        <v>0</v>
      </c>
      <c r="W152" s="69"/>
      <c r="X152" s="72"/>
      <c r="Y152" s="273">
        <v>1.29</v>
      </c>
      <c r="Z152" s="268"/>
      <c r="AA152" s="268"/>
      <c r="AB152" s="212"/>
      <c r="AC152" s="207" t="s">
        <v>3380</v>
      </c>
      <c r="AD152" s="208"/>
      <c r="AE152" s="281"/>
      <c r="AF152" s="271">
        <v>0</v>
      </c>
      <c r="AG152" s="69"/>
      <c r="AH152" s="72"/>
      <c r="AI152" s="273">
        <v>1.29</v>
      </c>
      <c r="AJ152" s="267"/>
      <c r="AK152" s="268"/>
      <c r="AL152" s="212"/>
      <c r="AM152" s="207" t="s">
        <v>3380</v>
      </c>
      <c r="AN152" s="208"/>
      <c r="AO152" s="281"/>
    </row>
    <row r="153" spans="1:41" x14ac:dyDescent="0.25">
      <c r="A153" s="70" t="s">
        <v>3242</v>
      </c>
      <c r="B153" s="271">
        <v>0</v>
      </c>
      <c r="C153" s="69"/>
      <c r="D153" s="72"/>
      <c r="E153" s="273">
        <v>0</v>
      </c>
      <c r="G153" s="268"/>
      <c r="H153" s="212"/>
      <c r="I153" s="207" t="s">
        <v>3380</v>
      </c>
      <c r="J153" s="208"/>
      <c r="K153" s="281"/>
      <c r="L153" s="271">
        <v>0</v>
      </c>
      <c r="M153" s="69"/>
      <c r="N153" s="72"/>
      <c r="O153" s="273">
        <v>1.59</v>
      </c>
      <c r="Q153" s="268"/>
      <c r="R153" s="212"/>
      <c r="S153" s="207" t="s">
        <v>3380</v>
      </c>
      <c r="T153" s="208"/>
      <c r="U153" s="281"/>
      <c r="V153" s="271">
        <v>0</v>
      </c>
      <c r="W153" s="69"/>
      <c r="X153" s="72"/>
      <c r="Y153" s="273">
        <v>1.59</v>
      </c>
      <c r="Z153" s="268"/>
      <c r="AA153" s="268"/>
      <c r="AB153" s="212"/>
      <c r="AC153" s="207" t="s">
        <v>3380</v>
      </c>
      <c r="AD153" s="208"/>
      <c r="AE153" s="281"/>
      <c r="AF153" s="271">
        <v>0</v>
      </c>
      <c r="AG153" s="69"/>
      <c r="AH153" s="72"/>
      <c r="AI153" s="273">
        <v>1.59</v>
      </c>
      <c r="AJ153" s="267"/>
      <c r="AK153" s="268"/>
      <c r="AL153" s="212"/>
      <c r="AM153" s="207" t="s">
        <v>3380</v>
      </c>
      <c r="AN153" s="208"/>
      <c r="AO153" s="281"/>
    </row>
    <row r="154" spans="1:41" x14ac:dyDescent="0.25">
      <c r="A154" s="106" t="s">
        <v>3243</v>
      </c>
      <c r="B154" s="271">
        <v>0</v>
      </c>
      <c r="C154" s="69"/>
      <c r="D154" s="56"/>
      <c r="E154" s="273">
        <v>0</v>
      </c>
      <c r="G154" s="267"/>
      <c r="H154" s="212"/>
      <c r="I154" s="207" t="s">
        <v>3380</v>
      </c>
      <c r="J154" s="208"/>
      <c r="K154" s="281"/>
      <c r="L154" s="271">
        <v>0</v>
      </c>
      <c r="M154" s="69"/>
      <c r="N154" s="56"/>
      <c r="O154" s="272">
        <v>3.99</v>
      </c>
      <c r="Q154" s="267"/>
      <c r="R154" s="212"/>
      <c r="S154" s="207" t="s">
        <v>3380</v>
      </c>
      <c r="T154" s="208"/>
      <c r="U154" s="281"/>
      <c r="V154" s="271">
        <v>0</v>
      </c>
      <c r="W154" s="69"/>
      <c r="X154" s="56"/>
      <c r="Y154" s="272">
        <v>3.99</v>
      </c>
      <c r="Z154" s="267"/>
      <c r="AA154" s="267"/>
      <c r="AB154" s="212"/>
      <c r="AC154" s="207" t="s">
        <v>3380</v>
      </c>
      <c r="AD154" s="208"/>
      <c r="AE154" s="281"/>
      <c r="AF154" s="271">
        <v>0</v>
      </c>
      <c r="AG154" s="69"/>
      <c r="AH154" s="56"/>
      <c r="AI154" s="272">
        <v>3.99</v>
      </c>
      <c r="AJ154" s="267"/>
      <c r="AK154" s="267"/>
      <c r="AL154" s="212"/>
      <c r="AM154" s="207" t="s">
        <v>3380</v>
      </c>
      <c r="AN154" s="208"/>
      <c r="AO154" s="281"/>
    </row>
    <row r="155" spans="1:41" x14ac:dyDescent="0.25">
      <c r="A155" s="106" t="s">
        <v>3218</v>
      </c>
      <c r="B155" s="271">
        <v>0</v>
      </c>
      <c r="C155" s="69"/>
      <c r="D155" s="56"/>
      <c r="E155" s="273">
        <v>0</v>
      </c>
      <c r="G155" s="267"/>
      <c r="H155" s="212"/>
      <c r="I155" s="207" t="s">
        <v>3380</v>
      </c>
      <c r="J155" s="208"/>
      <c r="K155" s="281"/>
      <c r="L155" s="271">
        <v>0</v>
      </c>
      <c r="M155" s="69"/>
      <c r="N155" s="56"/>
      <c r="O155" s="272">
        <v>1.39</v>
      </c>
      <c r="Q155" s="267"/>
      <c r="R155" s="212"/>
      <c r="S155" s="207" t="s">
        <v>3380</v>
      </c>
      <c r="T155" s="208"/>
      <c r="U155" s="281"/>
      <c r="V155" s="271">
        <v>0</v>
      </c>
      <c r="W155" s="69"/>
      <c r="X155" s="56"/>
      <c r="Y155" s="272">
        <v>1.39</v>
      </c>
      <c r="Z155" s="267"/>
      <c r="AA155" s="267"/>
      <c r="AB155" s="212"/>
      <c r="AC155" s="207" t="s">
        <v>3380</v>
      </c>
      <c r="AD155" s="208"/>
      <c r="AE155" s="281"/>
      <c r="AF155" s="271">
        <v>0</v>
      </c>
      <c r="AG155" s="69"/>
      <c r="AH155" s="56"/>
      <c r="AI155" s="272">
        <v>1.39</v>
      </c>
      <c r="AJ155" s="267"/>
      <c r="AK155" s="267"/>
      <c r="AL155" s="212"/>
      <c r="AM155" s="207" t="s">
        <v>3380</v>
      </c>
      <c r="AN155" s="208"/>
      <c r="AO155" s="281"/>
    </row>
    <row r="156" spans="1:41" x14ac:dyDescent="0.25">
      <c r="A156" s="106" t="s">
        <v>3219</v>
      </c>
      <c r="B156" s="271">
        <v>0</v>
      </c>
      <c r="C156" s="69"/>
      <c r="D156" s="56"/>
      <c r="E156" s="273">
        <v>0</v>
      </c>
      <c r="G156" s="267"/>
      <c r="H156" s="212"/>
      <c r="I156" s="207" t="s">
        <v>3380</v>
      </c>
      <c r="J156" s="208"/>
      <c r="K156" s="281"/>
      <c r="L156" s="271">
        <v>0</v>
      </c>
      <c r="M156" s="69"/>
      <c r="N156" s="56"/>
      <c r="O156" s="272">
        <v>2.29</v>
      </c>
      <c r="Q156" s="267"/>
      <c r="R156" s="212"/>
      <c r="S156" s="207" t="s">
        <v>3380</v>
      </c>
      <c r="T156" s="208"/>
      <c r="U156" s="281"/>
      <c r="V156" s="271">
        <v>0</v>
      </c>
      <c r="W156" s="69"/>
      <c r="X156" s="56"/>
      <c r="Y156" s="272">
        <v>2.29</v>
      </c>
      <c r="Z156" s="267"/>
      <c r="AA156" s="267"/>
      <c r="AB156" s="212"/>
      <c r="AC156" s="207" t="s">
        <v>3380</v>
      </c>
      <c r="AD156" s="208"/>
      <c r="AE156" s="281"/>
      <c r="AF156" s="271">
        <v>0</v>
      </c>
      <c r="AG156" s="69"/>
      <c r="AH156" s="56"/>
      <c r="AI156" s="272">
        <v>2.29</v>
      </c>
      <c r="AJ156" s="267"/>
      <c r="AK156" s="267"/>
      <c r="AL156" s="212"/>
      <c r="AM156" s="207" t="s">
        <v>3380</v>
      </c>
      <c r="AN156" s="208"/>
      <c r="AO156" s="281"/>
    </row>
    <row r="157" spans="1:41" ht="5.0999999999999996" customHeight="1" x14ac:dyDescent="0.25">
      <c r="A157" s="213">
        <v>0</v>
      </c>
      <c r="B157" s="71"/>
      <c r="C157" s="71"/>
      <c r="D157" s="56"/>
      <c r="E157" s="108"/>
      <c r="G157" s="108"/>
      <c r="H157" s="197"/>
      <c r="I157" s="134"/>
      <c r="J157" s="205"/>
      <c r="K157" s="281"/>
      <c r="L157" s="71"/>
      <c r="M157" s="71"/>
      <c r="N157" s="56"/>
      <c r="O157" s="108"/>
      <c r="Q157" s="108"/>
      <c r="R157" s="197"/>
      <c r="S157" s="134"/>
      <c r="T157" s="205"/>
      <c r="U157" s="281"/>
      <c r="V157" s="71"/>
      <c r="W157" s="71"/>
      <c r="X157" s="56"/>
      <c r="Y157" s="108"/>
      <c r="Z157" s="108"/>
      <c r="AA157" s="108"/>
      <c r="AB157" s="197"/>
      <c r="AC157" s="134"/>
      <c r="AD157" s="205"/>
      <c r="AE157" s="281"/>
      <c r="AF157" s="71"/>
      <c r="AG157" s="71"/>
      <c r="AH157" s="56"/>
      <c r="AI157" s="108"/>
      <c r="AJ157" s="267"/>
      <c r="AK157" s="108"/>
      <c r="AL157" s="197"/>
      <c r="AM157" s="134"/>
      <c r="AN157" s="205"/>
      <c r="AO157" s="281"/>
    </row>
    <row r="158" spans="1:41" ht="15.75" x14ac:dyDescent="0.25">
      <c r="A158" s="68"/>
      <c r="B158" s="71"/>
      <c r="C158" s="71"/>
      <c r="D158" s="56"/>
      <c r="E158" s="108"/>
      <c r="G158" s="108"/>
      <c r="H158" s="197"/>
      <c r="I158" s="134"/>
      <c r="J158" s="205"/>
      <c r="K158" s="281"/>
      <c r="L158" s="71"/>
      <c r="M158" s="71"/>
      <c r="N158" s="56"/>
      <c r="O158" s="108"/>
      <c r="Q158" s="108"/>
      <c r="R158" s="197"/>
      <c r="S158" s="134"/>
      <c r="T158" s="205"/>
      <c r="U158" s="281"/>
      <c r="V158" s="71"/>
      <c r="W158" s="71"/>
      <c r="X158" s="56"/>
      <c r="Y158" s="108"/>
      <c r="Z158" s="108"/>
      <c r="AA158" s="108"/>
      <c r="AB158" s="197"/>
      <c r="AC158" s="134"/>
      <c r="AD158" s="205"/>
      <c r="AE158" s="281"/>
      <c r="AF158" s="71"/>
      <c r="AG158" s="71"/>
      <c r="AH158" s="56"/>
      <c r="AI158" s="108"/>
      <c r="AJ158" s="267"/>
      <c r="AK158" s="108"/>
      <c r="AL158" s="197"/>
      <c r="AM158" s="134"/>
      <c r="AN158" s="205"/>
      <c r="AO158" s="281"/>
    </row>
    <row r="159" spans="1:41" x14ac:dyDescent="0.25">
      <c r="A159" s="70" t="s">
        <v>3506</v>
      </c>
      <c r="B159" s="271">
        <v>0</v>
      </c>
      <c r="C159" s="69"/>
      <c r="D159" s="72"/>
      <c r="E159" s="273">
        <v>0</v>
      </c>
      <c r="G159" s="268"/>
      <c r="H159" s="212"/>
      <c r="I159" s="207" t="s">
        <v>3380</v>
      </c>
      <c r="J159" s="208"/>
      <c r="K159" s="281"/>
      <c r="L159" s="271">
        <v>11.5</v>
      </c>
      <c r="M159" s="69"/>
      <c r="N159" s="72"/>
      <c r="O159" s="273">
        <v>1.59</v>
      </c>
      <c r="Q159" s="268"/>
      <c r="R159" s="212"/>
      <c r="S159" s="207" t="s">
        <v>3380</v>
      </c>
      <c r="T159" s="208"/>
      <c r="U159" s="281"/>
      <c r="V159" s="271">
        <v>10.25</v>
      </c>
      <c r="W159" s="69"/>
      <c r="X159" s="72"/>
      <c r="Y159" s="273">
        <v>1.59</v>
      </c>
      <c r="Z159" s="268"/>
      <c r="AA159" s="268"/>
      <c r="AB159" s="212">
        <v>2</v>
      </c>
      <c r="AC159" s="207" t="s">
        <v>3380</v>
      </c>
      <c r="AD159" s="208">
        <v>2.2200000000000002</v>
      </c>
      <c r="AE159" s="281"/>
      <c r="AF159" s="271">
        <v>10.25</v>
      </c>
      <c r="AG159" s="69"/>
      <c r="AH159" s="72"/>
      <c r="AI159" s="273">
        <v>1.59</v>
      </c>
      <c r="AJ159" s="267"/>
      <c r="AK159" s="268"/>
      <c r="AL159" s="212">
        <v>2</v>
      </c>
      <c r="AM159" s="207" t="s">
        <v>3380</v>
      </c>
      <c r="AN159" s="208">
        <v>2.2200000000000002</v>
      </c>
      <c r="AO159" s="281"/>
    </row>
    <row r="160" spans="1:41" x14ac:dyDescent="0.25">
      <c r="A160" s="70" t="s">
        <v>3507</v>
      </c>
      <c r="B160" s="271">
        <v>0</v>
      </c>
      <c r="C160" s="69"/>
      <c r="D160" s="72"/>
      <c r="E160" s="273">
        <v>0</v>
      </c>
      <c r="G160" s="268"/>
      <c r="H160" s="212"/>
      <c r="I160" s="207" t="s">
        <v>3380</v>
      </c>
      <c r="J160" s="208"/>
      <c r="K160" s="281"/>
      <c r="L160" s="271">
        <v>13.74</v>
      </c>
      <c r="M160" s="69"/>
      <c r="N160" s="72"/>
      <c r="O160" s="273">
        <v>1.99</v>
      </c>
      <c r="Q160" s="268"/>
      <c r="R160" s="212"/>
      <c r="S160" s="207" t="s">
        <v>3380</v>
      </c>
      <c r="T160" s="208"/>
      <c r="U160" s="281"/>
      <c r="V160" s="271">
        <v>13.74</v>
      </c>
      <c r="W160" s="69"/>
      <c r="X160" s="72"/>
      <c r="Y160" s="273">
        <v>1.99</v>
      </c>
      <c r="Z160" s="268"/>
      <c r="AA160" s="268"/>
      <c r="AB160" s="212">
        <v>2</v>
      </c>
      <c r="AC160" s="207" t="s">
        <v>3380</v>
      </c>
      <c r="AD160" s="208">
        <v>3</v>
      </c>
      <c r="AE160" s="281"/>
      <c r="AF160" s="271">
        <v>13.74</v>
      </c>
      <c r="AG160" s="69"/>
      <c r="AH160" s="72"/>
      <c r="AI160" s="273">
        <v>1.99</v>
      </c>
      <c r="AJ160" s="267"/>
      <c r="AK160" s="268"/>
      <c r="AL160" s="212">
        <v>2</v>
      </c>
      <c r="AM160" s="207" t="s">
        <v>3380</v>
      </c>
      <c r="AN160" s="208">
        <v>3</v>
      </c>
      <c r="AO160" s="281"/>
    </row>
    <row r="161" spans="1:41" x14ac:dyDescent="0.25">
      <c r="A161" s="70" t="s">
        <v>915</v>
      </c>
      <c r="B161" s="271">
        <v>0</v>
      </c>
      <c r="C161" s="69"/>
      <c r="D161" s="72"/>
      <c r="E161" s="273">
        <v>0</v>
      </c>
      <c r="G161" s="268"/>
      <c r="H161" s="212"/>
      <c r="I161" s="207" t="s">
        <v>3380</v>
      </c>
      <c r="J161" s="208"/>
      <c r="K161" s="281"/>
      <c r="L161" s="271">
        <v>25</v>
      </c>
      <c r="M161" s="69"/>
      <c r="N161" s="72"/>
      <c r="O161" s="273">
        <v>1.79</v>
      </c>
      <c r="Q161" s="268"/>
      <c r="R161" s="212"/>
      <c r="S161" s="207" t="s">
        <v>3380</v>
      </c>
      <c r="T161" s="208"/>
      <c r="U161" s="281"/>
      <c r="V161" s="271">
        <v>23.9</v>
      </c>
      <c r="W161" s="69"/>
      <c r="X161" s="72"/>
      <c r="Y161" s="273">
        <v>1.79</v>
      </c>
      <c r="Z161" s="268"/>
      <c r="AA161" s="268"/>
      <c r="AB161" s="212">
        <v>2</v>
      </c>
      <c r="AC161" s="207" t="s">
        <v>3380</v>
      </c>
      <c r="AD161" s="208">
        <v>3</v>
      </c>
      <c r="AE161" s="281"/>
      <c r="AF161" s="271">
        <v>23.9</v>
      </c>
      <c r="AG161" s="69"/>
      <c r="AH161" s="72"/>
      <c r="AI161" s="273">
        <v>1.79</v>
      </c>
      <c r="AJ161" s="267"/>
      <c r="AK161" s="268"/>
      <c r="AL161" s="212">
        <v>2</v>
      </c>
      <c r="AM161" s="207" t="s">
        <v>3380</v>
      </c>
      <c r="AN161" s="208">
        <v>3</v>
      </c>
      <c r="AO161" s="281"/>
    </row>
    <row r="162" spans="1:41" x14ac:dyDescent="0.25">
      <c r="A162" s="70" t="s">
        <v>1050</v>
      </c>
      <c r="B162" s="271">
        <v>0</v>
      </c>
      <c r="C162" s="69"/>
      <c r="D162" s="72"/>
      <c r="E162" s="273">
        <v>0</v>
      </c>
      <c r="G162" s="268"/>
      <c r="H162" s="212"/>
      <c r="I162" s="207" t="s">
        <v>3380</v>
      </c>
      <c r="J162" s="208"/>
      <c r="K162" s="281"/>
      <c r="L162" s="271">
        <v>28</v>
      </c>
      <c r="M162" s="69"/>
      <c r="N162" s="72"/>
      <c r="O162" s="273">
        <v>1.99</v>
      </c>
      <c r="Q162" s="268"/>
      <c r="R162" s="212"/>
      <c r="S162" s="207" t="s">
        <v>3380</v>
      </c>
      <c r="T162" s="208"/>
      <c r="U162" s="281"/>
      <c r="V162" s="271">
        <v>26.2</v>
      </c>
      <c r="W162" s="69"/>
      <c r="X162" s="72"/>
      <c r="Y162" s="273">
        <v>1.99</v>
      </c>
      <c r="Z162" s="268"/>
      <c r="AA162" s="268"/>
      <c r="AB162" s="212">
        <v>2</v>
      </c>
      <c r="AC162" s="207" t="s">
        <v>3380</v>
      </c>
      <c r="AD162" s="208">
        <v>3.5</v>
      </c>
      <c r="AE162" s="281"/>
      <c r="AF162" s="271">
        <v>26.2</v>
      </c>
      <c r="AG162" s="69"/>
      <c r="AH162" s="72"/>
      <c r="AI162" s="273">
        <v>1.99</v>
      </c>
      <c r="AJ162" s="267"/>
      <c r="AK162" s="268"/>
      <c r="AL162" s="212">
        <v>2</v>
      </c>
      <c r="AM162" s="207" t="s">
        <v>3380</v>
      </c>
      <c r="AN162" s="208">
        <v>3.5</v>
      </c>
      <c r="AO162" s="281"/>
    </row>
    <row r="163" spans="1:41" x14ac:dyDescent="0.25">
      <c r="A163" s="70" t="s">
        <v>916</v>
      </c>
      <c r="B163" s="271">
        <v>0</v>
      </c>
      <c r="C163" s="69"/>
      <c r="D163" s="72"/>
      <c r="E163" s="273">
        <v>0</v>
      </c>
      <c r="G163" s="268"/>
      <c r="H163" s="212"/>
      <c r="I163" s="207" t="s">
        <v>3380</v>
      </c>
      <c r="J163" s="208"/>
      <c r="K163" s="281"/>
      <c r="L163" s="271">
        <v>16</v>
      </c>
      <c r="M163" s="69"/>
      <c r="N163" s="72"/>
      <c r="O163" s="273">
        <v>2.29</v>
      </c>
      <c r="Q163" s="268"/>
      <c r="R163" s="212"/>
      <c r="S163" s="207" t="s">
        <v>3380</v>
      </c>
      <c r="T163" s="208"/>
      <c r="U163" s="281"/>
      <c r="V163" s="271">
        <v>15.1</v>
      </c>
      <c r="W163" s="69"/>
      <c r="X163" s="72"/>
      <c r="Y163" s="273">
        <v>2.29</v>
      </c>
      <c r="Z163" s="268"/>
      <c r="AA163" s="268"/>
      <c r="AB163" s="212">
        <v>2</v>
      </c>
      <c r="AC163" s="207" t="s">
        <v>3380</v>
      </c>
      <c r="AD163" s="208">
        <v>4</v>
      </c>
      <c r="AE163" s="281"/>
      <c r="AF163" s="271">
        <v>15.1</v>
      </c>
      <c r="AG163" s="69"/>
      <c r="AH163" s="72"/>
      <c r="AI163" s="273">
        <v>2.29</v>
      </c>
      <c r="AJ163" s="267"/>
      <c r="AK163" s="268"/>
      <c r="AL163" s="212">
        <v>2</v>
      </c>
      <c r="AM163" s="207" t="s">
        <v>3380</v>
      </c>
      <c r="AN163" s="208">
        <v>4</v>
      </c>
      <c r="AO163" s="281"/>
    </row>
    <row r="164" spans="1:41" x14ac:dyDescent="0.25">
      <c r="A164" s="70" t="s">
        <v>3247</v>
      </c>
      <c r="B164" s="271">
        <v>0</v>
      </c>
      <c r="C164" s="69"/>
      <c r="D164" s="72"/>
      <c r="E164" s="273">
        <v>0</v>
      </c>
      <c r="G164" s="268"/>
      <c r="H164" s="212"/>
      <c r="I164" s="207" t="s">
        <v>3380</v>
      </c>
      <c r="J164" s="208"/>
      <c r="K164" s="281"/>
      <c r="L164" s="271">
        <v>20</v>
      </c>
      <c r="M164" s="69"/>
      <c r="N164" s="72"/>
      <c r="O164" s="273">
        <v>2.79</v>
      </c>
      <c r="Q164" s="268"/>
      <c r="R164" s="212"/>
      <c r="S164" s="207" t="s">
        <v>3380</v>
      </c>
      <c r="T164" s="208"/>
      <c r="U164" s="281"/>
      <c r="V164" s="271">
        <v>19.2</v>
      </c>
      <c r="W164" s="69"/>
      <c r="X164" s="72"/>
      <c r="Y164" s="273">
        <v>2.79</v>
      </c>
      <c r="Z164" s="268"/>
      <c r="AA164" s="268"/>
      <c r="AB164" s="212">
        <v>2</v>
      </c>
      <c r="AC164" s="207" t="s">
        <v>3380</v>
      </c>
      <c r="AD164" s="208">
        <v>5</v>
      </c>
      <c r="AE164" s="281"/>
      <c r="AF164" s="271">
        <v>19.2</v>
      </c>
      <c r="AG164" s="69"/>
      <c r="AH164" s="72"/>
      <c r="AI164" s="273">
        <v>2.79</v>
      </c>
      <c r="AJ164" s="267"/>
      <c r="AK164" s="268"/>
      <c r="AL164" s="212">
        <v>2</v>
      </c>
      <c r="AM164" s="207" t="s">
        <v>3380</v>
      </c>
      <c r="AN164" s="208">
        <v>5</v>
      </c>
      <c r="AO164" s="281"/>
    </row>
    <row r="165" spans="1:41" x14ac:dyDescent="0.25">
      <c r="A165" s="70" t="s">
        <v>918</v>
      </c>
      <c r="B165" s="271">
        <v>0</v>
      </c>
      <c r="C165" s="69"/>
      <c r="D165" s="72"/>
      <c r="E165" s="273">
        <v>0</v>
      </c>
      <c r="G165" s="268"/>
      <c r="H165" s="212"/>
      <c r="I165" s="207" t="s">
        <v>3380</v>
      </c>
      <c r="J165" s="208"/>
      <c r="K165" s="281"/>
      <c r="L165" s="271">
        <v>0</v>
      </c>
      <c r="M165" s="69"/>
      <c r="N165" s="72"/>
      <c r="O165" s="273">
        <v>6.99</v>
      </c>
      <c r="Q165" s="268"/>
      <c r="R165" s="212"/>
      <c r="S165" s="207" t="s">
        <v>3380</v>
      </c>
      <c r="T165" s="208"/>
      <c r="U165" s="281"/>
      <c r="V165" s="271">
        <v>0</v>
      </c>
      <c r="W165" s="69"/>
      <c r="X165" s="72"/>
      <c r="Y165" s="273">
        <v>6.99</v>
      </c>
      <c r="Z165" s="268"/>
      <c r="AA165" s="268"/>
      <c r="AB165" s="212"/>
      <c r="AC165" s="207" t="s">
        <v>3380</v>
      </c>
      <c r="AD165" s="208"/>
      <c r="AE165" s="281"/>
      <c r="AF165" s="271">
        <v>0</v>
      </c>
      <c r="AG165" s="69"/>
      <c r="AH165" s="72"/>
      <c r="AI165" s="273">
        <v>6.99</v>
      </c>
      <c r="AJ165" s="267"/>
      <c r="AK165" s="268"/>
      <c r="AL165" s="212"/>
      <c r="AM165" s="207" t="s">
        <v>3380</v>
      </c>
      <c r="AN165" s="208"/>
      <c r="AO165" s="281"/>
    </row>
    <row r="166" spans="1:41" x14ac:dyDescent="0.25">
      <c r="A166" s="111" t="s">
        <v>917</v>
      </c>
      <c r="B166" s="271">
        <v>0</v>
      </c>
      <c r="C166" s="112"/>
      <c r="D166" s="72"/>
      <c r="E166" s="273">
        <v>0</v>
      </c>
      <c r="G166" s="268"/>
      <c r="H166" s="212"/>
      <c r="I166" s="207" t="s">
        <v>3380</v>
      </c>
      <c r="J166" s="208"/>
      <c r="K166" s="281"/>
      <c r="L166" s="271">
        <v>0</v>
      </c>
      <c r="M166" s="112"/>
      <c r="N166" s="72"/>
      <c r="O166" s="273">
        <v>9.99</v>
      </c>
      <c r="Q166" s="268"/>
      <c r="R166" s="212"/>
      <c r="S166" s="207" t="s">
        <v>3380</v>
      </c>
      <c r="T166" s="208"/>
      <c r="U166" s="281"/>
      <c r="V166" s="271">
        <v>0</v>
      </c>
      <c r="W166" s="112"/>
      <c r="X166" s="72"/>
      <c r="Y166" s="273">
        <v>9.99</v>
      </c>
      <c r="Z166" s="268"/>
      <c r="AA166" s="268"/>
      <c r="AB166" s="212"/>
      <c r="AC166" s="207" t="s">
        <v>3380</v>
      </c>
      <c r="AD166" s="208"/>
      <c r="AE166" s="281"/>
      <c r="AF166" s="271">
        <v>0</v>
      </c>
      <c r="AG166" s="112"/>
      <c r="AH166" s="72"/>
      <c r="AI166" s="273">
        <v>9.99</v>
      </c>
      <c r="AJ166" s="267"/>
      <c r="AK166" s="268"/>
      <c r="AL166" s="212"/>
      <c r="AM166" s="207" t="s">
        <v>3380</v>
      </c>
      <c r="AN166" s="208"/>
      <c r="AO166" s="281"/>
    </row>
    <row r="167" spans="1:41" ht="5.0999999999999996" customHeight="1" x14ac:dyDescent="0.25">
      <c r="A167" s="213">
        <v>0</v>
      </c>
      <c r="B167" s="71"/>
      <c r="C167" s="71"/>
      <c r="D167" s="56"/>
      <c r="E167" s="108"/>
      <c r="G167" s="108"/>
      <c r="H167" s="197"/>
      <c r="I167" s="134"/>
      <c r="J167" s="205"/>
      <c r="K167" s="281"/>
      <c r="L167" s="71"/>
      <c r="M167" s="71"/>
      <c r="N167" s="56"/>
      <c r="O167" s="108"/>
      <c r="Q167" s="108"/>
      <c r="R167" s="197"/>
      <c r="S167" s="134"/>
      <c r="T167" s="205"/>
      <c r="U167" s="281"/>
      <c r="V167" s="71"/>
      <c r="W167" s="71"/>
      <c r="X167" s="56"/>
      <c r="Y167" s="108"/>
      <c r="Z167" s="108"/>
      <c r="AA167" s="108"/>
      <c r="AB167" s="197"/>
      <c r="AC167" s="134"/>
      <c r="AD167" s="205"/>
      <c r="AE167" s="281"/>
      <c r="AF167" s="71"/>
      <c r="AG167" s="71"/>
      <c r="AH167" s="56"/>
      <c r="AI167" s="108"/>
      <c r="AJ167" s="267"/>
      <c r="AK167" s="108"/>
      <c r="AL167" s="197"/>
      <c r="AM167" s="134"/>
      <c r="AN167" s="205"/>
      <c r="AO167" s="281"/>
    </row>
    <row r="168" spans="1:41" ht="15.75" x14ac:dyDescent="0.25">
      <c r="A168" s="68"/>
      <c r="B168" s="71"/>
      <c r="C168" s="71"/>
      <c r="D168" s="56"/>
      <c r="E168" s="108"/>
      <c r="G168" s="108"/>
      <c r="H168" s="197"/>
      <c r="I168" s="134"/>
      <c r="J168" s="205"/>
      <c r="K168" s="281"/>
      <c r="L168" s="71"/>
      <c r="M168" s="71"/>
      <c r="N168" s="56"/>
      <c r="O168" s="108"/>
      <c r="Q168" s="108"/>
      <c r="R168" s="197"/>
      <c r="S168" s="134"/>
      <c r="T168" s="205"/>
      <c r="U168" s="281"/>
      <c r="V168" s="71"/>
      <c r="W168" s="71"/>
      <c r="X168" s="56"/>
      <c r="Y168" s="108"/>
      <c r="Z168" s="108"/>
      <c r="AA168" s="108"/>
      <c r="AB168" s="197"/>
      <c r="AC168" s="134"/>
      <c r="AD168" s="205"/>
      <c r="AE168" s="281"/>
      <c r="AF168" s="71"/>
      <c r="AG168" s="71"/>
      <c r="AH168" s="56"/>
      <c r="AI168" s="108"/>
      <c r="AJ168" s="267"/>
      <c r="AK168" s="108"/>
      <c r="AL168" s="197"/>
      <c r="AM168" s="134"/>
      <c r="AN168" s="205"/>
      <c r="AO168" s="281"/>
    </row>
    <row r="169" spans="1:41" x14ac:dyDescent="0.25">
      <c r="A169" s="70" t="s">
        <v>3261</v>
      </c>
      <c r="B169" s="271">
        <v>0</v>
      </c>
      <c r="C169" s="69"/>
      <c r="D169" s="72"/>
      <c r="E169" s="273">
        <v>0</v>
      </c>
      <c r="G169" s="268"/>
      <c r="H169" s="212"/>
      <c r="I169" s="207" t="s">
        <v>3380</v>
      </c>
      <c r="J169" s="208"/>
      <c r="K169" s="281"/>
      <c r="L169" s="271">
        <v>0</v>
      </c>
      <c r="M169" s="69"/>
      <c r="N169" s="72"/>
      <c r="O169" s="273">
        <v>3.99</v>
      </c>
      <c r="Q169" s="268"/>
      <c r="R169" s="212"/>
      <c r="S169" s="207" t="s">
        <v>3380</v>
      </c>
      <c r="T169" s="208"/>
      <c r="U169" s="281"/>
      <c r="V169" s="271">
        <v>0</v>
      </c>
      <c r="W169" s="69"/>
      <c r="X169" s="72"/>
      <c r="Y169" s="273">
        <v>3.99</v>
      </c>
      <c r="Z169" s="268"/>
      <c r="AA169" s="268"/>
      <c r="AB169" s="212"/>
      <c r="AC169" s="207" t="s">
        <v>3380</v>
      </c>
      <c r="AD169" s="208"/>
      <c r="AE169" s="281"/>
      <c r="AF169" s="271">
        <v>0</v>
      </c>
      <c r="AG169" s="69"/>
      <c r="AH169" s="72"/>
      <c r="AI169" s="273">
        <v>3.99</v>
      </c>
      <c r="AJ169" s="267"/>
      <c r="AK169" s="268"/>
      <c r="AL169" s="212"/>
      <c r="AM169" s="207" t="s">
        <v>3380</v>
      </c>
      <c r="AN169" s="208"/>
      <c r="AO169" s="281"/>
    </row>
    <row r="170" spans="1:41" x14ac:dyDescent="0.25">
      <c r="A170" s="70" t="s">
        <v>3216</v>
      </c>
      <c r="B170" s="271">
        <v>0</v>
      </c>
      <c r="C170" s="69"/>
      <c r="D170" s="72"/>
      <c r="E170" s="273">
        <v>0</v>
      </c>
      <c r="G170" s="268"/>
      <c r="H170" s="212"/>
      <c r="I170" s="207" t="s">
        <v>3380</v>
      </c>
      <c r="J170" s="208"/>
      <c r="K170" s="281"/>
      <c r="L170" s="271">
        <v>0</v>
      </c>
      <c r="M170" s="69"/>
      <c r="N170" s="72"/>
      <c r="O170" s="273">
        <v>0.79</v>
      </c>
      <c r="Q170" s="268"/>
      <c r="R170" s="212"/>
      <c r="S170" s="207" t="s">
        <v>3380</v>
      </c>
      <c r="T170" s="208"/>
      <c r="U170" s="281"/>
      <c r="V170" s="271">
        <v>0</v>
      </c>
      <c r="W170" s="69"/>
      <c r="X170" s="72"/>
      <c r="Y170" s="273">
        <v>0.79</v>
      </c>
      <c r="Z170" s="268"/>
      <c r="AA170" s="268"/>
      <c r="AB170" s="212"/>
      <c r="AC170" s="207" t="s">
        <v>3380</v>
      </c>
      <c r="AD170" s="208"/>
      <c r="AE170" s="281"/>
      <c r="AF170" s="271">
        <v>0</v>
      </c>
      <c r="AG170" s="69"/>
      <c r="AH170" s="72"/>
      <c r="AI170" s="273">
        <v>0.79</v>
      </c>
      <c r="AJ170" s="267"/>
      <c r="AK170" s="268"/>
      <c r="AL170" s="212"/>
      <c r="AM170" s="207" t="s">
        <v>3380</v>
      </c>
      <c r="AN170" s="208"/>
      <c r="AO170" s="281"/>
    </row>
    <row r="171" spans="1:41" x14ac:dyDescent="0.25">
      <c r="A171" s="70" t="s">
        <v>914</v>
      </c>
      <c r="B171" s="271">
        <v>0</v>
      </c>
      <c r="C171" s="69"/>
      <c r="D171" s="72"/>
      <c r="E171" s="273">
        <v>0</v>
      </c>
      <c r="G171" s="268"/>
      <c r="H171" s="212"/>
      <c r="I171" s="207" t="s">
        <v>3380</v>
      </c>
      <c r="J171" s="208"/>
      <c r="K171" s="281"/>
      <c r="L171" s="271">
        <v>12</v>
      </c>
      <c r="M171" s="69"/>
      <c r="N171" s="72"/>
      <c r="O171" s="273">
        <v>0.99</v>
      </c>
      <c r="Q171" s="268"/>
      <c r="R171" s="212"/>
      <c r="S171" s="207" t="s">
        <v>3380</v>
      </c>
      <c r="T171" s="208"/>
      <c r="U171" s="281"/>
      <c r="V171" s="271">
        <v>9</v>
      </c>
      <c r="W171" s="69"/>
      <c r="X171" s="72"/>
      <c r="Y171" s="273">
        <v>0.69</v>
      </c>
      <c r="Z171" s="268"/>
      <c r="AA171" s="268"/>
      <c r="AB171" s="212"/>
      <c r="AC171" s="207" t="s">
        <v>3380</v>
      </c>
      <c r="AD171" s="208"/>
      <c r="AE171" s="281"/>
      <c r="AF171" s="271">
        <v>9</v>
      </c>
      <c r="AG171" s="69"/>
      <c r="AH171" s="72"/>
      <c r="AI171" s="273">
        <v>0.69</v>
      </c>
      <c r="AJ171" s="267"/>
      <c r="AK171" s="268"/>
      <c r="AL171" s="212"/>
      <c r="AM171" s="207" t="s">
        <v>3380</v>
      </c>
      <c r="AN171" s="208"/>
      <c r="AO171" s="281"/>
    </row>
    <row r="172" spans="1:41" x14ac:dyDescent="0.25">
      <c r="A172" s="70" t="s">
        <v>3217</v>
      </c>
      <c r="B172" s="271">
        <v>0</v>
      </c>
      <c r="C172" s="69"/>
      <c r="D172" s="72"/>
      <c r="E172" s="273">
        <v>0</v>
      </c>
      <c r="G172" s="268"/>
      <c r="H172" s="212"/>
      <c r="I172" s="207" t="s">
        <v>3380</v>
      </c>
      <c r="J172" s="208"/>
      <c r="K172" s="281"/>
      <c r="L172" s="271">
        <v>0</v>
      </c>
      <c r="M172" s="69"/>
      <c r="N172" s="72"/>
      <c r="O172" s="273">
        <v>0.79</v>
      </c>
      <c r="Q172" s="268"/>
      <c r="R172" s="212"/>
      <c r="S172" s="207" t="s">
        <v>3380</v>
      </c>
      <c r="T172" s="208"/>
      <c r="U172" s="281"/>
      <c r="V172" s="271">
        <v>0</v>
      </c>
      <c r="W172" s="69"/>
      <c r="X172" s="72"/>
      <c r="Y172" s="273">
        <v>0.79</v>
      </c>
      <c r="Z172" s="268"/>
      <c r="AA172" s="268"/>
      <c r="AB172" s="212"/>
      <c r="AC172" s="207" t="s">
        <v>3380</v>
      </c>
      <c r="AD172" s="208"/>
      <c r="AE172" s="281"/>
      <c r="AF172" s="271">
        <v>0</v>
      </c>
      <c r="AG172" s="69"/>
      <c r="AH172" s="72"/>
      <c r="AI172" s="273">
        <v>0.79</v>
      </c>
      <c r="AJ172" s="267"/>
      <c r="AK172" s="268"/>
      <c r="AL172" s="212"/>
      <c r="AM172" s="207" t="s">
        <v>3380</v>
      </c>
      <c r="AN172" s="208"/>
      <c r="AO172" s="281"/>
    </row>
    <row r="173" spans="1:41" x14ac:dyDescent="0.25">
      <c r="A173" s="70" t="s">
        <v>3248</v>
      </c>
      <c r="B173" s="271">
        <v>0</v>
      </c>
      <c r="C173" s="69"/>
      <c r="D173" s="72"/>
      <c r="E173" s="273">
        <v>0</v>
      </c>
      <c r="G173" s="268"/>
      <c r="H173" s="212"/>
      <c r="I173" s="207" t="s">
        <v>3380</v>
      </c>
      <c r="J173" s="208"/>
      <c r="K173" s="281"/>
      <c r="L173" s="271">
        <v>8</v>
      </c>
      <c r="M173" s="69"/>
      <c r="N173" s="72"/>
      <c r="O173" s="273">
        <v>0.99</v>
      </c>
      <c r="Q173" s="268"/>
      <c r="R173" s="212"/>
      <c r="S173" s="207" t="s">
        <v>3380</v>
      </c>
      <c r="T173" s="208"/>
      <c r="U173" s="281"/>
      <c r="V173" s="271">
        <v>7</v>
      </c>
      <c r="W173" s="69"/>
      <c r="X173" s="72"/>
      <c r="Y173" s="273">
        <v>0.99</v>
      </c>
      <c r="Z173" s="268"/>
      <c r="AA173" s="268"/>
      <c r="AB173" s="212"/>
      <c r="AC173" s="207" t="s">
        <v>3380</v>
      </c>
      <c r="AD173" s="208"/>
      <c r="AE173" s="281"/>
      <c r="AF173" s="271">
        <v>7</v>
      </c>
      <c r="AG173" s="69"/>
      <c r="AH173" s="72"/>
      <c r="AI173" s="273">
        <v>0.99</v>
      </c>
      <c r="AJ173" s="267"/>
      <c r="AK173" s="268"/>
      <c r="AL173" s="212"/>
      <c r="AM173" s="207" t="s">
        <v>3380</v>
      </c>
      <c r="AN173" s="208"/>
      <c r="AO173" s="281"/>
    </row>
    <row r="174" spans="1:41" x14ac:dyDescent="0.25">
      <c r="A174" s="70" t="s">
        <v>3249</v>
      </c>
      <c r="B174" s="271">
        <v>0</v>
      </c>
      <c r="C174" s="69"/>
      <c r="D174" s="72"/>
      <c r="E174" s="273">
        <v>0</v>
      </c>
      <c r="G174" s="268"/>
      <c r="H174" s="212"/>
      <c r="I174" s="207" t="s">
        <v>3380</v>
      </c>
      <c r="J174" s="208"/>
      <c r="K174" s="281"/>
      <c r="L174" s="271">
        <v>0</v>
      </c>
      <c r="M174" s="69"/>
      <c r="N174" s="72"/>
      <c r="O174" s="273">
        <v>0.79</v>
      </c>
      <c r="Q174" s="268"/>
      <c r="R174" s="212"/>
      <c r="S174" s="207" t="s">
        <v>3380</v>
      </c>
      <c r="T174" s="208"/>
      <c r="U174" s="281"/>
      <c r="V174" s="271">
        <v>0</v>
      </c>
      <c r="W174" s="69"/>
      <c r="X174" s="72"/>
      <c r="Y174" s="273">
        <v>0.79</v>
      </c>
      <c r="Z174" s="268"/>
      <c r="AA174" s="268"/>
      <c r="AB174" s="212"/>
      <c r="AC174" s="207" t="s">
        <v>3380</v>
      </c>
      <c r="AD174" s="208"/>
      <c r="AE174" s="281"/>
      <c r="AF174" s="271">
        <v>0</v>
      </c>
      <c r="AG174" s="69"/>
      <c r="AH174" s="72"/>
      <c r="AI174" s="273">
        <v>0.79</v>
      </c>
      <c r="AJ174" s="267"/>
      <c r="AK174" s="268"/>
      <c r="AL174" s="212"/>
      <c r="AM174" s="207" t="s">
        <v>3380</v>
      </c>
      <c r="AN174" s="208"/>
      <c r="AO174" s="281"/>
    </row>
    <row r="175" spans="1:41" x14ac:dyDescent="0.25">
      <c r="A175" s="70" t="s">
        <v>3263</v>
      </c>
      <c r="B175" s="271">
        <v>0</v>
      </c>
      <c r="C175" s="69"/>
      <c r="D175" s="72"/>
      <c r="E175" s="273">
        <v>0</v>
      </c>
      <c r="G175" s="268"/>
      <c r="H175" s="212"/>
      <c r="I175" s="207" t="s">
        <v>3380</v>
      </c>
      <c r="J175" s="208"/>
      <c r="K175" s="281"/>
      <c r="L175" s="271">
        <v>0</v>
      </c>
      <c r="M175" s="69"/>
      <c r="N175" s="72"/>
      <c r="O175" s="273">
        <v>0.99</v>
      </c>
      <c r="Q175" s="268"/>
      <c r="R175" s="212"/>
      <c r="S175" s="207" t="s">
        <v>3380</v>
      </c>
      <c r="T175" s="208"/>
      <c r="U175" s="281"/>
      <c r="V175" s="271">
        <v>0</v>
      </c>
      <c r="W175" s="69"/>
      <c r="X175" s="72"/>
      <c r="Y175" s="273">
        <v>0.99</v>
      </c>
      <c r="Z175" s="268"/>
      <c r="AA175" s="268"/>
      <c r="AB175" s="212"/>
      <c r="AC175" s="207" t="s">
        <v>3380</v>
      </c>
      <c r="AD175" s="208"/>
      <c r="AE175" s="281"/>
      <c r="AF175" s="271">
        <v>0</v>
      </c>
      <c r="AG175" s="69"/>
      <c r="AH175" s="72"/>
      <c r="AI175" s="273">
        <v>0.99</v>
      </c>
      <c r="AJ175" s="267"/>
      <c r="AK175" s="268"/>
      <c r="AL175" s="212"/>
      <c r="AM175" s="207" t="s">
        <v>3380</v>
      </c>
      <c r="AN175" s="208"/>
      <c r="AO175" s="281"/>
    </row>
    <row r="176" spans="1:41" x14ac:dyDescent="0.25">
      <c r="A176" s="70" t="s">
        <v>3260</v>
      </c>
      <c r="B176" s="271">
        <v>0</v>
      </c>
      <c r="C176" s="69"/>
      <c r="D176" s="72"/>
      <c r="E176" s="273">
        <v>0</v>
      </c>
      <c r="G176" s="268"/>
      <c r="H176" s="212"/>
      <c r="I176" s="207" t="s">
        <v>3380</v>
      </c>
      <c r="J176" s="208"/>
      <c r="K176" s="281"/>
      <c r="L176" s="271">
        <v>0</v>
      </c>
      <c r="M176" s="69"/>
      <c r="N176" s="72"/>
      <c r="O176" s="273">
        <v>1</v>
      </c>
      <c r="Q176" s="268"/>
      <c r="R176" s="212"/>
      <c r="S176" s="207" t="s">
        <v>3380</v>
      </c>
      <c r="T176" s="208"/>
      <c r="U176" s="281"/>
      <c r="V176" s="271">
        <v>0</v>
      </c>
      <c r="W176" s="69"/>
      <c r="X176" s="72"/>
      <c r="Y176" s="273">
        <v>1</v>
      </c>
      <c r="Z176" s="268"/>
      <c r="AA176" s="268"/>
      <c r="AB176" s="212"/>
      <c r="AC176" s="207" t="s">
        <v>3380</v>
      </c>
      <c r="AD176" s="208"/>
      <c r="AE176" s="281"/>
      <c r="AF176" s="271">
        <v>0</v>
      </c>
      <c r="AG176" s="69"/>
      <c r="AH176" s="72"/>
      <c r="AI176" s="273">
        <v>1</v>
      </c>
      <c r="AJ176" s="267"/>
      <c r="AK176" s="268"/>
      <c r="AL176" s="212"/>
      <c r="AM176" s="207" t="s">
        <v>3380</v>
      </c>
      <c r="AN176" s="208"/>
      <c r="AO176" s="281"/>
    </row>
    <row r="177" spans="1:41" x14ac:dyDescent="0.25">
      <c r="A177" s="106" t="s">
        <v>3250</v>
      </c>
      <c r="B177" s="271">
        <v>0</v>
      </c>
      <c r="C177" s="69"/>
      <c r="D177" s="56"/>
      <c r="E177" s="273">
        <v>0</v>
      </c>
      <c r="G177" s="267"/>
      <c r="H177" s="212"/>
      <c r="I177" s="207" t="s">
        <v>3380</v>
      </c>
      <c r="J177" s="208"/>
      <c r="K177" s="281"/>
      <c r="L177" s="271">
        <v>0</v>
      </c>
      <c r="M177" s="69"/>
      <c r="N177" s="56"/>
      <c r="O177" s="272">
        <v>1.59</v>
      </c>
      <c r="Q177" s="267"/>
      <c r="R177" s="212"/>
      <c r="S177" s="207" t="s">
        <v>3380</v>
      </c>
      <c r="T177" s="208"/>
      <c r="U177" s="281"/>
      <c r="V177" s="271">
        <v>0</v>
      </c>
      <c r="W177" s="69"/>
      <c r="X177" s="56"/>
      <c r="Y177" s="272">
        <v>1.59</v>
      </c>
      <c r="Z177" s="267"/>
      <c r="AA177" s="267"/>
      <c r="AB177" s="212"/>
      <c r="AC177" s="207" t="s">
        <v>3380</v>
      </c>
      <c r="AD177" s="208"/>
      <c r="AE177" s="281"/>
      <c r="AF177" s="271">
        <v>0</v>
      </c>
      <c r="AG177" s="69"/>
      <c r="AH177" s="56"/>
      <c r="AI177" s="272">
        <v>1.59</v>
      </c>
      <c r="AJ177" s="267"/>
      <c r="AK177" s="267"/>
      <c r="AL177" s="212"/>
      <c r="AM177" s="207" t="s">
        <v>3380</v>
      </c>
      <c r="AN177" s="208"/>
      <c r="AO177" s="281"/>
    </row>
    <row r="178" spans="1:41" x14ac:dyDescent="0.25">
      <c r="A178" s="106" t="s">
        <v>3251</v>
      </c>
      <c r="B178" s="271">
        <v>0</v>
      </c>
      <c r="C178" s="69"/>
      <c r="D178" s="56"/>
      <c r="E178" s="273">
        <v>0</v>
      </c>
      <c r="G178" s="267"/>
      <c r="H178" s="212"/>
      <c r="I178" s="207" t="s">
        <v>3380</v>
      </c>
      <c r="J178" s="208"/>
      <c r="K178" s="281"/>
      <c r="L178" s="271">
        <v>0</v>
      </c>
      <c r="M178" s="69"/>
      <c r="N178" s="56"/>
      <c r="O178" s="272">
        <v>4.99</v>
      </c>
      <c r="Q178" s="267"/>
      <c r="R178" s="212"/>
      <c r="S178" s="207" t="s">
        <v>3380</v>
      </c>
      <c r="T178" s="208"/>
      <c r="U178" s="281"/>
      <c r="V178" s="271">
        <v>0</v>
      </c>
      <c r="W178" s="69"/>
      <c r="X178" s="56"/>
      <c r="Y178" s="272">
        <v>4.99</v>
      </c>
      <c r="Z178" s="267"/>
      <c r="AA178" s="267"/>
      <c r="AB178" s="212"/>
      <c r="AC178" s="207" t="s">
        <v>3380</v>
      </c>
      <c r="AD178" s="208"/>
      <c r="AE178" s="281"/>
      <c r="AF178" s="271">
        <v>0</v>
      </c>
      <c r="AG178" s="69"/>
      <c r="AH178" s="56"/>
      <c r="AI178" s="272">
        <v>4.99</v>
      </c>
      <c r="AJ178" s="267"/>
      <c r="AK178" s="267"/>
      <c r="AL178" s="212"/>
      <c r="AM178" s="207" t="s">
        <v>3380</v>
      </c>
      <c r="AN178" s="208"/>
      <c r="AO178" s="281"/>
    </row>
    <row r="179" spans="1:41" x14ac:dyDescent="0.25">
      <c r="A179" s="70" t="s">
        <v>3220</v>
      </c>
      <c r="B179" s="271">
        <v>0</v>
      </c>
      <c r="C179" s="69"/>
      <c r="D179" s="72"/>
      <c r="E179" s="273">
        <v>0</v>
      </c>
      <c r="G179" s="268"/>
      <c r="H179" s="212"/>
      <c r="I179" s="207" t="s">
        <v>3380</v>
      </c>
      <c r="J179" s="208"/>
      <c r="K179" s="281"/>
      <c r="L179" s="271">
        <v>0</v>
      </c>
      <c r="M179" s="69"/>
      <c r="N179" s="72"/>
      <c r="O179" s="273">
        <v>7.99</v>
      </c>
      <c r="Q179" s="268"/>
      <c r="R179" s="212"/>
      <c r="S179" s="207" t="s">
        <v>3380</v>
      </c>
      <c r="T179" s="208"/>
      <c r="U179" s="281"/>
      <c r="V179" s="271">
        <v>0</v>
      </c>
      <c r="W179" s="69"/>
      <c r="X179" s="72"/>
      <c r="Y179" s="273">
        <v>7.99</v>
      </c>
      <c r="Z179" s="268"/>
      <c r="AA179" s="268"/>
      <c r="AB179" s="212"/>
      <c r="AC179" s="207" t="s">
        <v>3380</v>
      </c>
      <c r="AD179" s="208"/>
      <c r="AE179" s="281"/>
      <c r="AF179" s="271">
        <v>0</v>
      </c>
      <c r="AG179" s="69"/>
      <c r="AH179" s="72"/>
      <c r="AI179" s="273">
        <v>7.99</v>
      </c>
      <c r="AJ179" s="267"/>
      <c r="AK179" s="268"/>
      <c r="AL179" s="212"/>
      <c r="AM179" s="207" t="s">
        <v>3380</v>
      </c>
      <c r="AN179" s="208"/>
      <c r="AO179" s="281"/>
    </row>
    <row r="180" spans="1:41" x14ac:dyDescent="0.25">
      <c r="A180" s="70" t="s">
        <v>3221</v>
      </c>
      <c r="B180" s="271">
        <v>0</v>
      </c>
      <c r="C180" s="69"/>
      <c r="D180" s="72"/>
      <c r="E180" s="273">
        <v>0</v>
      </c>
      <c r="G180" s="268"/>
      <c r="H180" s="212"/>
      <c r="I180" s="207" t="s">
        <v>3380</v>
      </c>
      <c r="J180" s="208"/>
      <c r="K180" s="281"/>
      <c r="L180" s="271">
        <v>0</v>
      </c>
      <c r="M180" s="69"/>
      <c r="N180" s="72"/>
      <c r="O180" s="273">
        <v>8.75</v>
      </c>
      <c r="Q180" s="268"/>
      <c r="R180" s="212"/>
      <c r="S180" s="207" t="s">
        <v>3380</v>
      </c>
      <c r="T180" s="208"/>
      <c r="U180" s="281"/>
      <c r="V180" s="271">
        <v>0</v>
      </c>
      <c r="W180" s="69"/>
      <c r="X180" s="72"/>
      <c r="Y180" s="273">
        <v>8.75</v>
      </c>
      <c r="Z180" s="268"/>
      <c r="AA180" s="268"/>
      <c r="AB180" s="212"/>
      <c r="AC180" s="207" t="s">
        <v>3380</v>
      </c>
      <c r="AD180" s="208"/>
      <c r="AE180" s="281"/>
      <c r="AF180" s="271">
        <v>0</v>
      </c>
      <c r="AG180" s="69"/>
      <c r="AH180" s="72"/>
      <c r="AI180" s="273">
        <v>8.75</v>
      </c>
      <c r="AJ180" s="267"/>
      <c r="AK180" s="268"/>
      <c r="AL180" s="212"/>
      <c r="AM180" s="207" t="s">
        <v>3380</v>
      </c>
      <c r="AN180" s="208"/>
      <c r="AO180" s="281"/>
    </row>
    <row r="181" spans="1:41" x14ac:dyDescent="0.25">
      <c r="A181" s="70" t="s">
        <v>3222</v>
      </c>
      <c r="B181" s="271">
        <v>0</v>
      </c>
      <c r="C181" s="69"/>
      <c r="D181" s="72"/>
      <c r="E181" s="273">
        <v>0</v>
      </c>
      <c r="G181" s="268"/>
      <c r="H181" s="212"/>
      <c r="I181" s="207" t="s">
        <v>3380</v>
      </c>
      <c r="J181" s="208"/>
      <c r="K181" s="281"/>
      <c r="L181" s="271">
        <v>0</v>
      </c>
      <c r="M181" s="69"/>
      <c r="N181" s="72"/>
      <c r="O181" s="273">
        <v>0.5</v>
      </c>
      <c r="Q181" s="268"/>
      <c r="R181" s="212"/>
      <c r="S181" s="207" t="s">
        <v>3380</v>
      </c>
      <c r="T181" s="208"/>
      <c r="U181" s="281"/>
      <c r="V181" s="271">
        <v>0</v>
      </c>
      <c r="W181" s="69"/>
      <c r="X181" s="72"/>
      <c r="Y181" s="273">
        <v>0.5</v>
      </c>
      <c r="Z181" s="268"/>
      <c r="AA181" s="268"/>
      <c r="AB181" s="212"/>
      <c r="AC181" s="207" t="s">
        <v>3380</v>
      </c>
      <c r="AD181" s="208"/>
      <c r="AE181" s="281"/>
      <c r="AF181" s="271">
        <v>0</v>
      </c>
      <c r="AG181" s="69"/>
      <c r="AH181" s="72"/>
      <c r="AI181" s="273">
        <v>0.5</v>
      </c>
      <c r="AJ181" s="267"/>
      <c r="AK181" s="268"/>
      <c r="AL181" s="212"/>
      <c r="AM181" s="207" t="s">
        <v>3380</v>
      </c>
      <c r="AN181" s="208"/>
      <c r="AO181" s="281"/>
    </row>
    <row r="182" spans="1:41" x14ac:dyDescent="0.25">
      <c r="A182" s="70" t="s">
        <v>3223</v>
      </c>
      <c r="B182" s="271">
        <v>0</v>
      </c>
      <c r="C182" s="69"/>
      <c r="D182" s="72"/>
      <c r="E182" s="273">
        <v>0</v>
      </c>
      <c r="G182" s="268"/>
      <c r="H182" s="212"/>
      <c r="I182" s="207" t="s">
        <v>3380</v>
      </c>
      <c r="J182" s="208"/>
      <c r="K182" s="281"/>
      <c r="L182" s="271">
        <v>0</v>
      </c>
      <c r="M182" s="69"/>
      <c r="N182" s="72"/>
      <c r="O182" s="273">
        <v>0.5</v>
      </c>
      <c r="Q182" s="268"/>
      <c r="R182" s="212"/>
      <c r="S182" s="207" t="s">
        <v>3380</v>
      </c>
      <c r="T182" s="208"/>
      <c r="U182" s="281"/>
      <c r="V182" s="271">
        <v>0</v>
      </c>
      <c r="W182" s="69"/>
      <c r="X182" s="72"/>
      <c r="Y182" s="273">
        <v>0.5</v>
      </c>
      <c r="Z182" s="268"/>
      <c r="AA182" s="268"/>
      <c r="AB182" s="212"/>
      <c r="AC182" s="207" t="s">
        <v>3380</v>
      </c>
      <c r="AD182" s="208"/>
      <c r="AE182" s="281"/>
      <c r="AF182" s="271">
        <v>0</v>
      </c>
      <c r="AG182" s="69"/>
      <c r="AH182" s="72"/>
      <c r="AI182" s="273">
        <v>0.5</v>
      </c>
      <c r="AJ182" s="267"/>
      <c r="AK182" s="268"/>
      <c r="AL182" s="212"/>
      <c r="AM182" s="207" t="s">
        <v>3380</v>
      </c>
      <c r="AN182" s="208"/>
      <c r="AO182" s="281"/>
    </row>
    <row r="183" spans="1:41" x14ac:dyDescent="0.25">
      <c r="A183" s="70" t="s">
        <v>3225</v>
      </c>
      <c r="B183" s="271">
        <v>0</v>
      </c>
      <c r="C183" s="69"/>
      <c r="D183" s="72"/>
      <c r="E183" s="273">
        <v>0</v>
      </c>
      <c r="G183" s="268"/>
      <c r="H183" s="212"/>
      <c r="I183" s="207" t="s">
        <v>3380</v>
      </c>
      <c r="J183" s="208"/>
      <c r="K183" s="281"/>
      <c r="L183" s="271">
        <v>0</v>
      </c>
      <c r="M183" s="69"/>
      <c r="N183" s="72"/>
      <c r="O183" s="273">
        <v>0.75</v>
      </c>
      <c r="Q183" s="268"/>
      <c r="R183" s="212"/>
      <c r="S183" s="207" t="s">
        <v>3380</v>
      </c>
      <c r="T183" s="208"/>
      <c r="U183" s="281"/>
      <c r="V183" s="271">
        <v>0</v>
      </c>
      <c r="W183" s="69"/>
      <c r="X183" s="72"/>
      <c r="Y183" s="273">
        <v>0.75</v>
      </c>
      <c r="Z183" s="268"/>
      <c r="AA183" s="268"/>
      <c r="AB183" s="212"/>
      <c r="AC183" s="207" t="s">
        <v>3380</v>
      </c>
      <c r="AD183" s="208"/>
      <c r="AE183" s="281"/>
      <c r="AF183" s="271">
        <v>0</v>
      </c>
      <c r="AG183" s="69"/>
      <c r="AH183" s="72"/>
      <c r="AI183" s="273">
        <v>0.75</v>
      </c>
      <c r="AJ183" s="267"/>
      <c r="AK183" s="268"/>
      <c r="AL183" s="212"/>
      <c r="AM183" s="207" t="s">
        <v>3380</v>
      </c>
      <c r="AN183" s="208"/>
      <c r="AO183" s="281"/>
    </row>
    <row r="184" spans="1:41" x14ac:dyDescent="0.25">
      <c r="A184" s="70" t="s">
        <v>3226</v>
      </c>
      <c r="B184" s="271">
        <v>0</v>
      </c>
      <c r="C184" s="69"/>
      <c r="D184" s="72"/>
      <c r="E184" s="273">
        <v>0</v>
      </c>
      <c r="G184" s="268"/>
      <c r="H184" s="212"/>
      <c r="I184" s="207" t="s">
        <v>3380</v>
      </c>
      <c r="J184" s="208"/>
      <c r="K184" s="281"/>
      <c r="L184" s="271">
        <v>0</v>
      </c>
      <c r="M184" s="69"/>
      <c r="N184" s="72"/>
      <c r="O184" s="273">
        <v>0.75</v>
      </c>
      <c r="Q184" s="268"/>
      <c r="R184" s="212"/>
      <c r="S184" s="207" t="s">
        <v>3380</v>
      </c>
      <c r="T184" s="208"/>
      <c r="U184" s="281"/>
      <c r="V184" s="271">
        <v>0</v>
      </c>
      <c r="W184" s="69"/>
      <c r="X184" s="72"/>
      <c r="Y184" s="273">
        <v>0.75</v>
      </c>
      <c r="Z184" s="268"/>
      <c r="AA184" s="268"/>
      <c r="AB184" s="212"/>
      <c r="AC184" s="207" t="s">
        <v>3380</v>
      </c>
      <c r="AD184" s="208"/>
      <c r="AE184" s="281"/>
      <c r="AF184" s="271">
        <v>0</v>
      </c>
      <c r="AG184" s="69"/>
      <c r="AH184" s="72"/>
      <c r="AI184" s="273">
        <v>0.75</v>
      </c>
      <c r="AJ184" s="267"/>
      <c r="AK184" s="268"/>
      <c r="AL184" s="212"/>
      <c r="AM184" s="207" t="s">
        <v>3380</v>
      </c>
      <c r="AN184" s="208"/>
      <c r="AO184" s="281"/>
    </row>
    <row r="185" spans="1:41" x14ac:dyDescent="0.25">
      <c r="A185" s="70" t="s">
        <v>3227</v>
      </c>
      <c r="B185" s="271">
        <v>0</v>
      </c>
      <c r="C185" s="69"/>
      <c r="D185" s="72"/>
      <c r="E185" s="273">
        <v>0</v>
      </c>
      <c r="G185" s="268"/>
      <c r="H185" s="212"/>
      <c r="I185" s="207" t="s">
        <v>3380</v>
      </c>
      <c r="J185" s="208"/>
      <c r="K185" s="281"/>
      <c r="L185" s="271">
        <v>0</v>
      </c>
      <c r="M185" s="69"/>
      <c r="N185" s="72"/>
      <c r="O185" s="273">
        <v>0.99</v>
      </c>
      <c r="Q185" s="268"/>
      <c r="R185" s="212"/>
      <c r="S185" s="207" t="s">
        <v>3380</v>
      </c>
      <c r="T185" s="208"/>
      <c r="U185" s="281"/>
      <c r="V185" s="271">
        <v>0</v>
      </c>
      <c r="W185" s="69"/>
      <c r="X185" s="72"/>
      <c r="Y185" s="273">
        <v>0.99</v>
      </c>
      <c r="Z185" s="268"/>
      <c r="AA185" s="268"/>
      <c r="AB185" s="212"/>
      <c r="AC185" s="207" t="s">
        <v>3380</v>
      </c>
      <c r="AD185" s="208"/>
      <c r="AE185" s="281"/>
      <c r="AF185" s="271">
        <v>0</v>
      </c>
      <c r="AG185" s="69"/>
      <c r="AH185" s="72"/>
      <c r="AI185" s="273">
        <v>0.99</v>
      </c>
      <c r="AJ185" s="267"/>
      <c r="AK185" s="268"/>
      <c r="AL185" s="212"/>
      <c r="AM185" s="207" t="s">
        <v>3380</v>
      </c>
      <c r="AN185" s="208"/>
      <c r="AO185" s="281"/>
    </row>
    <row r="186" spans="1:41" x14ac:dyDescent="0.25">
      <c r="A186" s="70" t="s">
        <v>3228</v>
      </c>
      <c r="B186" s="271">
        <v>0</v>
      </c>
      <c r="C186" s="69"/>
      <c r="D186" s="72"/>
      <c r="E186" s="273">
        <v>0</v>
      </c>
      <c r="G186" s="268"/>
      <c r="H186" s="212"/>
      <c r="I186" s="207" t="s">
        <v>3380</v>
      </c>
      <c r="J186" s="208"/>
      <c r="K186" s="281"/>
      <c r="L186" s="271">
        <v>0</v>
      </c>
      <c r="M186" s="69"/>
      <c r="N186" s="72"/>
      <c r="O186" s="273">
        <v>0.99</v>
      </c>
      <c r="Q186" s="268"/>
      <c r="R186" s="212"/>
      <c r="S186" s="207" t="s">
        <v>3380</v>
      </c>
      <c r="T186" s="208"/>
      <c r="U186" s="281"/>
      <c r="V186" s="271">
        <v>0</v>
      </c>
      <c r="W186" s="69"/>
      <c r="X186" s="72"/>
      <c r="Y186" s="273">
        <v>0.99</v>
      </c>
      <c r="Z186" s="268"/>
      <c r="AA186" s="268"/>
      <c r="AB186" s="212"/>
      <c r="AC186" s="207" t="s">
        <v>3380</v>
      </c>
      <c r="AD186" s="208"/>
      <c r="AE186" s="281"/>
      <c r="AF186" s="271">
        <v>0</v>
      </c>
      <c r="AG186" s="69"/>
      <c r="AH186" s="72"/>
      <c r="AI186" s="273">
        <v>0.99</v>
      </c>
      <c r="AJ186" s="267"/>
      <c r="AK186" s="268"/>
      <c r="AL186" s="212"/>
      <c r="AM186" s="207" t="s">
        <v>3380</v>
      </c>
      <c r="AN186" s="208"/>
      <c r="AO186" s="281"/>
    </row>
    <row r="187" spans="1:41" x14ac:dyDescent="0.25">
      <c r="A187" s="70" t="s">
        <v>3837</v>
      </c>
      <c r="B187" s="271">
        <v>0</v>
      </c>
      <c r="C187" s="69"/>
      <c r="D187" s="72"/>
      <c r="E187" s="273">
        <v>0</v>
      </c>
      <c r="G187" s="268"/>
      <c r="H187" s="212"/>
      <c r="I187" s="207" t="s">
        <v>3380</v>
      </c>
      <c r="J187" s="208"/>
      <c r="K187" s="281"/>
      <c r="L187" s="271">
        <v>0</v>
      </c>
      <c r="M187" s="69"/>
      <c r="N187" s="72"/>
      <c r="O187" s="273">
        <v>2.29</v>
      </c>
      <c r="Q187" s="268"/>
      <c r="R187" s="212"/>
      <c r="S187" s="207" t="s">
        <v>3380</v>
      </c>
      <c r="T187" s="208"/>
      <c r="U187" s="281"/>
      <c r="V187" s="271">
        <v>0</v>
      </c>
      <c r="W187" s="69"/>
      <c r="X187" s="72"/>
      <c r="Y187" s="273">
        <v>2.29</v>
      </c>
      <c r="Z187" s="268"/>
      <c r="AA187" s="268"/>
      <c r="AB187" s="212"/>
      <c r="AC187" s="207" t="s">
        <v>3380</v>
      </c>
      <c r="AD187" s="208"/>
      <c r="AE187" s="281"/>
      <c r="AF187" s="271">
        <v>0</v>
      </c>
      <c r="AG187" s="69"/>
      <c r="AH187" s="72"/>
      <c r="AI187" s="273">
        <v>2.29</v>
      </c>
      <c r="AJ187" s="267"/>
      <c r="AK187" s="268"/>
      <c r="AL187" s="212"/>
      <c r="AM187" s="207" t="s">
        <v>3380</v>
      </c>
      <c r="AN187" s="208"/>
      <c r="AO187" s="281"/>
    </row>
    <row r="188" spans="1:41" x14ac:dyDescent="0.25">
      <c r="A188" s="70" t="s">
        <v>3838</v>
      </c>
      <c r="B188" s="271">
        <v>0</v>
      </c>
      <c r="C188" s="69"/>
      <c r="D188" s="72"/>
      <c r="E188" s="273">
        <v>0</v>
      </c>
      <c r="G188" s="268"/>
      <c r="H188" s="212"/>
      <c r="I188" s="207" t="s">
        <v>3380</v>
      </c>
      <c r="J188" s="208"/>
      <c r="K188" s="281"/>
      <c r="L188" s="271">
        <v>0</v>
      </c>
      <c r="M188" s="69"/>
      <c r="N188" s="72"/>
      <c r="O188" s="273">
        <v>2.4900000000000002</v>
      </c>
      <c r="Q188" s="268"/>
      <c r="R188" s="212"/>
      <c r="S188" s="207" t="s">
        <v>3380</v>
      </c>
      <c r="T188" s="208"/>
      <c r="U188" s="281"/>
      <c r="V188" s="271">
        <v>0</v>
      </c>
      <c r="W188" s="69"/>
      <c r="X188" s="72"/>
      <c r="Y188" s="273">
        <v>2.4900000000000002</v>
      </c>
      <c r="Z188" s="268"/>
      <c r="AA188" s="268"/>
      <c r="AB188" s="212"/>
      <c r="AC188" s="207" t="s">
        <v>3380</v>
      </c>
      <c r="AD188" s="208"/>
      <c r="AE188" s="281"/>
      <c r="AF188" s="271">
        <v>0</v>
      </c>
      <c r="AG188" s="69"/>
      <c r="AH188" s="72"/>
      <c r="AI188" s="273">
        <v>2.4900000000000002</v>
      </c>
      <c r="AJ188" s="267"/>
      <c r="AK188" s="268"/>
      <c r="AL188" s="212"/>
      <c r="AM188" s="207" t="s">
        <v>3380</v>
      </c>
      <c r="AN188" s="208"/>
      <c r="AO188" s="281"/>
    </row>
    <row r="189" spans="1:41" x14ac:dyDescent="0.25">
      <c r="A189" s="70" t="s">
        <v>3235</v>
      </c>
      <c r="B189" s="271">
        <v>0</v>
      </c>
      <c r="C189" s="69"/>
      <c r="D189" s="72"/>
      <c r="E189" s="273">
        <v>0</v>
      </c>
      <c r="G189" s="268"/>
      <c r="H189" s="212"/>
      <c r="I189" s="207" t="s">
        <v>3380</v>
      </c>
      <c r="J189" s="208"/>
      <c r="K189" s="281"/>
      <c r="L189" s="271">
        <v>0</v>
      </c>
      <c r="M189" s="69"/>
      <c r="N189" s="72"/>
      <c r="O189" s="273">
        <v>0.99</v>
      </c>
      <c r="Q189" s="268"/>
      <c r="R189" s="212"/>
      <c r="S189" s="207" t="s">
        <v>3380</v>
      </c>
      <c r="T189" s="208"/>
      <c r="U189" s="281"/>
      <c r="V189" s="271">
        <v>0</v>
      </c>
      <c r="W189" s="69"/>
      <c r="X189" s="72"/>
      <c r="Y189" s="273">
        <v>0.99</v>
      </c>
      <c r="Z189" s="268"/>
      <c r="AA189" s="268"/>
      <c r="AB189" s="212"/>
      <c r="AC189" s="207" t="s">
        <v>3380</v>
      </c>
      <c r="AD189" s="208"/>
      <c r="AE189" s="281"/>
      <c r="AF189" s="271">
        <v>0</v>
      </c>
      <c r="AG189" s="69"/>
      <c r="AH189" s="72"/>
      <c r="AI189" s="273">
        <v>0.99</v>
      </c>
      <c r="AJ189" s="267"/>
      <c r="AK189" s="268"/>
      <c r="AL189" s="212"/>
      <c r="AM189" s="207" t="s">
        <v>3380</v>
      </c>
      <c r="AN189" s="208"/>
      <c r="AO189" s="281"/>
    </row>
    <row r="190" spans="1:41" x14ac:dyDescent="0.25">
      <c r="A190" s="70" t="s">
        <v>3238</v>
      </c>
      <c r="B190" s="271">
        <v>0</v>
      </c>
      <c r="C190" s="69"/>
      <c r="D190" s="72"/>
      <c r="E190" s="273">
        <v>0</v>
      </c>
      <c r="G190" s="268"/>
      <c r="H190" s="212"/>
      <c r="I190" s="207" t="s">
        <v>3380</v>
      </c>
      <c r="J190" s="208"/>
      <c r="K190" s="281"/>
      <c r="L190" s="271">
        <v>0</v>
      </c>
      <c r="M190" s="69"/>
      <c r="N190" s="72"/>
      <c r="O190" s="273">
        <v>2.99</v>
      </c>
      <c r="Q190" s="268"/>
      <c r="R190" s="212"/>
      <c r="S190" s="207" t="s">
        <v>3380</v>
      </c>
      <c r="T190" s="208"/>
      <c r="U190" s="281"/>
      <c r="V190" s="271">
        <v>0</v>
      </c>
      <c r="W190" s="69"/>
      <c r="X190" s="72"/>
      <c r="Y190" s="273">
        <v>2.99</v>
      </c>
      <c r="Z190" s="268"/>
      <c r="AA190" s="268"/>
      <c r="AB190" s="212"/>
      <c r="AC190" s="207" t="s">
        <v>3380</v>
      </c>
      <c r="AD190" s="208"/>
      <c r="AE190" s="281"/>
      <c r="AF190" s="271">
        <v>0</v>
      </c>
      <c r="AG190" s="69"/>
      <c r="AH190" s="72"/>
      <c r="AI190" s="273">
        <v>2.99</v>
      </c>
      <c r="AJ190" s="267"/>
      <c r="AK190" s="268"/>
      <c r="AL190" s="212"/>
      <c r="AM190" s="207" t="s">
        <v>3380</v>
      </c>
      <c r="AN190" s="208"/>
      <c r="AO190" s="281"/>
    </row>
    <row r="191" spans="1:41" x14ac:dyDescent="0.25">
      <c r="A191" s="70" t="s">
        <v>3256</v>
      </c>
      <c r="B191" s="271">
        <v>0</v>
      </c>
      <c r="C191" s="69"/>
      <c r="D191" s="72"/>
      <c r="E191" s="273">
        <v>0</v>
      </c>
      <c r="G191" s="268"/>
      <c r="H191" s="212"/>
      <c r="I191" s="207" t="s">
        <v>3380</v>
      </c>
      <c r="J191" s="208"/>
      <c r="K191" s="281"/>
      <c r="L191" s="271">
        <v>0</v>
      </c>
      <c r="M191" s="69"/>
      <c r="N191" s="72"/>
      <c r="O191" s="273">
        <v>0.49</v>
      </c>
      <c r="Q191" s="268"/>
      <c r="R191" s="212"/>
      <c r="S191" s="207" t="s">
        <v>3380</v>
      </c>
      <c r="T191" s="208"/>
      <c r="U191" s="281"/>
      <c r="V191" s="271">
        <v>0</v>
      </c>
      <c r="W191" s="69"/>
      <c r="X191" s="72"/>
      <c r="Y191" s="273">
        <v>0.49</v>
      </c>
      <c r="Z191" s="268"/>
      <c r="AA191" s="268"/>
      <c r="AB191" s="212"/>
      <c r="AC191" s="207" t="s">
        <v>3380</v>
      </c>
      <c r="AD191" s="208"/>
      <c r="AE191" s="281"/>
      <c r="AF191" s="271">
        <v>0</v>
      </c>
      <c r="AG191" s="69"/>
      <c r="AH191" s="72"/>
      <c r="AI191" s="273">
        <v>0.49</v>
      </c>
      <c r="AJ191" s="267"/>
      <c r="AK191" s="268"/>
      <c r="AL191" s="212"/>
      <c r="AM191" s="207" t="s">
        <v>3380</v>
      </c>
      <c r="AN191" s="208"/>
      <c r="AO191" s="281"/>
    </row>
    <row r="192" spans="1:41" x14ac:dyDescent="0.25">
      <c r="A192" s="70" t="s">
        <v>1047</v>
      </c>
      <c r="B192" s="271">
        <v>0</v>
      </c>
      <c r="C192" s="69"/>
      <c r="D192" s="72"/>
      <c r="E192" s="273">
        <v>0</v>
      </c>
      <c r="G192" s="268"/>
      <c r="H192" s="212"/>
      <c r="I192" s="207" t="s">
        <v>3380</v>
      </c>
      <c r="J192" s="208"/>
      <c r="K192" s="281"/>
      <c r="L192" s="271">
        <v>18.5</v>
      </c>
      <c r="M192" s="69"/>
      <c r="N192" s="72"/>
      <c r="O192" s="273">
        <v>1.29</v>
      </c>
      <c r="Q192" s="268"/>
      <c r="R192" s="212"/>
      <c r="S192" s="207" t="s">
        <v>3380</v>
      </c>
      <c r="T192" s="208"/>
      <c r="U192" s="281"/>
      <c r="V192" s="271">
        <v>18.5</v>
      </c>
      <c r="W192" s="69"/>
      <c r="X192" s="72"/>
      <c r="Y192" s="273">
        <v>1.29</v>
      </c>
      <c r="Z192" s="268"/>
      <c r="AA192" s="268"/>
      <c r="AB192" s="212"/>
      <c r="AC192" s="207" t="s">
        <v>3380</v>
      </c>
      <c r="AD192" s="208"/>
      <c r="AE192" s="281"/>
      <c r="AF192" s="271">
        <v>18.5</v>
      </c>
      <c r="AG192" s="69"/>
      <c r="AH192" s="72"/>
      <c r="AI192" s="273">
        <v>1.29</v>
      </c>
      <c r="AJ192" s="267"/>
      <c r="AK192" s="268"/>
      <c r="AL192" s="212"/>
      <c r="AM192" s="207" t="s">
        <v>3380</v>
      </c>
      <c r="AN192" s="208"/>
      <c r="AO192" s="281"/>
    </row>
    <row r="193" spans="1:41" x14ac:dyDescent="0.25">
      <c r="A193" s="70" t="s">
        <v>4081</v>
      </c>
      <c r="B193" s="271">
        <v>0</v>
      </c>
      <c r="C193" s="69"/>
      <c r="D193" s="72"/>
      <c r="E193" s="273">
        <v>0</v>
      </c>
      <c r="G193" s="268"/>
      <c r="H193" s="212"/>
      <c r="I193" s="207" t="s">
        <v>3380</v>
      </c>
      <c r="J193" s="208"/>
      <c r="K193" s="281"/>
      <c r="L193" s="271">
        <v>22.5</v>
      </c>
      <c r="M193" s="69"/>
      <c r="N193" s="72"/>
      <c r="O193" s="273">
        <v>1.69</v>
      </c>
      <c r="Q193" s="268"/>
      <c r="R193" s="212"/>
      <c r="S193" s="207" t="s">
        <v>3380</v>
      </c>
      <c r="T193" s="208"/>
      <c r="U193" s="281"/>
      <c r="V193" s="271">
        <v>21.15</v>
      </c>
      <c r="W193" s="69"/>
      <c r="X193" s="72"/>
      <c r="Y193" s="273">
        <v>1.69</v>
      </c>
      <c r="Z193" s="268"/>
      <c r="AA193" s="268"/>
      <c r="AB193" s="212">
        <v>2</v>
      </c>
      <c r="AC193" s="207" t="s">
        <v>3380</v>
      </c>
      <c r="AD193" s="208">
        <v>3</v>
      </c>
      <c r="AE193" s="281"/>
      <c r="AF193" s="271">
        <v>21.15</v>
      </c>
      <c r="AG193" s="69"/>
      <c r="AH193" s="72"/>
      <c r="AI193" s="273">
        <v>1.69</v>
      </c>
      <c r="AJ193" s="267"/>
      <c r="AK193" s="268"/>
      <c r="AL193" s="212">
        <v>2</v>
      </c>
      <c r="AM193" s="207" t="s">
        <v>3380</v>
      </c>
      <c r="AN193" s="208">
        <v>3</v>
      </c>
      <c r="AO193" s="281"/>
    </row>
    <row r="194" spans="1:41" x14ac:dyDescent="0.25">
      <c r="A194" s="70" t="s">
        <v>1051</v>
      </c>
      <c r="B194" s="271">
        <v>0</v>
      </c>
      <c r="C194" s="69"/>
      <c r="D194" s="72"/>
      <c r="E194" s="273">
        <v>0</v>
      </c>
      <c r="G194" s="268"/>
      <c r="H194" s="212"/>
      <c r="I194" s="207" t="s">
        <v>3380</v>
      </c>
      <c r="J194" s="208"/>
      <c r="K194" s="281"/>
      <c r="L194" s="271">
        <v>16</v>
      </c>
      <c r="M194" s="69"/>
      <c r="N194" s="72"/>
      <c r="O194" s="273">
        <v>2.29</v>
      </c>
      <c r="Q194" s="268"/>
      <c r="R194" s="212"/>
      <c r="S194" s="207" t="s">
        <v>3380</v>
      </c>
      <c r="T194" s="208"/>
      <c r="U194" s="281"/>
      <c r="V194" s="271">
        <v>15.2</v>
      </c>
      <c r="W194" s="69"/>
      <c r="X194" s="72"/>
      <c r="Y194" s="273">
        <v>2.29</v>
      </c>
      <c r="Z194" s="268"/>
      <c r="AA194" s="268"/>
      <c r="AB194" s="212">
        <v>2</v>
      </c>
      <c r="AC194" s="207" t="s">
        <v>3380</v>
      </c>
      <c r="AD194" s="208">
        <v>4</v>
      </c>
      <c r="AE194" s="281"/>
      <c r="AF194" s="271">
        <v>15.2</v>
      </c>
      <c r="AG194" s="69"/>
      <c r="AH194" s="72"/>
      <c r="AI194" s="273">
        <v>2.29</v>
      </c>
      <c r="AJ194" s="267"/>
      <c r="AK194" s="268"/>
      <c r="AL194" s="212">
        <v>2</v>
      </c>
      <c r="AM194" s="207" t="s">
        <v>3380</v>
      </c>
      <c r="AN194" s="208">
        <v>4</v>
      </c>
      <c r="AO194" s="281"/>
    </row>
    <row r="195" spans="1:41" x14ac:dyDescent="0.25">
      <c r="A195" s="70" t="s">
        <v>3252</v>
      </c>
      <c r="B195" s="271">
        <v>0</v>
      </c>
      <c r="C195" s="69"/>
      <c r="D195" s="72"/>
      <c r="E195" s="273">
        <v>0</v>
      </c>
      <c r="G195" s="268"/>
      <c r="H195" s="212"/>
      <c r="I195" s="207" t="s">
        <v>3380</v>
      </c>
      <c r="J195" s="208"/>
      <c r="K195" s="281"/>
      <c r="L195" s="271">
        <v>18</v>
      </c>
      <c r="M195" s="69"/>
      <c r="N195" s="72"/>
      <c r="O195" s="273">
        <v>2.59</v>
      </c>
      <c r="Q195" s="268"/>
      <c r="R195" s="212"/>
      <c r="S195" s="207" t="s">
        <v>3380</v>
      </c>
      <c r="T195" s="208"/>
      <c r="U195" s="281"/>
      <c r="V195" s="271">
        <v>17.75</v>
      </c>
      <c r="W195" s="69"/>
      <c r="X195" s="72"/>
      <c r="Y195" s="273">
        <v>2.59</v>
      </c>
      <c r="Z195" s="268"/>
      <c r="AA195" s="268"/>
      <c r="AB195" s="212"/>
      <c r="AC195" s="207" t="s">
        <v>3380</v>
      </c>
      <c r="AD195" s="208"/>
      <c r="AE195" s="281"/>
      <c r="AF195" s="271">
        <v>17.75</v>
      </c>
      <c r="AG195" s="69"/>
      <c r="AH195" s="72"/>
      <c r="AI195" s="273">
        <v>2.59</v>
      </c>
      <c r="AJ195" s="267"/>
      <c r="AK195" s="268"/>
      <c r="AL195" s="212"/>
      <c r="AM195" s="207" t="s">
        <v>3380</v>
      </c>
      <c r="AN195" s="208"/>
      <c r="AO195" s="281"/>
    </row>
    <row r="196" spans="1:41" x14ac:dyDescent="0.25">
      <c r="A196" s="70" t="s">
        <v>3253</v>
      </c>
      <c r="B196" s="271">
        <v>0</v>
      </c>
      <c r="C196" s="69"/>
      <c r="D196" s="72"/>
      <c r="E196" s="273">
        <v>0</v>
      </c>
      <c r="G196" s="268"/>
      <c r="H196" s="212"/>
      <c r="I196" s="207" t="s">
        <v>3380</v>
      </c>
      <c r="J196" s="208"/>
      <c r="K196" s="281"/>
      <c r="L196" s="271">
        <v>0</v>
      </c>
      <c r="M196" s="69"/>
      <c r="N196" s="72"/>
      <c r="O196" s="273">
        <v>2.99</v>
      </c>
      <c r="Q196" s="268"/>
      <c r="R196" s="212"/>
      <c r="S196" s="207" t="s">
        <v>3380</v>
      </c>
      <c r="T196" s="208"/>
      <c r="U196" s="281"/>
      <c r="V196" s="271">
        <v>20.8</v>
      </c>
      <c r="W196" s="69"/>
      <c r="X196" s="72"/>
      <c r="Y196" s="273">
        <v>2.89</v>
      </c>
      <c r="Z196" s="268"/>
      <c r="AA196" s="268"/>
      <c r="AB196" s="212"/>
      <c r="AC196" s="207" t="s">
        <v>3380</v>
      </c>
      <c r="AD196" s="208"/>
      <c r="AE196" s="281"/>
      <c r="AF196" s="271">
        <v>20.8</v>
      </c>
      <c r="AG196" s="69"/>
      <c r="AH196" s="72"/>
      <c r="AI196" s="273">
        <v>2.89</v>
      </c>
      <c r="AJ196" s="267"/>
      <c r="AK196" s="268"/>
      <c r="AL196" s="212"/>
      <c r="AM196" s="207" t="s">
        <v>3380</v>
      </c>
      <c r="AN196" s="208"/>
      <c r="AO196" s="281"/>
    </row>
    <row r="197" spans="1:41" x14ac:dyDescent="0.25">
      <c r="A197" s="70" t="s">
        <v>1048</v>
      </c>
      <c r="B197" s="271">
        <v>0</v>
      </c>
      <c r="C197" s="69"/>
      <c r="D197" s="72"/>
      <c r="E197" s="273">
        <v>0</v>
      </c>
      <c r="G197" s="268"/>
      <c r="H197" s="212"/>
      <c r="I197" s="207" t="s">
        <v>3380</v>
      </c>
      <c r="J197" s="208"/>
      <c r="K197" s="281"/>
      <c r="L197" s="271">
        <v>0</v>
      </c>
      <c r="M197" s="69"/>
      <c r="N197" s="72"/>
      <c r="O197" s="273">
        <v>9.99</v>
      </c>
      <c r="Q197" s="268"/>
      <c r="R197" s="212"/>
      <c r="S197" s="207" t="s">
        <v>3380</v>
      </c>
      <c r="T197" s="208"/>
      <c r="U197" s="281"/>
      <c r="V197" s="271">
        <v>0</v>
      </c>
      <c r="W197" s="69"/>
      <c r="X197" s="72"/>
      <c r="Y197" s="273">
        <v>9.99</v>
      </c>
      <c r="Z197" s="268"/>
      <c r="AA197" s="268"/>
      <c r="AB197" s="212"/>
      <c r="AC197" s="207" t="s">
        <v>3380</v>
      </c>
      <c r="AD197" s="208"/>
      <c r="AE197" s="281"/>
      <c r="AF197" s="271">
        <v>0</v>
      </c>
      <c r="AG197" s="69"/>
      <c r="AH197" s="72"/>
      <c r="AI197" s="273">
        <v>9.99</v>
      </c>
      <c r="AJ197" s="267"/>
      <c r="AK197" s="268"/>
      <c r="AL197" s="212"/>
      <c r="AM197" s="207" t="s">
        <v>3380</v>
      </c>
      <c r="AN197" s="208"/>
      <c r="AO197" s="281"/>
    </row>
    <row r="198" spans="1:41" x14ac:dyDescent="0.25">
      <c r="A198" s="70" t="s">
        <v>1049</v>
      </c>
      <c r="B198" s="271">
        <v>0</v>
      </c>
      <c r="C198" s="69"/>
      <c r="D198" s="72"/>
      <c r="E198" s="273">
        <v>0</v>
      </c>
      <c r="G198" s="268"/>
      <c r="H198" s="212"/>
      <c r="I198" s="207" t="s">
        <v>3380</v>
      </c>
      <c r="J198" s="208"/>
      <c r="K198" s="281"/>
      <c r="L198" s="271">
        <v>0</v>
      </c>
      <c r="M198" s="69"/>
      <c r="N198" s="72"/>
      <c r="O198" s="273">
        <v>5.99</v>
      </c>
      <c r="Q198" s="268"/>
      <c r="R198" s="212"/>
      <c r="S198" s="207" t="s">
        <v>3380</v>
      </c>
      <c r="T198" s="208"/>
      <c r="U198" s="281"/>
      <c r="V198" s="271">
        <v>0</v>
      </c>
      <c r="W198" s="69"/>
      <c r="X198" s="72"/>
      <c r="Y198" s="273">
        <v>5.99</v>
      </c>
      <c r="Z198" s="268"/>
      <c r="AA198" s="268"/>
      <c r="AB198" s="212"/>
      <c r="AC198" s="207" t="s">
        <v>3380</v>
      </c>
      <c r="AD198" s="208"/>
      <c r="AE198" s="281"/>
      <c r="AF198" s="271">
        <v>0</v>
      </c>
      <c r="AG198" s="69"/>
      <c r="AH198" s="72"/>
      <c r="AI198" s="273">
        <v>5.99</v>
      </c>
      <c r="AJ198" s="267"/>
      <c r="AK198" s="268"/>
      <c r="AL198" s="212"/>
      <c r="AM198" s="207" t="s">
        <v>3380</v>
      </c>
      <c r="AN198" s="208"/>
      <c r="AO198" s="281"/>
    </row>
    <row r="199" spans="1:41" x14ac:dyDescent="0.25">
      <c r="A199" s="70" t="s">
        <v>4080</v>
      </c>
      <c r="B199" s="271">
        <v>0</v>
      </c>
      <c r="C199" s="69"/>
      <c r="D199" s="72"/>
      <c r="E199" s="273">
        <v>0</v>
      </c>
      <c r="G199" s="268"/>
      <c r="H199" s="212"/>
      <c r="I199" s="207" t="s">
        <v>3380</v>
      </c>
      <c r="J199" s="208"/>
      <c r="K199" s="281"/>
      <c r="L199" s="271">
        <v>0</v>
      </c>
      <c r="M199" s="69"/>
      <c r="N199" s="72"/>
      <c r="O199" s="273">
        <v>6.99</v>
      </c>
      <c r="Q199" s="268"/>
      <c r="R199" s="212"/>
      <c r="S199" s="207" t="s">
        <v>3380</v>
      </c>
      <c r="T199" s="208"/>
      <c r="U199" s="281"/>
      <c r="V199" s="271">
        <v>0</v>
      </c>
      <c r="W199" s="69"/>
      <c r="X199" s="72"/>
      <c r="Y199" s="273">
        <v>6.99</v>
      </c>
      <c r="Z199" s="268"/>
      <c r="AA199" s="268"/>
      <c r="AB199" s="212"/>
      <c r="AC199" s="207" t="s">
        <v>3380</v>
      </c>
      <c r="AD199" s="208"/>
      <c r="AE199" s="281"/>
      <c r="AF199" s="271">
        <v>0</v>
      </c>
      <c r="AG199" s="69"/>
      <c r="AH199" s="72"/>
      <c r="AI199" s="273">
        <v>6.99</v>
      </c>
      <c r="AJ199" s="267"/>
      <c r="AK199" s="268"/>
      <c r="AL199" s="212"/>
      <c r="AM199" s="207" t="s">
        <v>3380</v>
      </c>
      <c r="AN199" s="208"/>
      <c r="AO199" s="281"/>
    </row>
    <row r="200" spans="1:41" x14ac:dyDescent="0.25">
      <c r="A200" s="70" t="s">
        <v>3254</v>
      </c>
      <c r="B200" s="271">
        <v>0</v>
      </c>
      <c r="C200" s="69"/>
      <c r="D200" s="72"/>
      <c r="E200" s="273">
        <v>0</v>
      </c>
      <c r="G200" s="268"/>
      <c r="H200" s="212"/>
      <c r="I200" s="207" t="s">
        <v>3380</v>
      </c>
      <c r="J200" s="208"/>
      <c r="K200" s="281"/>
      <c r="L200" s="271">
        <v>0</v>
      </c>
      <c r="M200" s="69"/>
      <c r="N200" s="72"/>
      <c r="O200" s="273">
        <v>11.99</v>
      </c>
      <c r="Q200" s="268"/>
      <c r="R200" s="212"/>
      <c r="S200" s="207" t="s">
        <v>3380</v>
      </c>
      <c r="T200" s="208"/>
      <c r="U200" s="281"/>
      <c r="V200" s="271">
        <v>0</v>
      </c>
      <c r="W200" s="69"/>
      <c r="X200" s="72"/>
      <c r="Y200" s="273">
        <v>11.99</v>
      </c>
      <c r="Z200" s="268"/>
      <c r="AA200" s="268"/>
      <c r="AB200" s="212"/>
      <c r="AC200" s="207" t="s">
        <v>3380</v>
      </c>
      <c r="AD200" s="208"/>
      <c r="AE200" s="281"/>
      <c r="AF200" s="271">
        <v>0</v>
      </c>
      <c r="AG200" s="69"/>
      <c r="AH200" s="72"/>
      <c r="AI200" s="273">
        <v>11.99</v>
      </c>
      <c r="AJ200" s="267"/>
      <c r="AK200" s="268"/>
      <c r="AL200" s="212"/>
      <c r="AM200" s="207" t="s">
        <v>3380</v>
      </c>
      <c r="AN200" s="208"/>
      <c r="AO200" s="281"/>
    </row>
    <row r="201" spans="1:41" x14ac:dyDescent="0.25">
      <c r="A201" s="70" t="s">
        <v>3255</v>
      </c>
      <c r="B201" s="271">
        <v>0</v>
      </c>
      <c r="C201" s="69"/>
      <c r="D201" s="72"/>
      <c r="E201" s="273">
        <v>0</v>
      </c>
      <c r="G201" s="268"/>
      <c r="H201" s="212"/>
      <c r="I201" s="207" t="s">
        <v>3380</v>
      </c>
      <c r="J201" s="208"/>
      <c r="K201" s="281"/>
      <c r="L201" s="271">
        <v>0</v>
      </c>
      <c r="M201" s="69"/>
      <c r="N201" s="72"/>
      <c r="O201" s="273">
        <v>9.99</v>
      </c>
      <c r="Q201" s="268"/>
      <c r="R201" s="212"/>
      <c r="S201" s="207" t="s">
        <v>3380</v>
      </c>
      <c r="T201" s="208"/>
      <c r="U201" s="281"/>
      <c r="V201" s="271">
        <v>0</v>
      </c>
      <c r="W201" s="69"/>
      <c r="X201" s="72"/>
      <c r="Y201" s="273">
        <v>9.99</v>
      </c>
      <c r="Z201" s="268"/>
      <c r="AA201" s="268"/>
      <c r="AB201" s="212"/>
      <c r="AC201" s="207" t="s">
        <v>3380</v>
      </c>
      <c r="AD201" s="208"/>
      <c r="AE201" s="281"/>
      <c r="AF201" s="271">
        <v>0</v>
      </c>
      <c r="AG201" s="69"/>
      <c r="AH201" s="72"/>
      <c r="AI201" s="273">
        <v>9.99</v>
      </c>
      <c r="AJ201" s="267"/>
      <c r="AK201" s="268"/>
      <c r="AL201" s="212"/>
      <c r="AM201" s="207" t="s">
        <v>3380</v>
      </c>
      <c r="AN201" s="208"/>
      <c r="AO201" s="281"/>
    </row>
  </sheetData>
  <conditionalFormatting sqref="T138:T141 T38 T10 T47:T49 T118:T123 T159:T166 T66:T67 T51:T52 T12:T22 T189:T201 T81:T115 T70:T71 T73:T77 T29:T36 T24:T27 T61:T64 T54:T57 T127:T134 T144:T149 T169:T186">
    <cfRule type="expression" dxfId="266" priority="423">
      <formula>NOT(ISBLANK($C10))</formula>
    </cfRule>
  </conditionalFormatting>
  <conditionalFormatting sqref="S138:S141 S38 S10 S54:S57 S118:S123 S159:S166 S66:S67 S12:S22 S189:S201 S81:S115 S70:S71 S73:S77 S29:S36 S24:S27 S61:S64 S127:S134 S144:S149 S169:S186 S51:S52">
    <cfRule type="expression" dxfId="265" priority="422">
      <formula>NOT(ISBLANK($C10))</formula>
    </cfRule>
  </conditionalFormatting>
  <conditionalFormatting sqref="R138:R141 R38 R10 R54:R57 R118:R123 R159:R166 R66:R67 R12:R22 R189:R201 R81:R115 R70:R71 R73:R77 R29:R36 R24:R27 R61:R64 R127:R134 R144:R149 R169:R186 R51:R52">
    <cfRule type="expression" dxfId="264" priority="421">
      <formula>NOT(ISBLANK($C10))</formula>
    </cfRule>
  </conditionalFormatting>
  <conditionalFormatting sqref="T41:T44">
    <cfRule type="expression" dxfId="263" priority="258">
      <formula>NOT(ISBLANK($C41))</formula>
    </cfRule>
  </conditionalFormatting>
  <conditionalFormatting sqref="S41:S44">
    <cfRule type="expression" dxfId="262" priority="257">
      <formula>NOT(ISBLANK($C41))</formula>
    </cfRule>
  </conditionalFormatting>
  <conditionalFormatting sqref="R41:R44">
    <cfRule type="expression" dxfId="261" priority="256">
      <formula>NOT(ISBLANK($C41))</formula>
    </cfRule>
  </conditionalFormatting>
  <conditionalFormatting sqref="T152:T156">
    <cfRule type="expression" dxfId="260" priority="255">
      <formula>NOT(ISBLANK($C152))</formula>
    </cfRule>
  </conditionalFormatting>
  <conditionalFormatting sqref="S47:S49">
    <cfRule type="expression" dxfId="259" priority="254">
      <formula>NOT(ISBLANK($C47))</formula>
    </cfRule>
  </conditionalFormatting>
  <conditionalFormatting sqref="S152:S156">
    <cfRule type="expression" dxfId="258" priority="253">
      <formula>NOT(ISBLANK($C152))</formula>
    </cfRule>
  </conditionalFormatting>
  <conditionalFormatting sqref="R47:R49">
    <cfRule type="expression" dxfId="257" priority="252">
      <formula>NOT(ISBLANK($C47))</formula>
    </cfRule>
  </conditionalFormatting>
  <conditionalFormatting sqref="R152:R156">
    <cfRule type="expression" dxfId="256" priority="251">
      <formula>NOT(ISBLANK($C152))</formula>
    </cfRule>
  </conditionalFormatting>
  <conditionalFormatting sqref="T37">
    <cfRule type="expression" dxfId="255" priority="250">
      <formula>NOT(ISBLANK($C37))</formula>
    </cfRule>
  </conditionalFormatting>
  <conditionalFormatting sqref="S37">
    <cfRule type="expression" dxfId="254" priority="249">
      <formula>NOT(ISBLANK($C37))</formula>
    </cfRule>
  </conditionalFormatting>
  <conditionalFormatting sqref="R37">
    <cfRule type="expression" dxfId="253" priority="248">
      <formula>NOT(ISBLANK($C37))</formula>
    </cfRule>
  </conditionalFormatting>
  <conditionalFormatting sqref="T80">
    <cfRule type="expression" dxfId="252" priority="247">
      <formula>NOT(ISBLANK($C80))</formula>
    </cfRule>
  </conditionalFormatting>
  <conditionalFormatting sqref="S80">
    <cfRule type="expression" dxfId="251" priority="246">
      <formula>NOT(ISBLANK($C80))</formula>
    </cfRule>
  </conditionalFormatting>
  <conditionalFormatting sqref="R80">
    <cfRule type="expression" dxfId="250" priority="245">
      <formula>NOT(ISBLANK($C80))</formula>
    </cfRule>
  </conditionalFormatting>
  <conditionalFormatting sqref="T137">
    <cfRule type="expression" dxfId="249" priority="244">
      <formula>NOT(ISBLANK($C137))</formula>
    </cfRule>
  </conditionalFormatting>
  <conditionalFormatting sqref="S137">
    <cfRule type="expression" dxfId="248" priority="243">
      <formula>NOT(ISBLANK($C137))</formula>
    </cfRule>
  </conditionalFormatting>
  <conditionalFormatting sqref="R137">
    <cfRule type="expression" dxfId="247" priority="242">
      <formula>NOT(ISBLANK($C137))</formula>
    </cfRule>
  </conditionalFormatting>
  <conditionalFormatting sqref="T11">
    <cfRule type="expression" dxfId="246" priority="241">
      <formula>NOT(ISBLANK($C11))</formula>
    </cfRule>
  </conditionalFormatting>
  <conditionalFormatting sqref="S11">
    <cfRule type="expression" dxfId="245" priority="240">
      <formula>NOT(ISBLANK($C11))</formula>
    </cfRule>
  </conditionalFormatting>
  <conditionalFormatting sqref="R11">
    <cfRule type="expression" dxfId="244" priority="239">
      <formula>NOT(ISBLANK($C11))</formula>
    </cfRule>
  </conditionalFormatting>
  <conditionalFormatting sqref="T65">
    <cfRule type="expression" dxfId="243" priority="238">
      <formula>NOT(ISBLANK($C65))</formula>
    </cfRule>
  </conditionalFormatting>
  <conditionalFormatting sqref="S65">
    <cfRule type="expression" dxfId="242" priority="237">
      <formula>NOT(ISBLANK($C65))</formula>
    </cfRule>
  </conditionalFormatting>
  <conditionalFormatting sqref="R65">
    <cfRule type="expression" dxfId="241" priority="236">
      <formula>NOT(ISBLANK($C65))</formula>
    </cfRule>
  </conditionalFormatting>
  <conditionalFormatting sqref="T187:T188">
    <cfRule type="expression" dxfId="240" priority="235">
      <formula>NOT(ISBLANK($C187))</formula>
    </cfRule>
  </conditionalFormatting>
  <conditionalFormatting sqref="S187:S188">
    <cfRule type="expression" dxfId="239" priority="234">
      <formula>NOT(ISBLANK($C187))</formula>
    </cfRule>
  </conditionalFormatting>
  <conditionalFormatting sqref="R187:R188">
    <cfRule type="expression" dxfId="238" priority="233">
      <formula>NOT(ISBLANK($C187))</formula>
    </cfRule>
  </conditionalFormatting>
  <conditionalFormatting sqref="T50">
    <cfRule type="expression" dxfId="237" priority="232">
      <formula>NOT(ISBLANK($C50))</formula>
    </cfRule>
  </conditionalFormatting>
  <conditionalFormatting sqref="S50">
    <cfRule type="expression" dxfId="236" priority="231">
      <formula>NOT(ISBLANK($C50))</formula>
    </cfRule>
  </conditionalFormatting>
  <conditionalFormatting sqref="R50">
    <cfRule type="expression" dxfId="235" priority="230">
      <formula>NOT(ISBLANK($C50))</formula>
    </cfRule>
  </conditionalFormatting>
  <conditionalFormatting sqref="T72">
    <cfRule type="expression" dxfId="234" priority="229">
      <formula>NOT(ISBLANK($C72))</formula>
    </cfRule>
  </conditionalFormatting>
  <conditionalFormatting sqref="S72">
    <cfRule type="expression" dxfId="233" priority="228">
      <formula>NOT(ISBLANK($C72))</formula>
    </cfRule>
  </conditionalFormatting>
  <conditionalFormatting sqref="R72">
    <cfRule type="expression" dxfId="232" priority="227">
      <formula>NOT(ISBLANK($C72))</formula>
    </cfRule>
  </conditionalFormatting>
  <conditionalFormatting sqref="T126">
    <cfRule type="expression" dxfId="231" priority="226">
      <formula>NOT(ISBLANK($C126))</formula>
    </cfRule>
  </conditionalFormatting>
  <conditionalFormatting sqref="S126">
    <cfRule type="expression" dxfId="230" priority="225">
      <formula>NOT(ISBLANK($C126))</formula>
    </cfRule>
  </conditionalFormatting>
  <conditionalFormatting sqref="R126">
    <cfRule type="expression" dxfId="229" priority="224">
      <formula>NOT(ISBLANK($C126))</formula>
    </cfRule>
  </conditionalFormatting>
  <conditionalFormatting sqref="T28">
    <cfRule type="expression" dxfId="228" priority="223">
      <formula>NOT(ISBLANK($C28))</formula>
    </cfRule>
  </conditionalFormatting>
  <conditionalFormatting sqref="S28">
    <cfRule type="expression" dxfId="227" priority="222">
      <formula>NOT(ISBLANK($C28))</formula>
    </cfRule>
  </conditionalFormatting>
  <conditionalFormatting sqref="R28">
    <cfRule type="expression" dxfId="226" priority="221">
      <formula>NOT(ISBLANK($C28))</formula>
    </cfRule>
  </conditionalFormatting>
  <conditionalFormatting sqref="T23">
    <cfRule type="expression" dxfId="225" priority="220">
      <formula>NOT(ISBLANK($C23))</formula>
    </cfRule>
  </conditionalFormatting>
  <conditionalFormatting sqref="S23">
    <cfRule type="expression" dxfId="224" priority="219">
      <formula>NOT(ISBLANK($C23))</formula>
    </cfRule>
  </conditionalFormatting>
  <conditionalFormatting sqref="R23">
    <cfRule type="expression" dxfId="223" priority="218">
      <formula>NOT(ISBLANK($C23))</formula>
    </cfRule>
  </conditionalFormatting>
  <conditionalFormatting sqref="T58">
    <cfRule type="expression" dxfId="222" priority="217">
      <formula>NOT(ISBLANK($C58))</formula>
    </cfRule>
  </conditionalFormatting>
  <conditionalFormatting sqref="S58">
    <cfRule type="expression" dxfId="221" priority="216">
      <formula>NOT(ISBLANK($C58))</formula>
    </cfRule>
  </conditionalFormatting>
  <conditionalFormatting sqref="R58">
    <cfRule type="expression" dxfId="220" priority="215">
      <formula>NOT(ISBLANK($C58))</formula>
    </cfRule>
  </conditionalFormatting>
  <conditionalFormatting sqref="T59">
    <cfRule type="expression" dxfId="219" priority="214">
      <formula>NOT(ISBLANK($C59))</formula>
    </cfRule>
  </conditionalFormatting>
  <conditionalFormatting sqref="S59">
    <cfRule type="expression" dxfId="218" priority="213">
      <formula>NOT(ISBLANK($C59))</formula>
    </cfRule>
  </conditionalFormatting>
  <conditionalFormatting sqref="R59">
    <cfRule type="expression" dxfId="217" priority="212">
      <formula>NOT(ISBLANK($C59))</formula>
    </cfRule>
  </conditionalFormatting>
  <conditionalFormatting sqref="T60">
    <cfRule type="expression" dxfId="216" priority="211">
      <formula>NOT(ISBLANK($C60))</formula>
    </cfRule>
  </conditionalFormatting>
  <conditionalFormatting sqref="S60">
    <cfRule type="expression" dxfId="215" priority="210">
      <formula>NOT(ISBLANK($C60))</formula>
    </cfRule>
  </conditionalFormatting>
  <conditionalFormatting sqref="R60">
    <cfRule type="expression" dxfId="214" priority="209">
      <formula>NOT(ISBLANK($C60))</formula>
    </cfRule>
  </conditionalFormatting>
  <conditionalFormatting sqref="T53">
    <cfRule type="expression" dxfId="213" priority="208">
      <formula>NOT(ISBLANK($C53))</formula>
    </cfRule>
  </conditionalFormatting>
  <conditionalFormatting sqref="S53">
    <cfRule type="expression" dxfId="212" priority="207">
      <formula>NOT(ISBLANK($C53))</formula>
    </cfRule>
  </conditionalFormatting>
  <conditionalFormatting sqref="R53">
    <cfRule type="expression" dxfId="211" priority="206">
      <formula>NOT(ISBLANK($C53))</formula>
    </cfRule>
  </conditionalFormatting>
  <conditionalFormatting sqref="S152:S156 S118:S123 S159:S166 S144:S149 S41:S44 S80:S115 S137:S141 S169:S201 S70:S77 S126:S134 S10:S38 S47:S67">
    <cfRule type="expression" dxfId="210" priority="259">
      <formula>R10&gt;0</formula>
    </cfRule>
    <cfRule type="expression" dxfId="209" priority="260">
      <formula>#REF!&gt;0</formula>
    </cfRule>
  </conditionalFormatting>
  <conditionalFormatting sqref="AD41:AD44 AD138:AD141 AD38 AD10 AD47:AD49 AD118:AD123 AD159:AD166 AD66:AD67 AD51:AD52 AD12:AD22 AD189:AD201 AD81:AD115 AD70:AD71 AD73:AD77 AD29:AD36 AD24:AD27 AD61:AD64 AD54:AD57 AD127:AD134 AD144:AD149 AD169:AD186">
    <cfRule type="expression" dxfId="208" priority="203">
      <formula>NOT(ISBLANK(#REF!))</formula>
    </cfRule>
  </conditionalFormatting>
  <conditionalFormatting sqref="AC41:AC44 AC138:AC141 AC38 AC10 AC54:AC57 AC118:AC123 AC159:AC166 AC66:AC67 AC12:AC22 AC189:AC201 AC81:AC115 AC70:AC71 AC73:AC77 AC29:AC36 AC24:AC27 AC61:AC64 AC127:AC134 AC144:AC149 AC169:AC186 AC51:AC52">
    <cfRule type="expression" dxfId="207" priority="202">
      <formula>NOT(ISBLANK(#REF!))</formula>
    </cfRule>
  </conditionalFormatting>
  <conditionalFormatting sqref="AB41:AB44 AB138:AB141 AB38 AB10 AB54:AB57 AB118:AB123 AB159:AB166 AB66:AB67 AB12:AB22 AB189:AB201 AB81:AB115 AB70:AB71 AB73:AB77 AB29:AB36 AB24:AB27 AB61:AB64 AB127:AB134 AB144:AB149 AB169:AB186 AB51:AB52">
    <cfRule type="expression" dxfId="206" priority="201">
      <formula>NOT(ISBLANK(#REF!))</formula>
    </cfRule>
  </conditionalFormatting>
  <conditionalFormatting sqref="AD152:AD156">
    <cfRule type="expression" dxfId="205" priority="200">
      <formula>NOT(ISBLANK(#REF!))</formula>
    </cfRule>
  </conditionalFormatting>
  <conditionalFormatting sqref="AC47:AC49">
    <cfRule type="expression" dxfId="204" priority="199">
      <formula>NOT(ISBLANK(#REF!))</formula>
    </cfRule>
  </conditionalFormatting>
  <conditionalFormatting sqref="AC152:AC156">
    <cfRule type="expression" dxfId="203" priority="198">
      <formula>NOT(ISBLANK(#REF!))</formula>
    </cfRule>
  </conditionalFormatting>
  <conditionalFormatting sqref="AB47:AB49">
    <cfRule type="expression" dxfId="202" priority="197">
      <formula>NOT(ISBLANK(#REF!))</formula>
    </cfRule>
  </conditionalFormatting>
  <conditionalFormatting sqref="AB152:AB156">
    <cfRule type="expression" dxfId="201" priority="196">
      <formula>NOT(ISBLANK(#REF!))</formula>
    </cfRule>
  </conditionalFormatting>
  <conditionalFormatting sqref="AD37">
    <cfRule type="expression" dxfId="200" priority="195">
      <formula>NOT(ISBLANK(#REF!))</formula>
    </cfRule>
  </conditionalFormatting>
  <conditionalFormatting sqref="AC37">
    <cfRule type="expression" dxfId="199" priority="194">
      <formula>NOT(ISBLANK(#REF!))</formula>
    </cfRule>
  </conditionalFormatting>
  <conditionalFormatting sqref="AB37">
    <cfRule type="expression" dxfId="198" priority="193">
      <formula>NOT(ISBLANK(#REF!))</formula>
    </cfRule>
  </conditionalFormatting>
  <conditionalFormatting sqref="AD80">
    <cfRule type="expression" dxfId="197" priority="192">
      <formula>NOT(ISBLANK(#REF!))</formula>
    </cfRule>
  </conditionalFormatting>
  <conditionalFormatting sqref="AC80">
    <cfRule type="expression" dxfId="196" priority="191">
      <formula>NOT(ISBLANK(#REF!))</formula>
    </cfRule>
  </conditionalFormatting>
  <conditionalFormatting sqref="AB80">
    <cfRule type="expression" dxfId="195" priority="190">
      <formula>NOT(ISBLANK(#REF!))</formula>
    </cfRule>
  </conditionalFormatting>
  <conditionalFormatting sqref="AD137">
    <cfRule type="expression" dxfId="194" priority="189">
      <formula>NOT(ISBLANK(#REF!))</formula>
    </cfRule>
  </conditionalFormatting>
  <conditionalFormatting sqref="AC137">
    <cfRule type="expression" dxfId="193" priority="188">
      <formula>NOT(ISBLANK(#REF!))</formula>
    </cfRule>
  </conditionalFormatting>
  <conditionalFormatting sqref="AB137">
    <cfRule type="expression" dxfId="192" priority="187">
      <formula>NOT(ISBLANK(#REF!))</formula>
    </cfRule>
  </conditionalFormatting>
  <conditionalFormatting sqref="AD11">
    <cfRule type="expression" dxfId="191" priority="186">
      <formula>NOT(ISBLANK(#REF!))</formula>
    </cfRule>
  </conditionalFormatting>
  <conditionalFormatting sqref="AC11">
    <cfRule type="expression" dxfId="190" priority="185">
      <formula>NOT(ISBLANK(#REF!))</formula>
    </cfRule>
  </conditionalFormatting>
  <conditionalFormatting sqref="AB11">
    <cfRule type="expression" dxfId="189" priority="184">
      <formula>NOT(ISBLANK(#REF!))</formula>
    </cfRule>
  </conditionalFormatting>
  <conditionalFormatting sqref="AD65">
    <cfRule type="expression" dxfId="188" priority="183">
      <formula>NOT(ISBLANK(#REF!))</formula>
    </cfRule>
  </conditionalFormatting>
  <conditionalFormatting sqref="AC65">
    <cfRule type="expression" dxfId="187" priority="182">
      <formula>NOT(ISBLANK(#REF!))</formula>
    </cfRule>
  </conditionalFormatting>
  <conditionalFormatting sqref="AB65">
    <cfRule type="expression" dxfId="186" priority="181">
      <formula>NOT(ISBLANK(#REF!))</formula>
    </cfRule>
  </conditionalFormatting>
  <conditionalFormatting sqref="AD187:AD188">
    <cfRule type="expression" dxfId="185" priority="180">
      <formula>NOT(ISBLANK(#REF!))</formula>
    </cfRule>
  </conditionalFormatting>
  <conditionalFormatting sqref="AC187:AC188">
    <cfRule type="expression" dxfId="184" priority="179">
      <formula>NOT(ISBLANK(#REF!))</formula>
    </cfRule>
  </conditionalFormatting>
  <conditionalFormatting sqref="AB187:AB188">
    <cfRule type="expression" dxfId="183" priority="178">
      <formula>NOT(ISBLANK(#REF!))</formula>
    </cfRule>
  </conditionalFormatting>
  <conditionalFormatting sqref="AD50">
    <cfRule type="expression" dxfId="182" priority="177">
      <formula>NOT(ISBLANK(#REF!))</formula>
    </cfRule>
  </conditionalFormatting>
  <conditionalFormatting sqref="AC50">
    <cfRule type="expression" dxfId="181" priority="176">
      <formula>NOT(ISBLANK(#REF!))</formula>
    </cfRule>
  </conditionalFormatting>
  <conditionalFormatting sqref="AB50">
    <cfRule type="expression" dxfId="180" priority="175">
      <formula>NOT(ISBLANK(#REF!))</formula>
    </cfRule>
  </conditionalFormatting>
  <conditionalFormatting sqref="AD72">
    <cfRule type="expression" dxfId="179" priority="174">
      <formula>NOT(ISBLANK(#REF!))</formula>
    </cfRule>
  </conditionalFormatting>
  <conditionalFormatting sqref="AC72">
    <cfRule type="expression" dxfId="178" priority="173">
      <formula>NOT(ISBLANK(#REF!))</formula>
    </cfRule>
  </conditionalFormatting>
  <conditionalFormatting sqref="AB72">
    <cfRule type="expression" dxfId="177" priority="172">
      <formula>NOT(ISBLANK(#REF!))</formula>
    </cfRule>
  </conditionalFormatting>
  <conditionalFormatting sqref="AD126">
    <cfRule type="expression" dxfId="176" priority="171">
      <formula>NOT(ISBLANK(#REF!))</formula>
    </cfRule>
  </conditionalFormatting>
  <conditionalFormatting sqref="AC126">
    <cfRule type="expression" dxfId="175" priority="170">
      <formula>NOT(ISBLANK(#REF!))</formula>
    </cfRule>
  </conditionalFormatting>
  <conditionalFormatting sqref="AB126">
    <cfRule type="expression" dxfId="174" priority="169">
      <formula>NOT(ISBLANK(#REF!))</formula>
    </cfRule>
  </conditionalFormatting>
  <conditionalFormatting sqref="AD28">
    <cfRule type="expression" dxfId="173" priority="168">
      <formula>NOT(ISBLANK(#REF!))</formula>
    </cfRule>
  </conditionalFormatting>
  <conditionalFormatting sqref="AC28">
    <cfRule type="expression" dxfId="172" priority="167">
      <formula>NOT(ISBLANK(#REF!))</formula>
    </cfRule>
  </conditionalFormatting>
  <conditionalFormatting sqref="AB28">
    <cfRule type="expression" dxfId="171" priority="166">
      <formula>NOT(ISBLANK(#REF!))</formula>
    </cfRule>
  </conditionalFormatting>
  <conditionalFormatting sqref="AD23">
    <cfRule type="expression" dxfId="170" priority="165">
      <formula>NOT(ISBLANK(#REF!))</formula>
    </cfRule>
  </conditionalFormatting>
  <conditionalFormatting sqref="AC23">
    <cfRule type="expression" dxfId="169" priority="164">
      <formula>NOT(ISBLANK(#REF!))</formula>
    </cfRule>
  </conditionalFormatting>
  <conditionalFormatting sqref="AB23">
    <cfRule type="expression" dxfId="168" priority="163">
      <formula>NOT(ISBLANK(#REF!))</formula>
    </cfRule>
  </conditionalFormatting>
  <conditionalFormatting sqref="AD58">
    <cfRule type="expression" dxfId="167" priority="162">
      <formula>NOT(ISBLANK(#REF!))</formula>
    </cfRule>
  </conditionalFormatting>
  <conditionalFormatting sqref="AC58">
    <cfRule type="expression" dxfId="166" priority="161">
      <formula>NOT(ISBLANK(#REF!))</formula>
    </cfRule>
  </conditionalFormatting>
  <conditionalFormatting sqref="AB58">
    <cfRule type="expression" dxfId="165" priority="160">
      <formula>NOT(ISBLANK(#REF!))</formula>
    </cfRule>
  </conditionalFormatting>
  <conditionalFormatting sqref="AD59">
    <cfRule type="expression" dxfId="164" priority="159">
      <formula>NOT(ISBLANK(#REF!))</formula>
    </cfRule>
  </conditionalFormatting>
  <conditionalFormatting sqref="AC59">
    <cfRule type="expression" dxfId="163" priority="158">
      <formula>NOT(ISBLANK(#REF!))</formula>
    </cfRule>
  </conditionalFormatting>
  <conditionalFormatting sqref="AB59">
    <cfRule type="expression" dxfId="162" priority="157">
      <formula>NOT(ISBLANK(#REF!))</formula>
    </cfRule>
  </conditionalFormatting>
  <conditionalFormatting sqref="AD60">
    <cfRule type="expression" dxfId="161" priority="156">
      <formula>NOT(ISBLANK(#REF!))</formula>
    </cfRule>
  </conditionalFormatting>
  <conditionalFormatting sqref="AC60">
    <cfRule type="expression" dxfId="160" priority="155">
      <formula>NOT(ISBLANK(#REF!))</formula>
    </cfRule>
  </conditionalFormatting>
  <conditionalFormatting sqref="AB60">
    <cfRule type="expression" dxfId="159" priority="154">
      <formula>NOT(ISBLANK(#REF!))</formula>
    </cfRule>
  </conditionalFormatting>
  <conditionalFormatting sqref="AD53">
    <cfRule type="expression" dxfId="158" priority="153">
      <formula>NOT(ISBLANK(#REF!))</formula>
    </cfRule>
  </conditionalFormatting>
  <conditionalFormatting sqref="AC53">
    <cfRule type="expression" dxfId="157" priority="152">
      <formula>NOT(ISBLANK(#REF!))</formula>
    </cfRule>
  </conditionalFormatting>
  <conditionalFormatting sqref="AB53">
    <cfRule type="expression" dxfId="156" priority="151">
      <formula>NOT(ISBLANK(#REF!))</formula>
    </cfRule>
  </conditionalFormatting>
  <conditionalFormatting sqref="AC152:AC156 AC118:AC123 AC159:AC166 AC144:AC149 AC41:AC44 AC80:AC115 AC137:AC141 AC169:AC201 AC70:AC77 AC126:AC134 AC10:AC38 AC47:AC67">
    <cfRule type="expression" dxfId="155" priority="204">
      <formula>AB10&gt;0</formula>
    </cfRule>
    <cfRule type="expression" dxfId="154" priority="205">
      <formula>#REF!&gt;0</formula>
    </cfRule>
  </conditionalFormatting>
  <conditionalFormatting sqref="AN138:AN141 AN38 AN10 AN47:AN49 AN118:AN123 AN159:AN166 AN66:AN67 AN51:AN52 AN12:AN22 AN189:AN201 AN81:AN115 AN70:AN71 AN73:AN77 AN29:AN36 AN24:AN27 AN61:AN64 AN54:AN57 AN127:AN134 AN144:AN149 AN169:AN186">
    <cfRule type="expression" dxfId="153" priority="148">
      <formula>NOT(ISBLANK(#REF!))</formula>
    </cfRule>
  </conditionalFormatting>
  <conditionalFormatting sqref="AM138:AM141 AM38 AM10 AM54:AM57 AM118:AM123 AM159:AM166 AM66:AM67 AM12:AM22 AM189:AM201 AM81:AM115 AM70:AM71 AM73:AM77 AM29:AM36 AM24:AM27 AM61:AM64 AM127:AM134 AM144:AM149 AM169:AM186 AM51:AM52">
    <cfRule type="expression" dxfId="152" priority="147">
      <formula>NOT(ISBLANK(#REF!))</formula>
    </cfRule>
  </conditionalFormatting>
  <conditionalFormatting sqref="AL138:AL141 AL38 AL10 AL54:AL57 AL118:AL123 AL159:AL166 AL66:AL67 AL12:AL22 AL189:AL201 AL81:AL115 AL70:AL71 AL73:AL77 AL29:AL36 AL24:AL27 AL61:AL64 AL127:AL134 AL144:AL149 AL169:AL186 AL51:AL52">
    <cfRule type="expression" dxfId="151" priority="146">
      <formula>NOT(ISBLANK(#REF!))</formula>
    </cfRule>
  </conditionalFormatting>
  <conditionalFormatting sqref="AN41:AN44">
    <cfRule type="expression" dxfId="150" priority="145">
      <formula>NOT(ISBLANK(#REF!))</formula>
    </cfRule>
  </conditionalFormatting>
  <conditionalFormatting sqref="AM41:AM44">
    <cfRule type="expression" dxfId="149" priority="144">
      <formula>NOT(ISBLANK(#REF!))</formula>
    </cfRule>
  </conditionalFormatting>
  <conditionalFormatting sqref="AL41:AL44">
    <cfRule type="expression" dxfId="148" priority="143">
      <formula>NOT(ISBLANK(#REF!))</formula>
    </cfRule>
  </conditionalFormatting>
  <conditionalFormatting sqref="AN152:AN156">
    <cfRule type="expression" dxfId="147" priority="142">
      <formula>NOT(ISBLANK(#REF!))</formula>
    </cfRule>
  </conditionalFormatting>
  <conditionalFormatting sqref="AM47:AM49">
    <cfRule type="expression" dxfId="146" priority="141">
      <formula>NOT(ISBLANK(#REF!))</formula>
    </cfRule>
  </conditionalFormatting>
  <conditionalFormatting sqref="AM152:AM156">
    <cfRule type="expression" dxfId="145" priority="140">
      <formula>NOT(ISBLANK(#REF!))</formula>
    </cfRule>
  </conditionalFormatting>
  <conditionalFormatting sqref="AL47:AL49">
    <cfRule type="expression" dxfId="144" priority="139">
      <formula>NOT(ISBLANK(#REF!))</formula>
    </cfRule>
  </conditionalFormatting>
  <conditionalFormatting sqref="AL152:AL156">
    <cfRule type="expression" dxfId="143" priority="138">
      <formula>NOT(ISBLANK(#REF!))</formula>
    </cfRule>
  </conditionalFormatting>
  <conditionalFormatting sqref="AN37">
    <cfRule type="expression" dxfId="142" priority="137">
      <formula>NOT(ISBLANK(#REF!))</formula>
    </cfRule>
  </conditionalFormatting>
  <conditionalFormatting sqref="AM37">
    <cfRule type="expression" dxfId="141" priority="136">
      <formula>NOT(ISBLANK(#REF!))</formula>
    </cfRule>
  </conditionalFormatting>
  <conditionalFormatting sqref="AL37">
    <cfRule type="expression" dxfId="140" priority="135">
      <formula>NOT(ISBLANK(#REF!))</formula>
    </cfRule>
  </conditionalFormatting>
  <conditionalFormatting sqref="AN80">
    <cfRule type="expression" dxfId="139" priority="134">
      <formula>NOT(ISBLANK(#REF!))</formula>
    </cfRule>
  </conditionalFormatting>
  <conditionalFormatting sqref="AM80">
    <cfRule type="expression" dxfId="138" priority="133">
      <formula>NOT(ISBLANK(#REF!))</formula>
    </cfRule>
  </conditionalFormatting>
  <conditionalFormatting sqref="AL80">
    <cfRule type="expression" dxfId="137" priority="132">
      <formula>NOT(ISBLANK(#REF!))</formula>
    </cfRule>
  </conditionalFormatting>
  <conditionalFormatting sqref="AN137">
    <cfRule type="expression" dxfId="136" priority="131">
      <formula>NOT(ISBLANK(#REF!))</formula>
    </cfRule>
  </conditionalFormatting>
  <conditionalFormatting sqref="AM137">
    <cfRule type="expression" dxfId="135" priority="130">
      <formula>NOT(ISBLANK(#REF!))</formula>
    </cfRule>
  </conditionalFormatting>
  <conditionalFormatting sqref="AL137">
    <cfRule type="expression" dxfId="134" priority="129">
      <formula>NOT(ISBLANK(#REF!))</formula>
    </cfRule>
  </conditionalFormatting>
  <conditionalFormatting sqref="AN11">
    <cfRule type="expression" dxfId="133" priority="128">
      <formula>NOT(ISBLANK(#REF!))</formula>
    </cfRule>
  </conditionalFormatting>
  <conditionalFormatting sqref="AM11">
    <cfRule type="expression" dxfId="132" priority="127">
      <formula>NOT(ISBLANK(#REF!))</formula>
    </cfRule>
  </conditionalFormatting>
  <conditionalFormatting sqref="AL11">
    <cfRule type="expression" dxfId="131" priority="126">
      <formula>NOT(ISBLANK(#REF!))</formula>
    </cfRule>
  </conditionalFormatting>
  <conditionalFormatting sqref="AN65">
    <cfRule type="expression" dxfId="130" priority="125">
      <formula>NOT(ISBLANK(#REF!))</formula>
    </cfRule>
  </conditionalFormatting>
  <conditionalFormatting sqref="AM65">
    <cfRule type="expression" dxfId="129" priority="124">
      <formula>NOT(ISBLANK(#REF!))</formula>
    </cfRule>
  </conditionalFormatting>
  <conditionalFormatting sqref="AL65">
    <cfRule type="expression" dxfId="128" priority="123">
      <formula>NOT(ISBLANK(#REF!))</formula>
    </cfRule>
  </conditionalFormatting>
  <conditionalFormatting sqref="AN187:AN188">
    <cfRule type="expression" dxfId="127" priority="122">
      <formula>NOT(ISBLANK(#REF!))</formula>
    </cfRule>
  </conditionalFormatting>
  <conditionalFormatting sqref="AM187:AM188">
    <cfRule type="expression" dxfId="126" priority="121">
      <formula>NOT(ISBLANK(#REF!))</formula>
    </cfRule>
  </conditionalFormatting>
  <conditionalFormatting sqref="AL187:AL188">
    <cfRule type="expression" dxfId="125" priority="120">
      <formula>NOT(ISBLANK(#REF!))</formula>
    </cfRule>
  </conditionalFormatting>
  <conditionalFormatting sqref="AN50">
    <cfRule type="expression" dxfId="124" priority="119">
      <formula>NOT(ISBLANK(#REF!))</formula>
    </cfRule>
  </conditionalFormatting>
  <conditionalFormatting sqref="AM50">
    <cfRule type="expression" dxfId="123" priority="118">
      <formula>NOT(ISBLANK(#REF!))</formula>
    </cfRule>
  </conditionalFormatting>
  <conditionalFormatting sqref="AL50">
    <cfRule type="expression" dxfId="122" priority="117">
      <formula>NOT(ISBLANK(#REF!))</formula>
    </cfRule>
  </conditionalFormatting>
  <conditionalFormatting sqref="AN72">
    <cfRule type="expression" dxfId="121" priority="116">
      <formula>NOT(ISBLANK(#REF!))</formula>
    </cfRule>
  </conditionalFormatting>
  <conditionalFormatting sqref="AM72">
    <cfRule type="expression" dxfId="120" priority="115">
      <formula>NOT(ISBLANK(#REF!))</formula>
    </cfRule>
  </conditionalFormatting>
  <conditionalFormatting sqref="AL72">
    <cfRule type="expression" dxfId="119" priority="114">
      <formula>NOT(ISBLANK(#REF!))</formula>
    </cfRule>
  </conditionalFormatting>
  <conditionalFormatting sqref="AN126">
    <cfRule type="expression" dxfId="118" priority="113">
      <formula>NOT(ISBLANK(#REF!))</formula>
    </cfRule>
  </conditionalFormatting>
  <conditionalFormatting sqref="AM126">
    <cfRule type="expression" dxfId="117" priority="112">
      <formula>NOT(ISBLANK(#REF!))</formula>
    </cfRule>
  </conditionalFormatting>
  <conditionalFormatting sqref="AL126">
    <cfRule type="expression" dxfId="116" priority="111">
      <formula>NOT(ISBLANK(#REF!))</formula>
    </cfRule>
  </conditionalFormatting>
  <conditionalFormatting sqref="AN28">
    <cfRule type="expression" dxfId="115" priority="110">
      <formula>NOT(ISBLANK(#REF!))</formula>
    </cfRule>
  </conditionalFormatting>
  <conditionalFormatting sqref="AM28">
    <cfRule type="expression" dxfId="114" priority="109">
      <formula>NOT(ISBLANK(#REF!))</formula>
    </cfRule>
  </conditionalFormatting>
  <conditionalFormatting sqref="AL28">
    <cfRule type="expression" dxfId="113" priority="108">
      <formula>NOT(ISBLANK(#REF!))</formula>
    </cfRule>
  </conditionalFormatting>
  <conditionalFormatting sqref="AN23">
    <cfRule type="expression" dxfId="112" priority="107">
      <formula>NOT(ISBLANK(#REF!))</formula>
    </cfRule>
  </conditionalFormatting>
  <conditionalFormatting sqref="AM23">
    <cfRule type="expression" dxfId="111" priority="106">
      <formula>NOT(ISBLANK(#REF!))</formula>
    </cfRule>
  </conditionalFormatting>
  <conditionalFormatting sqref="AL23">
    <cfRule type="expression" dxfId="110" priority="105">
      <formula>NOT(ISBLANK(#REF!))</formula>
    </cfRule>
  </conditionalFormatting>
  <conditionalFormatting sqref="AN58">
    <cfRule type="expression" dxfId="109" priority="104">
      <formula>NOT(ISBLANK(#REF!))</formula>
    </cfRule>
  </conditionalFormatting>
  <conditionalFormatting sqref="AM58">
    <cfRule type="expression" dxfId="108" priority="103">
      <formula>NOT(ISBLANK(#REF!))</formula>
    </cfRule>
  </conditionalFormatting>
  <conditionalFormatting sqref="AL58">
    <cfRule type="expression" dxfId="107" priority="102">
      <formula>NOT(ISBLANK(#REF!))</formula>
    </cfRule>
  </conditionalFormatting>
  <conditionalFormatting sqref="AN59">
    <cfRule type="expression" dxfId="106" priority="101">
      <formula>NOT(ISBLANK(#REF!))</formula>
    </cfRule>
  </conditionalFormatting>
  <conditionalFormatting sqref="AM59">
    <cfRule type="expression" dxfId="105" priority="100">
      <formula>NOT(ISBLANK(#REF!))</formula>
    </cfRule>
  </conditionalFormatting>
  <conditionalFormatting sqref="AL59">
    <cfRule type="expression" dxfId="104" priority="99">
      <formula>NOT(ISBLANK(#REF!))</formula>
    </cfRule>
  </conditionalFormatting>
  <conditionalFormatting sqref="AN60">
    <cfRule type="expression" dxfId="103" priority="98">
      <formula>NOT(ISBLANK(#REF!))</formula>
    </cfRule>
  </conditionalFormatting>
  <conditionalFormatting sqref="AM60">
    <cfRule type="expression" dxfId="102" priority="97">
      <formula>NOT(ISBLANK(#REF!))</formula>
    </cfRule>
  </conditionalFormatting>
  <conditionalFormatting sqref="AL60">
    <cfRule type="expression" dxfId="101" priority="96">
      <formula>NOT(ISBLANK(#REF!))</formula>
    </cfRule>
  </conditionalFormatting>
  <conditionalFormatting sqref="AN53">
    <cfRule type="expression" dxfId="100" priority="95">
      <formula>NOT(ISBLANK(#REF!))</formula>
    </cfRule>
  </conditionalFormatting>
  <conditionalFormatting sqref="AM53">
    <cfRule type="expression" dxfId="99" priority="94">
      <formula>NOT(ISBLANK(#REF!))</formula>
    </cfRule>
  </conditionalFormatting>
  <conditionalFormatting sqref="AL53">
    <cfRule type="expression" dxfId="98" priority="93">
      <formula>NOT(ISBLANK(#REF!))</formula>
    </cfRule>
  </conditionalFormatting>
  <conditionalFormatting sqref="AM152:AM156 AM118:AM123 AM159:AM166 AM144:AM149 AM41:AM44 AM80:AM115 AM137:AM141 AM169:AM201 AM70:AM77 AM126:AM134 AM10:AM38 AM47:AM67">
    <cfRule type="expression" dxfId="97" priority="149">
      <formula>AL10&gt;0</formula>
    </cfRule>
    <cfRule type="expression" dxfId="96" priority="150">
      <formula>#REF!&gt;0</formula>
    </cfRule>
  </conditionalFormatting>
  <conditionalFormatting sqref="I38 I152:I156 I10 I47:I49 I118:I123 I159:I166 I66:I67 I51:I52 I12:I22 I189:I201 I81:I115 I70:I71 I73:I77 I29:I36 I24:I27 I61:I64 I54:I57 I127:I134 I144:I149 I169:I186">
    <cfRule type="expression" dxfId="95" priority="91">
      <formula>H10&gt;0</formula>
    </cfRule>
    <cfRule type="expression" dxfId="94" priority="92">
      <formula>$P$20&gt;0</formula>
    </cfRule>
  </conditionalFormatting>
  <conditionalFormatting sqref="J138:J141 J38 J10 J47:J49 J118:J123 J159:J166 J66:J67 J51:J52 J12:J22 J189:J201 J81:J115 J70:J71 J73:J77 J29:J36 J24:J27 J61:J64 J54:J57 J127:J134 J144:J149 J169:J186">
    <cfRule type="expression" dxfId="93" priority="90">
      <formula>NOT(ISBLANK($R10))</formula>
    </cfRule>
  </conditionalFormatting>
  <conditionalFormatting sqref="I138:I141 I38 I10 I54:I57 I118:I123 I159:I166 I66:I67 I12:I22 I189:I201 I81:I115 I70:I71 I73:I77 I29:I36 I24:I27 I61:I64 I127:I134 I144:I149 I169:I186 I51:I52">
    <cfRule type="expression" dxfId="92" priority="89">
      <formula>NOT(ISBLANK($R10))</formula>
    </cfRule>
  </conditionalFormatting>
  <conditionalFormatting sqref="H138:H141 H38 H10 H54:H57 H118:H123 H159:H166 H66:H67 H12:H22 H189:H201 H81:H115 H70:H71 H73:H77 H29:H36 H24:H27 H61:H64 H127:H134 H144:H149 H169:H186 H51:H52">
    <cfRule type="expression" dxfId="91" priority="88">
      <formula>NOT(ISBLANK($R10))</formula>
    </cfRule>
  </conditionalFormatting>
  <conditionalFormatting sqref="I138:I141">
    <cfRule type="expression" dxfId="90" priority="86">
      <formula>H138&gt;0</formula>
    </cfRule>
    <cfRule type="expression" dxfId="89" priority="87">
      <formula>$P$20&gt;0</formula>
    </cfRule>
  </conditionalFormatting>
  <conditionalFormatting sqref="J41:J44">
    <cfRule type="expression" dxfId="88" priority="85">
      <formula>NOT(ISBLANK($R41))</formula>
    </cfRule>
  </conditionalFormatting>
  <conditionalFormatting sqref="I41:I44">
    <cfRule type="expression" dxfId="87" priority="84">
      <formula>NOT(ISBLANK($R41))</formula>
    </cfRule>
  </conditionalFormatting>
  <conditionalFormatting sqref="H41:H44">
    <cfRule type="expression" dxfId="86" priority="83">
      <formula>NOT(ISBLANK($R41))</formula>
    </cfRule>
  </conditionalFormatting>
  <conditionalFormatting sqref="J152:J156">
    <cfRule type="expression" dxfId="85" priority="82">
      <formula>NOT(ISBLANK($R152))</formula>
    </cfRule>
  </conditionalFormatting>
  <conditionalFormatting sqref="I47:I49">
    <cfRule type="expression" dxfId="84" priority="81">
      <formula>NOT(ISBLANK($R47))</formula>
    </cfRule>
  </conditionalFormatting>
  <conditionalFormatting sqref="I41:I44">
    <cfRule type="expression" dxfId="83" priority="79">
      <formula>H41&gt;0</formula>
    </cfRule>
    <cfRule type="expression" dxfId="82" priority="80">
      <formula>$P$20&gt;0</formula>
    </cfRule>
  </conditionalFormatting>
  <conditionalFormatting sqref="I152:I156">
    <cfRule type="expression" dxfId="81" priority="78">
      <formula>NOT(ISBLANK($R152))</formula>
    </cfRule>
  </conditionalFormatting>
  <conditionalFormatting sqref="H47:H49">
    <cfRule type="expression" dxfId="80" priority="77">
      <formula>NOT(ISBLANK($R47))</formula>
    </cfRule>
  </conditionalFormatting>
  <conditionalFormatting sqref="H152:H156">
    <cfRule type="expression" dxfId="79" priority="76">
      <formula>NOT(ISBLANK($R152))</formula>
    </cfRule>
  </conditionalFormatting>
  <conditionalFormatting sqref="I37">
    <cfRule type="expression" dxfId="78" priority="74">
      <formula>H37&gt;0</formula>
    </cfRule>
    <cfRule type="expression" dxfId="77" priority="75">
      <formula>$P$20&gt;0</formula>
    </cfRule>
  </conditionalFormatting>
  <conditionalFormatting sqref="J37">
    <cfRule type="expression" dxfId="76" priority="73">
      <formula>NOT(ISBLANK($R37))</formula>
    </cfRule>
  </conditionalFormatting>
  <conditionalFormatting sqref="I37">
    <cfRule type="expression" dxfId="75" priority="72">
      <formula>NOT(ISBLANK($R37))</formula>
    </cfRule>
  </conditionalFormatting>
  <conditionalFormatting sqref="H37">
    <cfRule type="expression" dxfId="74" priority="71">
      <formula>NOT(ISBLANK($R37))</formula>
    </cfRule>
  </conditionalFormatting>
  <conditionalFormatting sqref="I80">
    <cfRule type="expression" dxfId="73" priority="69">
      <formula>H80&gt;0</formula>
    </cfRule>
    <cfRule type="expression" dxfId="72" priority="70">
      <formula>$P$20&gt;0</formula>
    </cfRule>
  </conditionalFormatting>
  <conditionalFormatting sqref="J80">
    <cfRule type="expression" dxfId="71" priority="68">
      <formula>NOT(ISBLANK($R80))</formula>
    </cfRule>
  </conditionalFormatting>
  <conditionalFormatting sqref="I80">
    <cfRule type="expression" dxfId="70" priority="67">
      <formula>NOT(ISBLANK($R80))</formula>
    </cfRule>
  </conditionalFormatting>
  <conditionalFormatting sqref="H80">
    <cfRule type="expression" dxfId="69" priority="66">
      <formula>NOT(ISBLANK($R80))</formula>
    </cfRule>
  </conditionalFormatting>
  <conditionalFormatting sqref="I137">
    <cfRule type="expression" dxfId="68" priority="64">
      <formula>H137&gt;0</formula>
    </cfRule>
    <cfRule type="expression" dxfId="67" priority="65">
      <formula>$P$20&gt;0</formula>
    </cfRule>
  </conditionalFormatting>
  <conditionalFormatting sqref="J137">
    <cfRule type="expression" dxfId="66" priority="63">
      <formula>NOT(ISBLANK($R137))</formula>
    </cfRule>
  </conditionalFormatting>
  <conditionalFormatting sqref="I137">
    <cfRule type="expression" dxfId="65" priority="62">
      <formula>NOT(ISBLANK($R137))</formula>
    </cfRule>
  </conditionalFormatting>
  <conditionalFormatting sqref="H137">
    <cfRule type="expression" dxfId="64" priority="61">
      <formula>NOT(ISBLANK($R137))</formula>
    </cfRule>
  </conditionalFormatting>
  <conditionalFormatting sqref="I11">
    <cfRule type="expression" dxfId="63" priority="59">
      <formula>H11&gt;0</formula>
    </cfRule>
    <cfRule type="expression" dxfId="62" priority="60">
      <formula>$P$20&gt;0</formula>
    </cfRule>
  </conditionalFormatting>
  <conditionalFormatting sqref="J11">
    <cfRule type="expression" dxfId="61" priority="58">
      <formula>NOT(ISBLANK($R11))</formula>
    </cfRule>
  </conditionalFormatting>
  <conditionalFormatting sqref="I11">
    <cfRule type="expression" dxfId="60" priority="57">
      <formula>NOT(ISBLANK($R11))</formula>
    </cfRule>
  </conditionalFormatting>
  <conditionalFormatting sqref="H11">
    <cfRule type="expression" dxfId="59" priority="56">
      <formula>NOT(ISBLANK($R11))</formula>
    </cfRule>
  </conditionalFormatting>
  <conditionalFormatting sqref="I65">
    <cfRule type="expression" dxfId="58" priority="54">
      <formula>H65&gt;0</formula>
    </cfRule>
    <cfRule type="expression" dxfId="57" priority="55">
      <formula>$P$20&gt;0</formula>
    </cfRule>
  </conditionalFormatting>
  <conditionalFormatting sqref="J65">
    <cfRule type="expression" dxfId="56" priority="53">
      <formula>NOT(ISBLANK($R65))</formula>
    </cfRule>
  </conditionalFormatting>
  <conditionalFormatting sqref="I65">
    <cfRule type="expression" dxfId="55" priority="52">
      <formula>NOT(ISBLANK($R65))</formula>
    </cfRule>
  </conditionalFormatting>
  <conditionalFormatting sqref="H65">
    <cfRule type="expression" dxfId="54" priority="51">
      <formula>NOT(ISBLANK($R65))</formula>
    </cfRule>
  </conditionalFormatting>
  <conditionalFormatting sqref="I187:I188">
    <cfRule type="expression" dxfId="53" priority="49">
      <formula>H187&gt;0</formula>
    </cfRule>
    <cfRule type="expression" dxfId="52" priority="50">
      <formula>$P$20&gt;0</formula>
    </cfRule>
  </conditionalFormatting>
  <conditionalFormatting sqref="J187:J188">
    <cfRule type="expression" dxfId="51" priority="48">
      <formula>NOT(ISBLANK($R187))</formula>
    </cfRule>
  </conditionalFormatting>
  <conditionalFormatting sqref="I187:I188">
    <cfRule type="expression" dxfId="50" priority="47">
      <formula>NOT(ISBLANK($R187))</formula>
    </cfRule>
  </conditionalFormatting>
  <conditionalFormatting sqref="H187:H188">
    <cfRule type="expression" dxfId="49" priority="46">
      <formula>NOT(ISBLANK($R187))</formula>
    </cfRule>
  </conditionalFormatting>
  <conditionalFormatting sqref="I50">
    <cfRule type="expression" dxfId="48" priority="44">
      <formula>H50&gt;0</formula>
    </cfRule>
    <cfRule type="expression" dxfId="47" priority="45">
      <formula>$P$20&gt;0</formula>
    </cfRule>
  </conditionalFormatting>
  <conditionalFormatting sqref="J50">
    <cfRule type="expression" dxfId="46" priority="43">
      <formula>NOT(ISBLANK($R50))</formula>
    </cfRule>
  </conditionalFormatting>
  <conditionalFormatting sqref="I50">
    <cfRule type="expression" dxfId="45" priority="42">
      <formula>NOT(ISBLANK($R50))</formula>
    </cfRule>
  </conditionalFormatting>
  <conditionalFormatting sqref="H50">
    <cfRule type="expression" dxfId="44" priority="41">
      <formula>NOT(ISBLANK($R50))</formula>
    </cfRule>
  </conditionalFormatting>
  <conditionalFormatting sqref="I72">
    <cfRule type="expression" dxfId="43" priority="39">
      <formula>H72&gt;0</formula>
    </cfRule>
    <cfRule type="expression" dxfId="42" priority="40">
      <formula>$P$20&gt;0</formula>
    </cfRule>
  </conditionalFormatting>
  <conditionalFormatting sqref="J72">
    <cfRule type="expression" dxfId="41" priority="38">
      <formula>NOT(ISBLANK($R72))</formula>
    </cfRule>
  </conditionalFormatting>
  <conditionalFormatting sqref="I72">
    <cfRule type="expression" dxfId="40" priority="37">
      <formula>NOT(ISBLANK($R72))</formula>
    </cfRule>
  </conditionalFormatting>
  <conditionalFormatting sqref="H72">
    <cfRule type="expression" dxfId="39" priority="36">
      <formula>NOT(ISBLANK($R72))</formula>
    </cfRule>
  </conditionalFormatting>
  <conditionalFormatting sqref="J126">
    <cfRule type="expression" dxfId="38" priority="35">
      <formula>NOT(ISBLANK($R126))</formula>
    </cfRule>
  </conditionalFormatting>
  <conditionalFormatting sqref="I126">
    <cfRule type="expression" dxfId="37" priority="33">
      <formula>H126&gt;0</formula>
    </cfRule>
    <cfRule type="expression" dxfId="36" priority="34">
      <formula>$P$20&gt;0</formula>
    </cfRule>
  </conditionalFormatting>
  <conditionalFormatting sqref="I126">
    <cfRule type="expression" dxfId="35" priority="32">
      <formula>NOT(ISBLANK($R126))</formula>
    </cfRule>
  </conditionalFormatting>
  <conditionalFormatting sqref="H126">
    <cfRule type="expression" dxfId="34" priority="31">
      <formula>NOT(ISBLANK($R126))</formula>
    </cfRule>
  </conditionalFormatting>
  <conditionalFormatting sqref="I28">
    <cfRule type="expression" dxfId="33" priority="29">
      <formula>H28&gt;0</formula>
    </cfRule>
    <cfRule type="expression" dxfId="32" priority="30">
      <formula>$P$20&gt;0</formula>
    </cfRule>
  </conditionalFormatting>
  <conditionalFormatting sqref="J28">
    <cfRule type="expression" dxfId="31" priority="28">
      <formula>NOT(ISBLANK($R28))</formula>
    </cfRule>
  </conditionalFormatting>
  <conditionalFormatting sqref="I28">
    <cfRule type="expression" dxfId="30" priority="27">
      <formula>NOT(ISBLANK($R28))</formula>
    </cfRule>
  </conditionalFormatting>
  <conditionalFormatting sqref="H28">
    <cfRule type="expression" dxfId="29" priority="26">
      <formula>NOT(ISBLANK($R28))</formula>
    </cfRule>
  </conditionalFormatting>
  <conditionalFormatting sqref="I23">
    <cfRule type="expression" dxfId="28" priority="24">
      <formula>H23&gt;0</formula>
    </cfRule>
    <cfRule type="expression" dxfId="27" priority="25">
      <formula>$P$20&gt;0</formula>
    </cfRule>
  </conditionalFormatting>
  <conditionalFormatting sqref="J23">
    <cfRule type="expression" dxfId="26" priority="23">
      <formula>NOT(ISBLANK($R23))</formula>
    </cfRule>
  </conditionalFormatting>
  <conditionalFormatting sqref="I23">
    <cfRule type="expression" dxfId="25" priority="22">
      <formula>NOT(ISBLANK($R23))</formula>
    </cfRule>
  </conditionalFormatting>
  <conditionalFormatting sqref="H23">
    <cfRule type="expression" dxfId="24" priority="21">
      <formula>NOT(ISBLANK($R23))</formula>
    </cfRule>
  </conditionalFormatting>
  <conditionalFormatting sqref="I58">
    <cfRule type="expression" dxfId="23" priority="19">
      <formula>H58&gt;0</formula>
    </cfRule>
    <cfRule type="expression" dxfId="22" priority="20">
      <formula>$P$20&gt;0</formula>
    </cfRule>
  </conditionalFormatting>
  <conditionalFormatting sqref="J58">
    <cfRule type="expression" dxfId="21" priority="18">
      <formula>NOT(ISBLANK($R58))</formula>
    </cfRule>
  </conditionalFormatting>
  <conditionalFormatting sqref="I58">
    <cfRule type="expression" dxfId="20" priority="17">
      <formula>NOT(ISBLANK($R58))</formula>
    </cfRule>
  </conditionalFormatting>
  <conditionalFormatting sqref="H58">
    <cfRule type="expression" dxfId="19" priority="16">
      <formula>NOT(ISBLANK($R58))</formula>
    </cfRule>
  </conditionalFormatting>
  <conditionalFormatting sqref="I59">
    <cfRule type="expression" dxfId="18" priority="14">
      <formula>H59&gt;0</formula>
    </cfRule>
    <cfRule type="expression" dxfId="17" priority="15">
      <formula>$P$20&gt;0</formula>
    </cfRule>
  </conditionalFormatting>
  <conditionalFormatting sqref="J59">
    <cfRule type="expression" dxfId="16" priority="13">
      <formula>NOT(ISBLANK($R59))</formula>
    </cfRule>
  </conditionalFormatting>
  <conditionalFormatting sqref="I59">
    <cfRule type="expression" dxfId="15" priority="12">
      <formula>NOT(ISBLANK($R59))</formula>
    </cfRule>
  </conditionalFormatting>
  <conditionalFormatting sqref="H59">
    <cfRule type="expression" dxfId="14" priority="11">
      <formula>NOT(ISBLANK($R59))</formula>
    </cfRule>
  </conditionalFormatting>
  <conditionalFormatting sqref="I60">
    <cfRule type="expression" dxfId="13" priority="9">
      <formula>H60&gt;0</formula>
    </cfRule>
    <cfRule type="expression" dxfId="12" priority="10">
      <formula>$P$20&gt;0</formula>
    </cfRule>
  </conditionalFormatting>
  <conditionalFormatting sqref="J60">
    <cfRule type="expression" dxfId="11" priority="8">
      <formula>NOT(ISBLANK($R60))</formula>
    </cfRule>
  </conditionalFormatting>
  <conditionalFormatting sqref="I60">
    <cfRule type="expression" dxfId="10" priority="7">
      <formula>NOT(ISBLANK($R60))</formula>
    </cfRule>
  </conditionalFormatting>
  <conditionalFormatting sqref="H60">
    <cfRule type="expression" dxfId="9" priority="6">
      <formula>NOT(ISBLANK($R60))</formula>
    </cfRule>
  </conditionalFormatting>
  <conditionalFormatting sqref="I53">
    <cfRule type="expression" dxfId="8" priority="4">
      <formula>H53&gt;0</formula>
    </cfRule>
    <cfRule type="expression" dxfId="7" priority="5">
      <formula>$P$20&gt;0</formula>
    </cfRule>
  </conditionalFormatting>
  <conditionalFormatting sqref="J53">
    <cfRule type="expression" dxfId="6" priority="3">
      <formula>NOT(ISBLANK($R53))</formula>
    </cfRule>
  </conditionalFormatting>
  <conditionalFormatting sqref="I53">
    <cfRule type="expression" dxfId="5" priority="2">
      <formula>NOT(ISBLANK($R53))</formula>
    </cfRule>
  </conditionalFormatting>
  <conditionalFormatting sqref="H53">
    <cfRule type="expression" dxfId="4" priority="1">
      <formula>NOT(ISBLANK($R53))</formula>
    </cfRule>
  </conditionalFormatting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workbookViewId="0">
      <selection activeCell="O41" sqref="O41"/>
    </sheetView>
  </sheetViews>
  <sheetFormatPr defaultRowHeight="15" x14ac:dyDescent="0.25"/>
  <cols>
    <col min="1" max="1" width="35.28515625" bestFit="1" customWidth="1"/>
    <col min="2" max="2" width="5.85546875" bestFit="1" customWidth="1"/>
    <col min="3" max="3" width="4.140625" bestFit="1" customWidth="1"/>
    <col min="4" max="4" width="9" bestFit="1" customWidth="1"/>
    <col min="6" max="6" width="7" bestFit="1" customWidth="1"/>
    <col min="7" max="7" width="10" bestFit="1" customWidth="1"/>
    <col min="8" max="8" width="11.28515625" bestFit="1" customWidth="1"/>
    <col min="9" max="9" width="9.140625" bestFit="1" customWidth="1"/>
    <col min="10" max="10" width="16.7109375" bestFit="1" customWidth="1"/>
    <col min="11" max="11" width="15.140625" bestFit="1" customWidth="1"/>
    <col min="12" max="12" width="14.140625" bestFit="1" customWidth="1"/>
    <col min="13" max="13" width="10.85546875" bestFit="1" customWidth="1"/>
    <col min="14" max="14" width="7.7109375" bestFit="1" customWidth="1"/>
    <col min="15" max="15" width="10" bestFit="1" customWidth="1"/>
    <col min="16" max="16" width="9" bestFit="1" customWidth="1"/>
  </cols>
  <sheetData>
    <row r="1" spans="1:25" ht="15.75" x14ac:dyDescent="0.25">
      <c r="A1" s="185" t="s">
        <v>4649</v>
      </c>
      <c r="B1" t="s">
        <v>761</v>
      </c>
      <c r="C1" t="s">
        <v>773</v>
      </c>
      <c r="D1" t="s">
        <v>757</v>
      </c>
      <c r="E1" t="s">
        <v>4701</v>
      </c>
      <c r="F1" t="s">
        <v>4651</v>
      </c>
      <c r="G1" t="s">
        <v>4650</v>
      </c>
      <c r="H1" t="s">
        <v>4653</v>
      </c>
      <c r="I1" t="s">
        <v>4652</v>
      </c>
      <c r="J1" t="s">
        <v>4656</v>
      </c>
      <c r="K1" t="s">
        <v>4654</v>
      </c>
      <c r="L1" t="s">
        <v>4655</v>
      </c>
      <c r="M1" t="s">
        <v>4693</v>
      </c>
      <c r="N1" t="s">
        <v>4694</v>
      </c>
      <c r="O1" t="s">
        <v>4671</v>
      </c>
      <c r="P1" t="s">
        <v>4672</v>
      </c>
      <c r="Q1" t="s">
        <v>4673</v>
      </c>
      <c r="R1" t="s">
        <v>4674</v>
      </c>
      <c r="S1" t="s">
        <v>4675</v>
      </c>
      <c r="T1" t="s">
        <v>4676</v>
      </c>
      <c r="U1" t="s">
        <v>4677</v>
      </c>
      <c r="V1" t="s">
        <v>4678</v>
      </c>
      <c r="W1" t="s">
        <v>4679</v>
      </c>
      <c r="X1" t="s">
        <v>4680</v>
      </c>
      <c r="Y1" t="s">
        <v>4681</v>
      </c>
    </row>
    <row r="2" spans="1:25" x14ac:dyDescent="0.25">
      <c r="A2" t="s">
        <v>629</v>
      </c>
      <c r="C2" t="s">
        <v>4688</v>
      </c>
      <c r="D2" s="293" t="s">
        <v>4688</v>
      </c>
      <c r="F2" t="s">
        <v>4688</v>
      </c>
      <c r="G2" t="s">
        <v>4688</v>
      </c>
      <c r="O2" s="293" t="s">
        <v>4688</v>
      </c>
      <c r="Q2" t="s">
        <v>4688</v>
      </c>
      <c r="R2" t="s">
        <v>4688</v>
      </c>
      <c r="S2" t="s">
        <v>4688</v>
      </c>
    </row>
    <row r="3" spans="1:25" x14ac:dyDescent="0.25">
      <c r="A3" t="s">
        <v>4657</v>
      </c>
      <c r="C3" t="s">
        <v>4688</v>
      </c>
      <c r="D3" s="293" t="s">
        <v>4688</v>
      </c>
      <c r="O3" s="293" t="s">
        <v>4688</v>
      </c>
      <c r="Q3" t="s">
        <v>4688</v>
      </c>
      <c r="R3" t="s">
        <v>4688</v>
      </c>
      <c r="S3" t="s">
        <v>4688</v>
      </c>
    </row>
    <row r="4" spans="1:25" x14ac:dyDescent="0.25">
      <c r="A4" t="s">
        <v>4658</v>
      </c>
      <c r="D4" s="293" t="s">
        <v>4688</v>
      </c>
      <c r="O4" s="293" t="s">
        <v>4688</v>
      </c>
      <c r="Q4" t="s">
        <v>4688</v>
      </c>
      <c r="R4" t="s">
        <v>4688</v>
      </c>
      <c r="S4" t="s">
        <v>4688</v>
      </c>
    </row>
    <row r="5" spans="1:25" x14ac:dyDescent="0.25">
      <c r="A5" t="s">
        <v>4659</v>
      </c>
      <c r="C5" t="s">
        <v>4690</v>
      </c>
      <c r="F5" t="s">
        <v>4690</v>
      </c>
      <c r="G5" t="s">
        <v>4690</v>
      </c>
      <c r="O5" t="s">
        <v>4690</v>
      </c>
      <c r="Q5" t="s">
        <v>4690</v>
      </c>
      <c r="R5" t="s">
        <v>4690</v>
      </c>
      <c r="S5" t="s">
        <v>4690</v>
      </c>
    </row>
    <row r="6" spans="1:25" x14ac:dyDescent="0.25">
      <c r="A6" t="s">
        <v>4660</v>
      </c>
      <c r="O6" t="s">
        <v>4690</v>
      </c>
      <c r="Q6" t="s">
        <v>4690</v>
      </c>
      <c r="R6" t="s">
        <v>4690</v>
      </c>
      <c r="S6" t="s">
        <v>4690</v>
      </c>
    </row>
    <row r="7" spans="1:25" x14ac:dyDescent="0.25">
      <c r="A7" t="s">
        <v>643</v>
      </c>
      <c r="C7" s="293" t="s">
        <v>4688</v>
      </c>
      <c r="D7" s="293" t="s">
        <v>4696</v>
      </c>
      <c r="E7" t="s">
        <v>4688</v>
      </c>
      <c r="F7" s="145" t="s">
        <v>4688</v>
      </c>
      <c r="G7" t="s">
        <v>4688</v>
      </c>
      <c r="H7" s="293" t="s">
        <v>4688</v>
      </c>
      <c r="I7" s="293" t="s">
        <v>4688</v>
      </c>
      <c r="J7" s="293" t="s">
        <v>4688</v>
      </c>
      <c r="K7" t="s">
        <v>4688</v>
      </c>
      <c r="L7" s="293" t="s">
        <v>4688</v>
      </c>
      <c r="M7" s="293" t="s">
        <v>4688</v>
      </c>
      <c r="N7" s="293" t="s">
        <v>4688</v>
      </c>
      <c r="O7" s="293" t="s">
        <v>4688</v>
      </c>
      <c r="P7" s="293" t="s">
        <v>4688</v>
      </c>
      <c r="Q7" s="293" t="s">
        <v>4688</v>
      </c>
      <c r="R7" s="293" t="s">
        <v>4688</v>
      </c>
      <c r="S7" s="293" t="s">
        <v>4688</v>
      </c>
      <c r="T7" s="293" t="s">
        <v>4688</v>
      </c>
      <c r="U7" s="293" t="s">
        <v>4688</v>
      </c>
      <c r="V7" s="293" t="s">
        <v>4688</v>
      </c>
      <c r="W7" s="293"/>
      <c r="X7" s="293"/>
      <c r="Y7" s="293"/>
    </row>
    <row r="8" spans="1:25" x14ac:dyDescent="0.25">
      <c r="A8" t="s">
        <v>633</v>
      </c>
      <c r="C8" s="293" t="s">
        <v>4688</v>
      </c>
      <c r="O8" s="293" t="s">
        <v>4688</v>
      </c>
      <c r="P8" s="293"/>
      <c r="Q8" s="293" t="s">
        <v>4688</v>
      </c>
      <c r="R8" s="293" t="s">
        <v>4688</v>
      </c>
      <c r="S8" s="293" t="s">
        <v>4688</v>
      </c>
    </row>
    <row r="9" spans="1:25" x14ac:dyDescent="0.25">
      <c r="A9" t="s">
        <v>4661</v>
      </c>
      <c r="C9" s="293" t="s">
        <v>4688</v>
      </c>
      <c r="D9" s="293" t="s">
        <v>4696</v>
      </c>
      <c r="E9" t="s">
        <v>4688</v>
      </c>
      <c r="F9" s="293" t="s">
        <v>4688</v>
      </c>
      <c r="G9" s="293" t="s">
        <v>4688</v>
      </c>
      <c r="H9" s="293" t="s">
        <v>4688</v>
      </c>
      <c r="I9" s="293" t="s">
        <v>4688</v>
      </c>
      <c r="M9" s="293" t="s">
        <v>4688</v>
      </c>
      <c r="N9" s="293" t="s">
        <v>4688</v>
      </c>
      <c r="O9" s="293" t="s">
        <v>4688</v>
      </c>
      <c r="P9" s="293" t="s">
        <v>4688</v>
      </c>
      <c r="Q9" s="293" t="s">
        <v>4688</v>
      </c>
      <c r="R9" s="293" t="s">
        <v>4688</v>
      </c>
      <c r="S9" s="293" t="s">
        <v>4688</v>
      </c>
      <c r="T9" s="293"/>
      <c r="U9" s="293"/>
      <c r="V9" s="293"/>
    </row>
    <row r="10" spans="1:25" x14ac:dyDescent="0.25">
      <c r="A10" t="s">
        <v>646</v>
      </c>
      <c r="C10" s="293" t="s">
        <v>4688</v>
      </c>
      <c r="D10" s="293" t="s">
        <v>4697</v>
      </c>
      <c r="O10" s="293" t="s">
        <v>4688</v>
      </c>
      <c r="Q10" s="293" t="s">
        <v>4688</v>
      </c>
      <c r="R10" s="293" t="s">
        <v>4688</v>
      </c>
      <c r="S10" s="293" t="s">
        <v>4688</v>
      </c>
    </row>
    <row r="11" spans="1:25" x14ac:dyDescent="0.25">
      <c r="A11" t="s">
        <v>648</v>
      </c>
      <c r="C11" t="s">
        <v>4688</v>
      </c>
      <c r="D11" t="s">
        <v>4688</v>
      </c>
      <c r="F11" t="s">
        <v>4688</v>
      </c>
      <c r="G11" t="s">
        <v>4688</v>
      </c>
      <c r="O11" t="s">
        <v>4688</v>
      </c>
      <c r="Q11" t="s">
        <v>4688</v>
      </c>
      <c r="R11" t="s">
        <v>4688</v>
      </c>
      <c r="S11" t="s">
        <v>4688</v>
      </c>
    </row>
    <row r="12" spans="1:25" x14ac:dyDescent="0.25">
      <c r="A12" t="s">
        <v>4662</v>
      </c>
      <c r="C12" s="293" t="s">
        <v>4688</v>
      </c>
      <c r="D12" s="293" t="s">
        <v>4696</v>
      </c>
      <c r="E12" t="s">
        <v>4688</v>
      </c>
      <c r="F12" s="293" t="s">
        <v>4688</v>
      </c>
      <c r="G12" s="293" t="s">
        <v>4688</v>
      </c>
      <c r="O12" s="293" t="s">
        <v>4688</v>
      </c>
      <c r="P12" s="293"/>
      <c r="Q12" s="293" t="s">
        <v>4688</v>
      </c>
      <c r="R12" s="293" t="s">
        <v>4688</v>
      </c>
      <c r="S12" s="293" t="s">
        <v>4688</v>
      </c>
      <c r="W12" s="293" t="s">
        <v>4700</v>
      </c>
      <c r="X12" t="s">
        <v>4700</v>
      </c>
      <c r="Y12" s="293" t="s">
        <v>4700</v>
      </c>
    </row>
    <row r="13" spans="1:25" x14ac:dyDescent="0.25">
      <c r="A13" t="s">
        <v>4663</v>
      </c>
      <c r="C13" t="s">
        <v>4690</v>
      </c>
      <c r="O13" t="s">
        <v>4690</v>
      </c>
      <c r="Q13" t="s">
        <v>4690</v>
      </c>
      <c r="R13" t="s">
        <v>4690</v>
      </c>
      <c r="S13" t="s">
        <v>4690</v>
      </c>
    </row>
    <row r="14" spans="1:25" x14ac:dyDescent="0.25">
      <c r="A14" t="s">
        <v>4670</v>
      </c>
      <c r="C14" s="293"/>
      <c r="D14" s="293" t="s">
        <v>4705</v>
      </c>
      <c r="O14" s="293" t="s">
        <v>4688</v>
      </c>
      <c r="Q14" s="293" t="s">
        <v>4688</v>
      </c>
      <c r="R14" s="293" t="s">
        <v>4688</v>
      </c>
      <c r="S14" s="293" t="s">
        <v>4688</v>
      </c>
    </row>
    <row r="15" spans="1:25" x14ac:dyDescent="0.25">
      <c r="A15" t="s">
        <v>4664</v>
      </c>
      <c r="B15" s="293" t="s">
        <v>4688</v>
      </c>
      <c r="C15" s="293" t="s">
        <v>4688</v>
      </c>
      <c r="D15" s="293" t="s">
        <v>4696</v>
      </c>
      <c r="F15" s="293" t="s">
        <v>4688</v>
      </c>
      <c r="G15" s="293" t="s">
        <v>4688</v>
      </c>
      <c r="H15" s="293" t="s">
        <v>4688</v>
      </c>
      <c r="I15" s="293" t="s">
        <v>4688</v>
      </c>
      <c r="J15" s="293" t="s">
        <v>4688</v>
      </c>
      <c r="K15" t="s">
        <v>4688</v>
      </c>
      <c r="L15" s="293" t="s">
        <v>4688</v>
      </c>
      <c r="M15" s="293" t="s">
        <v>4688</v>
      </c>
      <c r="N15" s="293" t="s">
        <v>4688</v>
      </c>
      <c r="O15" s="293" t="s">
        <v>4688</v>
      </c>
      <c r="P15" s="293" t="s">
        <v>4688</v>
      </c>
      <c r="Q15" s="293" t="s">
        <v>4688</v>
      </c>
      <c r="R15" s="293" t="s">
        <v>4688</v>
      </c>
      <c r="S15" s="293" t="s">
        <v>4688</v>
      </c>
    </row>
    <row r="16" spans="1:25" x14ac:dyDescent="0.25">
      <c r="A16" t="s">
        <v>4665</v>
      </c>
      <c r="O16" s="293" t="s">
        <v>4688</v>
      </c>
      <c r="Q16" s="293" t="s">
        <v>4688</v>
      </c>
      <c r="R16" s="293" t="s">
        <v>4688</v>
      </c>
      <c r="S16" s="293" t="s">
        <v>4688</v>
      </c>
    </row>
    <row r="17" spans="1:25" x14ac:dyDescent="0.25">
      <c r="A17" t="s">
        <v>4666</v>
      </c>
      <c r="C17" s="293" t="s">
        <v>4688</v>
      </c>
      <c r="O17" s="293" t="s">
        <v>4688</v>
      </c>
      <c r="Q17" s="293" t="s">
        <v>4688</v>
      </c>
      <c r="R17" s="293" t="s">
        <v>4688</v>
      </c>
      <c r="S17" s="293" t="s">
        <v>4688</v>
      </c>
    </row>
    <row r="18" spans="1:25" x14ac:dyDescent="0.25">
      <c r="A18" t="s">
        <v>4667</v>
      </c>
      <c r="C18" t="s">
        <v>4690</v>
      </c>
      <c r="D18" t="s">
        <v>4690</v>
      </c>
      <c r="F18" t="s">
        <v>4690</v>
      </c>
      <c r="G18" t="s">
        <v>4690</v>
      </c>
      <c r="H18" t="s">
        <v>4690</v>
      </c>
      <c r="I18" t="s">
        <v>4690</v>
      </c>
      <c r="M18" t="s">
        <v>4690</v>
      </c>
      <c r="N18" t="s">
        <v>4690</v>
      </c>
      <c r="O18" t="s">
        <v>4690</v>
      </c>
      <c r="Q18" t="s">
        <v>4690</v>
      </c>
      <c r="R18" t="s">
        <v>4690</v>
      </c>
      <c r="S18" t="s">
        <v>4690</v>
      </c>
    </row>
    <row r="19" spans="1:25" x14ac:dyDescent="0.25">
      <c r="A19" t="s">
        <v>636</v>
      </c>
      <c r="C19" s="293" t="s">
        <v>4688</v>
      </c>
      <c r="D19" s="293" t="s">
        <v>4696</v>
      </c>
      <c r="F19" s="293"/>
      <c r="G19" s="293"/>
      <c r="O19" s="293" t="s">
        <v>4688</v>
      </c>
      <c r="Q19" s="293" t="s">
        <v>4688</v>
      </c>
      <c r="R19" s="293" t="s">
        <v>4688</v>
      </c>
      <c r="S19" s="293" t="s">
        <v>4688</v>
      </c>
    </row>
    <row r="20" spans="1:25" x14ac:dyDescent="0.25">
      <c r="A20" t="s">
        <v>4668</v>
      </c>
      <c r="C20" t="s">
        <v>4688</v>
      </c>
      <c r="O20" t="s">
        <v>4690</v>
      </c>
      <c r="Q20" t="s">
        <v>4690</v>
      </c>
      <c r="R20" t="s">
        <v>4690</v>
      </c>
      <c r="S20" t="s">
        <v>4690</v>
      </c>
    </row>
    <row r="21" spans="1:25" x14ac:dyDescent="0.25">
      <c r="A21" t="s">
        <v>4669</v>
      </c>
      <c r="C21" t="s">
        <v>4690</v>
      </c>
      <c r="F21" t="s">
        <v>4690</v>
      </c>
      <c r="G21" t="s">
        <v>4690</v>
      </c>
      <c r="O21" t="s">
        <v>4690</v>
      </c>
      <c r="Q21" t="s">
        <v>4690</v>
      </c>
      <c r="R21" t="s">
        <v>4690</v>
      </c>
      <c r="S21" t="s">
        <v>4690</v>
      </c>
    </row>
    <row r="22" spans="1:25" x14ac:dyDescent="0.25">
      <c r="A22" t="s">
        <v>660</v>
      </c>
      <c r="D22" t="s">
        <v>4688</v>
      </c>
      <c r="O22" t="s">
        <v>4688</v>
      </c>
      <c r="Q22" t="s">
        <v>4688</v>
      </c>
      <c r="R22" t="s">
        <v>4688</v>
      </c>
      <c r="S22" t="s">
        <v>4688</v>
      </c>
    </row>
    <row r="24" spans="1:25" x14ac:dyDescent="0.25">
      <c r="A24" s="145" t="s">
        <v>4772</v>
      </c>
      <c r="B24" s="145"/>
      <c r="C24" s="145"/>
      <c r="D24" s="145"/>
    </row>
    <row r="26" spans="1:25" x14ac:dyDescent="0.25">
      <c r="A26" t="s">
        <v>4771</v>
      </c>
    </row>
    <row r="27" spans="1:25" x14ac:dyDescent="0.25">
      <c r="A27" t="s">
        <v>4695</v>
      </c>
    </row>
    <row r="29" spans="1:25" x14ac:dyDescent="0.25">
      <c r="A29" t="s">
        <v>4698</v>
      </c>
      <c r="B29" s="293" t="s">
        <v>4688</v>
      </c>
      <c r="C29" s="293" t="s">
        <v>4688</v>
      </c>
      <c r="D29" s="293" t="s">
        <v>4688</v>
      </c>
      <c r="E29" s="145" t="s">
        <v>4688</v>
      </c>
      <c r="F29" s="293" t="s">
        <v>4688</v>
      </c>
      <c r="G29" s="293" t="s">
        <v>4688</v>
      </c>
      <c r="H29" s="293" t="s">
        <v>4688</v>
      </c>
      <c r="I29" t="s">
        <v>4688</v>
      </c>
      <c r="J29" t="s">
        <v>4688</v>
      </c>
      <c r="K29" t="s">
        <v>4688</v>
      </c>
      <c r="L29" t="s">
        <v>4688</v>
      </c>
      <c r="O29" s="293" t="s">
        <v>4688</v>
      </c>
      <c r="P29" t="s">
        <v>4688</v>
      </c>
      <c r="Q29" s="293" t="s">
        <v>4688</v>
      </c>
      <c r="R29" s="293" t="s">
        <v>4688</v>
      </c>
      <c r="S29" t="s">
        <v>4688</v>
      </c>
      <c r="T29" s="293" t="s">
        <v>4688</v>
      </c>
      <c r="U29" s="293" t="s">
        <v>4688</v>
      </c>
      <c r="V29" t="s">
        <v>4688</v>
      </c>
      <c r="W29" s="293" t="s">
        <v>4700</v>
      </c>
      <c r="X29" t="s">
        <v>4700</v>
      </c>
      <c r="Y29" t="s">
        <v>4700</v>
      </c>
    </row>
    <row r="30" spans="1:25" x14ac:dyDescent="0.25">
      <c r="A30" t="s">
        <v>4699</v>
      </c>
      <c r="C30" s="293" t="s">
        <v>4688</v>
      </c>
      <c r="O30" s="293" t="s">
        <v>4688</v>
      </c>
      <c r="P30" t="s">
        <v>4688</v>
      </c>
      <c r="Q30" s="293" t="s">
        <v>4688</v>
      </c>
      <c r="R30" s="293" t="s">
        <v>4688</v>
      </c>
      <c r="S30" t="s">
        <v>4688</v>
      </c>
      <c r="T30" s="293"/>
      <c r="U30" s="293"/>
    </row>
    <row r="31" spans="1:25" x14ac:dyDescent="0.25">
      <c r="A31" t="s">
        <v>4704</v>
      </c>
    </row>
    <row r="32" spans="1:25" x14ac:dyDescent="0.25">
      <c r="A32" t="s">
        <v>4703</v>
      </c>
    </row>
    <row r="33" spans="1:11" x14ac:dyDescent="0.25">
      <c r="A33" t="s">
        <v>4702</v>
      </c>
    </row>
    <row r="35" spans="1:11" ht="15.75" x14ac:dyDescent="0.25">
      <c r="A35" s="185" t="s">
        <v>4682</v>
      </c>
      <c r="B35" t="s">
        <v>772</v>
      </c>
      <c r="C35" t="s">
        <v>4683</v>
      </c>
      <c r="D35" t="s">
        <v>4684</v>
      </c>
      <c r="E35" t="s">
        <v>4674</v>
      </c>
      <c r="F35" t="s">
        <v>4675</v>
      </c>
      <c r="G35" t="s">
        <v>757</v>
      </c>
      <c r="H35" t="s">
        <v>778</v>
      </c>
      <c r="I35" t="s">
        <v>780</v>
      </c>
      <c r="J35" t="s">
        <v>786</v>
      </c>
      <c r="K35" t="s">
        <v>4685</v>
      </c>
    </row>
    <row r="36" spans="1:11" x14ac:dyDescent="0.25">
      <c r="A36" t="s">
        <v>1120</v>
      </c>
      <c r="B36" s="293" t="s">
        <v>4688</v>
      </c>
      <c r="C36" s="293" t="s">
        <v>4688</v>
      </c>
      <c r="D36" t="s">
        <v>4690</v>
      </c>
    </row>
    <row r="37" spans="1:11" x14ac:dyDescent="0.25">
      <c r="A37" t="s">
        <v>1798</v>
      </c>
      <c r="B37" s="293" t="s">
        <v>4688</v>
      </c>
      <c r="C37" s="62"/>
    </row>
    <row r="38" spans="1:11" x14ac:dyDescent="0.25">
      <c r="A38" t="s">
        <v>1753</v>
      </c>
      <c r="B38" s="293" t="s">
        <v>4688</v>
      </c>
      <c r="C38" s="293" t="s">
        <v>4688</v>
      </c>
      <c r="D38" t="s">
        <v>4688</v>
      </c>
    </row>
    <row r="39" spans="1:11" x14ac:dyDescent="0.25">
      <c r="A39" t="s">
        <v>1751</v>
      </c>
      <c r="B39" s="293" t="s">
        <v>4688</v>
      </c>
      <c r="C39" s="293" t="s">
        <v>4688</v>
      </c>
      <c r="D39" t="s">
        <v>4688</v>
      </c>
    </row>
    <row r="40" spans="1:11" x14ac:dyDescent="0.25">
      <c r="A40" t="s">
        <v>689</v>
      </c>
      <c r="B40" s="293" t="s">
        <v>4688</v>
      </c>
      <c r="C40" s="293" t="s">
        <v>4688</v>
      </c>
      <c r="D40" t="s">
        <v>4688</v>
      </c>
      <c r="E40" s="293" t="s">
        <v>4688</v>
      </c>
      <c r="F40" t="s">
        <v>4688</v>
      </c>
      <c r="G40" t="s">
        <v>4688</v>
      </c>
      <c r="H40" t="s">
        <v>4688</v>
      </c>
      <c r="I40" s="293" t="s">
        <v>4688</v>
      </c>
    </row>
    <row r="41" spans="1:11" x14ac:dyDescent="0.25">
      <c r="A41" t="s">
        <v>1327</v>
      </c>
      <c r="B41" s="293" t="s">
        <v>4688</v>
      </c>
      <c r="C41" s="293" t="s">
        <v>4688</v>
      </c>
      <c r="D41" t="s">
        <v>4688</v>
      </c>
      <c r="E41" s="293" t="s">
        <v>4688</v>
      </c>
      <c r="F41" t="s">
        <v>4688</v>
      </c>
      <c r="G41" s="293" t="s">
        <v>4688</v>
      </c>
      <c r="H41" t="s">
        <v>4688</v>
      </c>
      <c r="I41" s="293" t="s">
        <v>4688</v>
      </c>
    </row>
    <row r="42" spans="1:11" x14ac:dyDescent="0.25">
      <c r="A42" t="s">
        <v>958</v>
      </c>
      <c r="B42" s="293" t="s">
        <v>4688</v>
      </c>
      <c r="C42" s="293" t="s">
        <v>4688</v>
      </c>
      <c r="D42" t="s">
        <v>4688</v>
      </c>
      <c r="E42" s="293" t="s">
        <v>4688</v>
      </c>
      <c r="F42" t="s">
        <v>4688</v>
      </c>
    </row>
    <row r="43" spans="1:11" x14ac:dyDescent="0.25">
      <c r="A43" t="s">
        <v>1339</v>
      </c>
      <c r="B43" s="293" t="s">
        <v>4688</v>
      </c>
      <c r="C43" s="62"/>
    </row>
    <row r="44" spans="1:11" x14ac:dyDescent="0.25">
      <c r="A44" t="s">
        <v>684</v>
      </c>
      <c r="B44" s="293" t="s">
        <v>4688</v>
      </c>
      <c r="C44" s="293" t="s">
        <v>4688</v>
      </c>
      <c r="D44" t="s">
        <v>4688</v>
      </c>
      <c r="E44" s="293" t="s">
        <v>4688</v>
      </c>
      <c r="F44" t="s">
        <v>4688</v>
      </c>
      <c r="G44" s="293" t="s">
        <v>4688</v>
      </c>
      <c r="H44" t="s">
        <v>4688</v>
      </c>
      <c r="I44" s="293" t="s">
        <v>4688</v>
      </c>
    </row>
    <row r="45" spans="1:11" x14ac:dyDescent="0.25">
      <c r="A45" t="s">
        <v>686</v>
      </c>
      <c r="B45" s="293" t="s">
        <v>4688</v>
      </c>
      <c r="C45" s="293" t="s">
        <v>4688</v>
      </c>
      <c r="D45" t="s">
        <v>4688</v>
      </c>
      <c r="E45" s="293" t="s">
        <v>4688</v>
      </c>
      <c r="F45" t="s">
        <v>4688</v>
      </c>
      <c r="G45" s="293" t="s">
        <v>4688</v>
      </c>
    </row>
    <row r="46" spans="1:11" x14ac:dyDescent="0.25">
      <c r="A46" t="s">
        <v>694</v>
      </c>
      <c r="B46" s="293" t="s">
        <v>4688</v>
      </c>
      <c r="C46" s="293" t="s">
        <v>4688</v>
      </c>
      <c r="D46" t="s">
        <v>4688</v>
      </c>
    </row>
    <row r="47" spans="1:11" x14ac:dyDescent="0.25">
      <c r="A47" t="s">
        <v>693</v>
      </c>
      <c r="B47" s="293" t="s">
        <v>4688</v>
      </c>
      <c r="C47" s="62"/>
      <c r="G47" t="s">
        <v>4688</v>
      </c>
      <c r="H47" t="s">
        <v>4688</v>
      </c>
      <c r="I47" s="293" t="s">
        <v>4688</v>
      </c>
      <c r="J47" t="s">
        <v>4688</v>
      </c>
      <c r="K47" t="s">
        <v>4688</v>
      </c>
    </row>
    <row r="48" spans="1:11" x14ac:dyDescent="0.25">
      <c r="A48" t="s">
        <v>1797</v>
      </c>
      <c r="B48" s="293" t="s">
        <v>4688</v>
      </c>
      <c r="C48" s="62"/>
    </row>
    <row r="49" spans="1:11" x14ac:dyDescent="0.25">
      <c r="A49" t="s">
        <v>1502</v>
      </c>
      <c r="B49" s="293" t="s">
        <v>4688</v>
      </c>
      <c r="C49" s="62"/>
    </row>
    <row r="50" spans="1:11" x14ac:dyDescent="0.25">
      <c r="A50" t="s">
        <v>699</v>
      </c>
      <c r="B50" s="293" t="s">
        <v>4688</v>
      </c>
      <c r="C50" s="62" t="s">
        <v>4688</v>
      </c>
      <c r="D50" t="s">
        <v>4688</v>
      </c>
    </row>
    <row r="51" spans="1:11" x14ac:dyDescent="0.25">
      <c r="A51" t="s">
        <v>688</v>
      </c>
      <c r="B51" s="293" t="s">
        <v>4688</v>
      </c>
      <c r="C51" s="293" t="s">
        <v>4688</v>
      </c>
      <c r="D51" t="s">
        <v>4688</v>
      </c>
      <c r="E51" s="293" t="s">
        <v>4688</v>
      </c>
      <c r="F51" t="s">
        <v>4688</v>
      </c>
      <c r="G51" t="s">
        <v>4688</v>
      </c>
      <c r="H51" t="s">
        <v>4688</v>
      </c>
      <c r="I51" s="293" t="s">
        <v>4688</v>
      </c>
    </row>
    <row r="52" spans="1:11" x14ac:dyDescent="0.25">
      <c r="A52" t="s">
        <v>691</v>
      </c>
      <c r="B52" s="145" t="s">
        <v>4688</v>
      </c>
      <c r="C52" s="145" t="s">
        <v>4688</v>
      </c>
      <c r="D52" t="s">
        <v>4688</v>
      </c>
      <c r="E52" s="293" t="s">
        <v>4688</v>
      </c>
      <c r="F52" t="s">
        <v>4688</v>
      </c>
      <c r="G52" s="293" t="s">
        <v>4688</v>
      </c>
      <c r="H52" t="s">
        <v>4688</v>
      </c>
      <c r="I52" s="293" t="s">
        <v>4688</v>
      </c>
      <c r="J52" s="293" t="s">
        <v>4688</v>
      </c>
      <c r="K52" t="s">
        <v>4688</v>
      </c>
    </row>
    <row r="53" spans="1:11" x14ac:dyDescent="0.25">
      <c r="A53" t="s">
        <v>1326</v>
      </c>
      <c r="B53" s="293" t="s">
        <v>4688</v>
      </c>
      <c r="C53" s="293" t="s">
        <v>4688</v>
      </c>
      <c r="D53" t="s">
        <v>4688</v>
      </c>
      <c r="E53" s="293" t="s">
        <v>4688</v>
      </c>
      <c r="F53" t="s">
        <v>4688</v>
      </c>
      <c r="G53" s="293" t="s">
        <v>4688</v>
      </c>
      <c r="H53" t="s">
        <v>4688</v>
      </c>
      <c r="I53" s="293" t="s">
        <v>4688</v>
      </c>
      <c r="J53" t="s">
        <v>4688</v>
      </c>
      <c r="K53" t="s">
        <v>4688</v>
      </c>
    </row>
    <row r="54" spans="1:11" x14ac:dyDescent="0.25">
      <c r="A54" t="s">
        <v>742</v>
      </c>
      <c r="B54" s="293" t="s">
        <v>4688</v>
      </c>
      <c r="C54" s="62"/>
    </row>
    <row r="55" spans="1:11" x14ac:dyDescent="0.25">
      <c r="A55" t="s">
        <v>4686</v>
      </c>
      <c r="B55" s="62" t="s">
        <v>4690</v>
      </c>
      <c r="C55" s="62"/>
    </row>
    <row r="56" spans="1:11" x14ac:dyDescent="0.25">
      <c r="A56" t="s">
        <v>692</v>
      </c>
      <c r="B56" s="293" t="s">
        <v>4688</v>
      </c>
      <c r="C56" s="145" t="s">
        <v>4688</v>
      </c>
      <c r="D56" t="s">
        <v>4688</v>
      </c>
      <c r="E56" s="293" t="s">
        <v>4688</v>
      </c>
      <c r="F56" t="s">
        <v>4688</v>
      </c>
      <c r="G56" s="293" t="s">
        <v>4688</v>
      </c>
      <c r="H56" t="s">
        <v>4688</v>
      </c>
      <c r="I56" s="293" t="s">
        <v>4688</v>
      </c>
    </row>
    <row r="57" spans="1:11" x14ac:dyDescent="0.25">
      <c r="A57" t="s">
        <v>687</v>
      </c>
      <c r="B57" s="293" t="s">
        <v>4688</v>
      </c>
      <c r="C57" s="293" t="s">
        <v>4688</v>
      </c>
      <c r="D57" t="s">
        <v>4688</v>
      </c>
      <c r="E57" s="293" t="s">
        <v>4688</v>
      </c>
      <c r="F57" t="s">
        <v>4688</v>
      </c>
      <c r="H57" t="s">
        <v>4688</v>
      </c>
      <c r="I57" s="293" t="s">
        <v>4688</v>
      </c>
    </row>
    <row r="58" spans="1:11" x14ac:dyDescent="0.25">
      <c r="A58" t="s">
        <v>1471</v>
      </c>
      <c r="B58" s="293" t="s">
        <v>4688</v>
      </c>
      <c r="C58" s="62"/>
    </row>
    <row r="59" spans="1:11" x14ac:dyDescent="0.25">
      <c r="A59" t="s">
        <v>1154</v>
      </c>
      <c r="B59" s="293" t="s">
        <v>4688</v>
      </c>
      <c r="C59" s="62"/>
      <c r="E59" s="293" t="s">
        <v>4688</v>
      </c>
      <c r="F59" t="s">
        <v>4688</v>
      </c>
      <c r="I59" s="293" t="s">
        <v>4688</v>
      </c>
    </row>
    <row r="60" spans="1:11" x14ac:dyDescent="0.25">
      <c r="A60" t="s">
        <v>1338</v>
      </c>
      <c r="B60" s="293" t="s">
        <v>4688</v>
      </c>
      <c r="C60" s="62"/>
    </row>
    <row r="61" spans="1:11" x14ac:dyDescent="0.25">
      <c r="A61" t="s">
        <v>683</v>
      </c>
      <c r="B61" s="293" t="s">
        <v>4688</v>
      </c>
      <c r="C61" s="293" t="s">
        <v>4688</v>
      </c>
      <c r="D61" t="s">
        <v>4688</v>
      </c>
      <c r="E61" s="293" t="s">
        <v>4688</v>
      </c>
      <c r="F61" t="s">
        <v>4688</v>
      </c>
      <c r="G61" s="293" t="s">
        <v>4688</v>
      </c>
      <c r="H61" t="s">
        <v>4688</v>
      </c>
      <c r="I61" s="293" t="s">
        <v>4688</v>
      </c>
    </row>
    <row r="62" spans="1:11" x14ac:dyDescent="0.25">
      <c r="A62" t="s">
        <v>4689</v>
      </c>
      <c r="B62" s="62" t="s">
        <v>4690</v>
      </c>
      <c r="C62" s="62" t="s">
        <v>4690</v>
      </c>
      <c r="D62" t="s">
        <v>4690</v>
      </c>
    </row>
    <row r="63" spans="1:11" x14ac:dyDescent="0.25">
      <c r="A63" t="s">
        <v>4687</v>
      </c>
      <c r="B63" s="62" t="s">
        <v>4690</v>
      </c>
      <c r="C63" s="62"/>
    </row>
    <row r="64" spans="1:11" x14ac:dyDescent="0.25">
      <c r="A64" t="s">
        <v>1756</v>
      </c>
      <c r="B64" s="293" t="s">
        <v>4688</v>
      </c>
      <c r="C64" s="62"/>
    </row>
    <row r="65" spans="1:10" x14ac:dyDescent="0.25">
      <c r="A65" t="s">
        <v>1796</v>
      </c>
      <c r="B65" s="293" t="s">
        <v>4688</v>
      </c>
      <c r="C65" s="62"/>
    </row>
    <row r="66" spans="1:10" x14ac:dyDescent="0.25">
      <c r="A66" t="s">
        <v>4706</v>
      </c>
      <c r="B66" s="293" t="s">
        <v>4688</v>
      </c>
      <c r="C66" s="293" t="s">
        <v>4688</v>
      </c>
      <c r="D66" t="s">
        <v>4688</v>
      </c>
      <c r="E66" s="293" t="s">
        <v>4688</v>
      </c>
      <c r="F66" t="s">
        <v>4688</v>
      </c>
      <c r="G66" s="293" t="s">
        <v>4688</v>
      </c>
      <c r="H66" t="s">
        <v>4688</v>
      </c>
      <c r="I66" s="293" t="s">
        <v>4688</v>
      </c>
    </row>
    <row r="67" spans="1:10" x14ac:dyDescent="0.25">
      <c r="A67" t="s">
        <v>690</v>
      </c>
      <c r="B67" s="293" t="s">
        <v>4688</v>
      </c>
      <c r="C67" s="293" t="s">
        <v>4688</v>
      </c>
      <c r="D67" t="s">
        <v>4688</v>
      </c>
      <c r="E67" s="293" t="s">
        <v>4688</v>
      </c>
      <c r="F67" t="s">
        <v>4688</v>
      </c>
      <c r="G67" s="293" t="s">
        <v>4688</v>
      </c>
      <c r="H67" t="s">
        <v>4688</v>
      </c>
      <c r="I67" s="293" t="s">
        <v>4688</v>
      </c>
      <c r="J67" s="293"/>
    </row>
    <row r="68" spans="1:10" x14ac:dyDescent="0.25">
      <c r="A68" t="s">
        <v>1118</v>
      </c>
      <c r="B68" s="293" t="s">
        <v>4688</v>
      </c>
      <c r="C68" s="293" t="s">
        <v>4688</v>
      </c>
      <c r="D68" t="s">
        <v>4690</v>
      </c>
    </row>
    <row r="69" spans="1:10" x14ac:dyDescent="0.25">
      <c r="A69" t="s">
        <v>725</v>
      </c>
      <c r="B69" s="293" t="s">
        <v>4688</v>
      </c>
      <c r="C69" s="293" t="s">
        <v>4688</v>
      </c>
      <c r="D69" t="s">
        <v>4688</v>
      </c>
      <c r="I69" s="293" t="s">
        <v>4688</v>
      </c>
    </row>
    <row r="70" spans="1:10" x14ac:dyDescent="0.25">
      <c r="B70" s="62"/>
      <c r="C70" s="62"/>
    </row>
    <row r="71" spans="1:10" x14ac:dyDescent="0.25">
      <c r="A71" t="s">
        <v>4691</v>
      </c>
      <c r="B71" t="s">
        <v>4690</v>
      </c>
      <c r="C71" t="s">
        <v>4690</v>
      </c>
      <c r="D71" t="s">
        <v>4690</v>
      </c>
      <c r="E71" t="s">
        <v>4690</v>
      </c>
    </row>
    <row r="73" spans="1:10" ht="15.75" x14ac:dyDescent="0.25">
      <c r="A73" s="185" t="s">
        <v>3142</v>
      </c>
    </row>
    <row r="74" spans="1:10" x14ac:dyDescent="0.25">
      <c r="A74" t="s">
        <v>2488</v>
      </c>
      <c r="B74" s="293" t="s">
        <v>4688</v>
      </c>
    </row>
    <row r="75" spans="1:10" x14ac:dyDescent="0.25">
      <c r="A75" t="s">
        <v>2490</v>
      </c>
      <c r="B75" s="293" t="s">
        <v>4688</v>
      </c>
    </row>
    <row r="76" spans="1:10" x14ac:dyDescent="0.25">
      <c r="A76" t="s">
        <v>2489</v>
      </c>
      <c r="B76" s="293" t="s">
        <v>4688</v>
      </c>
    </row>
    <row r="77" spans="1:10" x14ac:dyDescent="0.25">
      <c r="A77" t="s">
        <v>2491</v>
      </c>
      <c r="B77" s="293" t="s">
        <v>4688</v>
      </c>
    </row>
    <row r="78" spans="1:10" x14ac:dyDescent="0.25">
      <c r="A78" t="s">
        <v>689</v>
      </c>
      <c r="B78" t="s">
        <v>4688</v>
      </c>
    </row>
    <row r="79" spans="1:10" x14ac:dyDescent="0.25">
      <c r="A79" t="s">
        <v>1327</v>
      </c>
      <c r="B79" t="s">
        <v>4688</v>
      </c>
    </row>
    <row r="80" spans="1:10" x14ac:dyDescent="0.25">
      <c r="A80" t="s">
        <v>684</v>
      </c>
      <c r="B80" t="s">
        <v>4688</v>
      </c>
    </row>
    <row r="81" spans="1:4" x14ac:dyDescent="0.25">
      <c r="A81" t="s">
        <v>688</v>
      </c>
      <c r="B81" s="145" t="s">
        <v>4688</v>
      </c>
    </row>
    <row r="82" spans="1:4" x14ac:dyDescent="0.25">
      <c r="A82" t="s">
        <v>691</v>
      </c>
      <c r="B82" t="s">
        <v>4688</v>
      </c>
    </row>
    <row r="83" spans="1:4" x14ac:dyDescent="0.25">
      <c r="A83" t="s">
        <v>1326</v>
      </c>
      <c r="B83" t="s">
        <v>4688</v>
      </c>
    </row>
    <row r="84" spans="1:4" x14ac:dyDescent="0.25">
      <c r="A84" t="s">
        <v>692</v>
      </c>
      <c r="B84" s="293" t="s">
        <v>4688</v>
      </c>
    </row>
    <row r="85" spans="1:4" x14ac:dyDescent="0.25">
      <c r="A85" t="s">
        <v>683</v>
      </c>
      <c r="B85" t="s">
        <v>4688</v>
      </c>
    </row>
    <row r="86" spans="1:4" x14ac:dyDescent="0.25">
      <c r="A86" t="s">
        <v>685</v>
      </c>
      <c r="B86" t="s">
        <v>4688</v>
      </c>
    </row>
    <row r="87" spans="1:4" x14ac:dyDescent="0.25">
      <c r="A87" t="s">
        <v>1443</v>
      </c>
      <c r="B87" t="s">
        <v>4688</v>
      </c>
    </row>
    <row r="90" spans="1:4" x14ac:dyDescent="0.25">
      <c r="A90" t="s">
        <v>4707</v>
      </c>
    </row>
    <row r="91" spans="1:4" x14ac:dyDescent="0.25">
      <c r="A91" t="s">
        <v>4708</v>
      </c>
      <c r="B91" s="293"/>
    </row>
    <row r="92" spans="1:4" x14ac:dyDescent="0.25">
      <c r="A92" t="s">
        <v>4709</v>
      </c>
      <c r="B92" s="293"/>
    </row>
    <row r="93" spans="1:4" x14ac:dyDescent="0.25">
      <c r="A93" t="s">
        <v>4710</v>
      </c>
      <c r="B93" s="293"/>
      <c r="C93" s="293"/>
      <c r="D93" s="293"/>
    </row>
    <row r="95" spans="1:4" x14ac:dyDescent="0.25">
      <c r="A95" t="s">
        <v>4773</v>
      </c>
      <c r="B95" s="293"/>
      <c r="C95" s="293"/>
    </row>
    <row r="97" spans="1:4" x14ac:dyDescent="0.25">
      <c r="A97" t="s">
        <v>4774</v>
      </c>
      <c r="B97" s="293"/>
      <c r="C97" s="293"/>
      <c r="D97" s="293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X219"/>
  <sheetViews>
    <sheetView tabSelected="1" workbookViewId="0">
      <selection activeCell="P8" sqref="P8"/>
    </sheetView>
  </sheetViews>
  <sheetFormatPr defaultRowHeight="15" x14ac:dyDescent="0.25"/>
  <cols>
    <col min="1" max="1" width="55.140625" style="62" customWidth="1"/>
    <col min="2" max="6" width="12.7109375" style="62" customWidth="1"/>
    <col min="7" max="7" width="1.7109375" style="62" customWidth="1"/>
    <col min="8" max="8" width="9.140625" style="60"/>
    <col min="9" max="9" width="9.140625" style="131"/>
    <col min="10" max="10" width="1.7109375" style="131" customWidth="1"/>
    <col min="11" max="11" width="3.7109375" style="195" customWidth="1"/>
    <col min="12" max="12" width="2.85546875" style="131" customWidth="1"/>
    <col min="13" max="13" width="6.85546875" style="113" customWidth="1"/>
    <col min="14" max="14" width="12.42578125" customWidth="1"/>
    <col min="15" max="15" width="4" customWidth="1"/>
    <col min="16" max="16" width="38.42578125" bestFit="1" customWidth="1"/>
    <col min="17" max="17" width="2.7109375" customWidth="1"/>
    <col min="18" max="18" width="23.5703125" customWidth="1"/>
    <col min="19" max="19" width="10.5703125" bestFit="1" customWidth="1"/>
    <col min="20" max="20" width="10.7109375" customWidth="1"/>
  </cols>
  <sheetData>
    <row r="1" spans="1:24" ht="20.25" x14ac:dyDescent="0.3">
      <c r="A1" s="295">
        <v>0</v>
      </c>
      <c r="B1" s="296" t="str">
        <f>P8</f>
        <v>Texas</v>
      </c>
      <c r="C1" s="297"/>
      <c r="D1" s="297"/>
      <c r="E1" s="297"/>
      <c r="F1" s="297"/>
      <c r="G1" s="59"/>
    </row>
    <row r="2" spans="1:24" ht="20.25" x14ac:dyDescent="0.3">
      <c r="A2" s="295"/>
      <c r="B2" s="297" t="str">
        <f>R8</f>
        <v>Reset Pricing</v>
      </c>
      <c r="C2" s="297"/>
      <c r="D2" s="297"/>
      <c r="E2" s="297"/>
      <c r="F2" s="297"/>
      <c r="G2" s="59"/>
      <c r="N2" s="146" t="s">
        <v>1806</v>
      </c>
      <c r="O2" s="146"/>
      <c r="P2" s="146"/>
      <c r="Q2" s="146"/>
      <c r="R2" s="146"/>
      <c r="S2" s="146"/>
      <c r="T2" s="146"/>
      <c r="U2" s="145"/>
      <c r="V2" s="145"/>
    </row>
    <row r="3" spans="1:24" ht="20.25" x14ac:dyDescent="0.3">
      <c r="A3" s="295"/>
      <c r="B3" s="297" t="s">
        <v>883</v>
      </c>
      <c r="C3" s="297"/>
      <c r="D3" s="297"/>
      <c r="E3" s="297"/>
      <c r="F3" s="297"/>
      <c r="G3" s="61"/>
      <c r="N3" s="146" t="s">
        <v>1805</v>
      </c>
      <c r="O3" s="146"/>
      <c r="P3" s="146"/>
      <c r="Q3" s="146"/>
      <c r="R3" s="146"/>
      <c r="S3" s="146"/>
      <c r="T3" s="146"/>
      <c r="U3" s="279"/>
      <c r="V3" s="279"/>
      <c r="W3" s="279"/>
      <c r="X3" s="279"/>
    </row>
    <row r="4" spans="1:24" ht="15.75" x14ac:dyDescent="0.25">
      <c r="A4" s="295"/>
      <c r="B4" s="298"/>
      <c r="C4" s="298"/>
      <c r="F4" s="63"/>
      <c r="N4" s="145" t="s">
        <v>3384</v>
      </c>
      <c r="O4" s="145"/>
      <c r="P4" s="145"/>
      <c r="Q4" s="280"/>
      <c r="R4" s="280"/>
      <c r="S4" s="280"/>
    </row>
    <row r="5" spans="1:24" ht="18" x14ac:dyDescent="0.25">
      <c r="A5" s="64" t="s">
        <v>3938</v>
      </c>
    </row>
    <row r="6" spans="1:24" ht="5.0999999999999996" customHeight="1" x14ac:dyDescent="0.25">
      <c r="A6" s="213">
        <v>0</v>
      </c>
      <c r="B6" s="66"/>
      <c r="C6" s="66"/>
      <c r="D6" s="66"/>
      <c r="E6" s="66"/>
      <c r="F6" s="66"/>
    </row>
    <row r="7" spans="1:24" ht="18.75" x14ac:dyDescent="0.3">
      <c r="A7" s="213">
        <v>0</v>
      </c>
      <c r="B7" s="299" t="s">
        <v>884</v>
      </c>
      <c r="C7" s="299"/>
      <c r="D7" s="80"/>
      <c r="E7" s="299" t="s">
        <v>885</v>
      </c>
      <c r="F7" s="299"/>
      <c r="G7" s="56"/>
      <c r="H7" s="105"/>
      <c r="I7" s="253" t="s">
        <v>3381</v>
      </c>
      <c r="J7" s="67"/>
      <c r="K7" s="196"/>
      <c r="L7" s="132"/>
      <c r="P7" s="276" t="s">
        <v>4407</v>
      </c>
      <c r="R7" s="253" t="s">
        <v>4433</v>
      </c>
    </row>
    <row r="8" spans="1:24" ht="15.75" x14ac:dyDescent="0.25">
      <c r="A8" s="65" t="s">
        <v>886</v>
      </c>
      <c r="B8" s="80" t="s">
        <v>887</v>
      </c>
      <c r="C8" s="80" t="s">
        <v>888</v>
      </c>
      <c r="D8" s="80" t="s">
        <v>889</v>
      </c>
      <c r="E8" s="80" t="s">
        <v>887</v>
      </c>
      <c r="F8" s="80" t="s">
        <v>888</v>
      </c>
      <c r="G8" s="56"/>
      <c r="H8" s="67" t="s">
        <v>890</v>
      </c>
      <c r="I8" s="133" t="s">
        <v>8</v>
      </c>
      <c r="J8" s="133"/>
      <c r="K8" s="200"/>
      <c r="L8" s="209" t="s">
        <v>3382</v>
      </c>
      <c r="M8" s="201"/>
      <c r="N8" s="67" t="s">
        <v>1275</v>
      </c>
      <c r="P8" s="277" t="s">
        <v>4692</v>
      </c>
      <c r="R8" s="269" t="s">
        <v>4434</v>
      </c>
    </row>
    <row r="9" spans="1:24" ht="5.0999999999999996" customHeight="1" x14ac:dyDescent="0.25">
      <c r="A9" s="213">
        <v>0</v>
      </c>
      <c r="B9" s="79"/>
      <c r="C9" s="79"/>
      <c r="D9" s="79"/>
      <c r="E9" s="79"/>
      <c r="F9" s="79"/>
      <c r="G9" s="56"/>
      <c r="H9" s="105"/>
      <c r="I9" s="132"/>
      <c r="J9" s="132"/>
      <c r="K9" s="196"/>
      <c r="L9" s="132"/>
      <c r="N9" s="139">
        <v>1</v>
      </c>
    </row>
    <row r="10" spans="1:24" ht="15.75" x14ac:dyDescent="0.25">
      <c r="A10" s="68" t="s">
        <v>891</v>
      </c>
      <c r="B10" s="79"/>
      <c r="C10" s="79"/>
      <c r="D10" s="79"/>
      <c r="E10" s="79"/>
      <c r="F10" s="79"/>
      <c r="G10" s="56"/>
      <c r="H10" s="108"/>
      <c r="I10" s="134"/>
      <c r="J10" s="134"/>
      <c r="K10" s="197"/>
      <c r="L10" s="134"/>
      <c r="N10" s="139">
        <f>AVERAGE(N11:N39)</f>
        <v>0</v>
      </c>
    </row>
    <row r="11" spans="1:24" x14ac:dyDescent="0.25">
      <c r="A11" s="106" t="s">
        <v>898</v>
      </c>
      <c r="B11" s="69">
        <v>14</v>
      </c>
      <c r="C11" s="69">
        <f>B11/4</f>
        <v>3.5</v>
      </c>
      <c r="D11" s="69">
        <f t="shared" ref="D11:D33" si="0">SUM(B11-E11)</f>
        <v>14</v>
      </c>
      <c r="E11" s="271">
        <f>HLOOKUP(Overview!$R$8,Table3[#All],2,FALSE)</f>
        <v>0</v>
      </c>
      <c r="F11" s="69">
        <f>E11/4</f>
        <v>0</v>
      </c>
      <c r="G11" s="107"/>
      <c r="H11" s="272">
        <f>INDEX(Table3[],MATCH(A11,Table3[[#All],[Column18]],0)-1,MATCH($R$8,Table3[#Headers],0)+3)</f>
        <v>0</v>
      </c>
      <c r="I11" s="148" t="e">
        <f t="shared" ref="I11:I39" si="1">IF(K11&gt;0,((((((M11/K11)*($B$205)*K11)+(1-$B$205)*H11))/((K11*($B$205))+(1-$B$205)))-F11)/(((((M11/K11)*($B$205)*K11)+(1-$B$205)*H11))/((K11*($B$205))+(1-$B$205))),(H11-F11)/H11)</f>
        <v>#DIV/0!</v>
      </c>
      <c r="J11" s="193"/>
      <c r="K11" s="283">
        <f>INDEX(Table3[],MATCH(A11,Table3[[#All],[Column18]],0)-1,MATCH($R$8,Table3[#Headers],0)+6)</f>
        <v>0</v>
      </c>
      <c r="L11" s="207" t="s">
        <v>3380</v>
      </c>
      <c r="M11" s="282">
        <f>INDEX(Table3[],MATCH(A11,Table3[[#All],[Column18]],0)-1,MATCH($R$8,Table3[#Headers],0)+8)</f>
        <v>0</v>
      </c>
      <c r="N11" s="139">
        <f t="shared" ref="N11:N39" si="2">E11</f>
        <v>0</v>
      </c>
      <c r="O11" s="177"/>
    </row>
    <row r="12" spans="1:24" x14ac:dyDescent="0.25">
      <c r="A12" s="106" t="s">
        <v>3733</v>
      </c>
      <c r="B12" s="69">
        <v>14</v>
      </c>
      <c r="C12" s="69">
        <f>B12/4</f>
        <v>3.5</v>
      </c>
      <c r="D12" s="69">
        <f>SUM(B12-E12)</f>
        <v>14</v>
      </c>
      <c r="E12" s="271">
        <f>HLOOKUP(Overview!$R$8,Table3[#All],3,FALSE)</f>
        <v>0</v>
      </c>
      <c r="F12" s="69">
        <f>E12/4</f>
        <v>0</v>
      </c>
      <c r="G12" s="107"/>
      <c r="H12" s="272">
        <f>INDEX(Table3[],MATCH(A12,Table3[[#All],[Column18]],0)-1,MATCH($R$8,Table3[#Headers],0)+3)</f>
        <v>0</v>
      </c>
      <c r="I12" s="148" t="e">
        <f t="shared" si="1"/>
        <v>#DIV/0!</v>
      </c>
      <c r="J12" s="193"/>
      <c r="K12" s="283">
        <f>INDEX(Table3[],MATCH(A12,Table3[[#All],[Column18]],0)-1,MATCH($R$8,Table3[#Headers],0)+6)</f>
        <v>0</v>
      </c>
      <c r="L12" s="207" t="s">
        <v>3380</v>
      </c>
      <c r="M12" s="282">
        <f>INDEX(Table3[],MATCH(A12,Table3[[#All],[Column18]],0)-1,MATCH($R$8,Table3[#Headers],0)+8)</f>
        <v>0</v>
      </c>
      <c r="N12" s="139">
        <f>E12</f>
        <v>0</v>
      </c>
      <c r="O12" s="177"/>
    </row>
    <row r="13" spans="1:24" x14ac:dyDescent="0.25">
      <c r="A13" s="106" t="s">
        <v>899</v>
      </c>
      <c r="B13" s="69">
        <v>14</v>
      </c>
      <c r="C13" s="69">
        <f>B13/4</f>
        <v>3.5</v>
      </c>
      <c r="D13" s="69">
        <f t="shared" si="0"/>
        <v>14</v>
      </c>
      <c r="E13" s="271">
        <f>HLOOKUP(Overview!$R$8,Table3[#All],4,FALSE)</f>
        <v>0</v>
      </c>
      <c r="F13" s="69">
        <f>E13/4</f>
        <v>0</v>
      </c>
      <c r="G13" s="107"/>
      <c r="H13" s="272">
        <f>INDEX(Table3[],MATCH(A13,Table3[[#All],[Column18]],0)-1,MATCH($R$8,Table3[#Headers],0)+3)</f>
        <v>0</v>
      </c>
      <c r="I13" s="148" t="e">
        <f t="shared" si="1"/>
        <v>#DIV/0!</v>
      </c>
      <c r="J13" s="193"/>
      <c r="K13" s="283">
        <f>INDEX(Table3[],MATCH(A13,Table3[[#All],[Column18]],0)-1,MATCH($R$8,Table3[#Headers],0)+6)</f>
        <v>0</v>
      </c>
      <c r="L13" s="207" t="s">
        <v>3380</v>
      </c>
      <c r="M13" s="282">
        <f>INDEX(Table3[],MATCH(A13,Table3[[#All],[Column18]],0)-1,MATCH($R$8,Table3[#Headers],0)+8)</f>
        <v>0</v>
      </c>
      <c r="N13" s="139">
        <f t="shared" si="2"/>
        <v>0</v>
      </c>
      <c r="O13" s="177"/>
    </row>
    <row r="14" spans="1:24" x14ac:dyDescent="0.25">
      <c r="A14" s="106" t="s">
        <v>892</v>
      </c>
      <c r="B14" s="69">
        <v>14</v>
      </c>
      <c r="C14" s="69">
        <f>B14/2</f>
        <v>7</v>
      </c>
      <c r="D14" s="69">
        <f t="shared" si="0"/>
        <v>14</v>
      </c>
      <c r="E14" s="271">
        <f>HLOOKUP(Overview!$R$8,Table3[#All],5,FALSE)</f>
        <v>0</v>
      </c>
      <c r="F14" s="69">
        <f>E14/2</f>
        <v>0</v>
      </c>
      <c r="G14" s="107"/>
      <c r="H14" s="272">
        <f>INDEX(Table3[],MATCH(A14,Table3[[#All],[Column18]],0)-1,MATCH($R$8,Table3[#Headers],0)+3)</f>
        <v>0</v>
      </c>
      <c r="I14" s="148" t="e">
        <f t="shared" si="1"/>
        <v>#DIV/0!</v>
      </c>
      <c r="J14" s="193"/>
      <c r="K14" s="283">
        <f>INDEX(Table3[],MATCH(A14,Table3[[#All],[Column18]],0)-1,MATCH($R$8,Table3[#Headers],0)+6)</f>
        <v>0</v>
      </c>
      <c r="L14" s="207" t="s">
        <v>3380</v>
      </c>
      <c r="M14" s="282">
        <f>INDEX(Table3[],MATCH(A14,Table3[[#All],[Column18]],0)-1,MATCH($R$8,Table3[#Headers],0)+8)</f>
        <v>0</v>
      </c>
      <c r="N14" s="139">
        <f t="shared" si="2"/>
        <v>0</v>
      </c>
      <c r="O14" s="177"/>
    </row>
    <row r="15" spans="1:24" x14ac:dyDescent="0.25">
      <c r="A15" s="106" t="s">
        <v>1802</v>
      </c>
      <c r="B15" s="69">
        <v>14</v>
      </c>
      <c r="C15" s="69">
        <f>B15/24</f>
        <v>0.57999999999999996</v>
      </c>
      <c r="D15" s="69">
        <f t="shared" si="0"/>
        <v>14</v>
      </c>
      <c r="E15" s="271">
        <f>HLOOKUP(Overview!$R$8,Table3[#All],6,FALSE)</f>
        <v>0</v>
      </c>
      <c r="F15" s="69">
        <f>E15/24</f>
        <v>0</v>
      </c>
      <c r="G15" s="107"/>
      <c r="H15" s="272">
        <f>INDEX(Table3[],MATCH(A15,Table3[[#All],[Column18]],0)-1,MATCH($R$8,Table3[#Headers],0)+3)</f>
        <v>0</v>
      </c>
      <c r="I15" s="148" t="e">
        <f t="shared" si="1"/>
        <v>#DIV/0!</v>
      </c>
      <c r="J15" s="193"/>
      <c r="K15" s="283"/>
      <c r="L15" s="207" t="s">
        <v>3380</v>
      </c>
      <c r="M15" s="282">
        <f>INDEX(Table3[],MATCH(A15,Table3[[#All],[Column18]],0)-1,MATCH($R$8,Table3[#Headers],0)+8)</f>
        <v>0</v>
      </c>
      <c r="N15" s="139">
        <f t="shared" si="2"/>
        <v>0</v>
      </c>
      <c r="O15" s="177"/>
    </row>
    <row r="16" spans="1:24" x14ac:dyDescent="0.25">
      <c r="A16" s="106" t="s">
        <v>1799</v>
      </c>
      <c r="B16" s="69">
        <v>14</v>
      </c>
      <c r="C16" s="69">
        <f>B16</f>
        <v>14</v>
      </c>
      <c r="D16" s="69">
        <f t="shared" si="0"/>
        <v>14</v>
      </c>
      <c r="E16" s="271">
        <f>HLOOKUP(Overview!$R$8,Table3[#All],7,FALSE)</f>
        <v>0</v>
      </c>
      <c r="F16" s="69">
        <f>E16</f>
        <v>0</v>
      </c>
      <c r="G16" s="107"/>
      <c r="H16" s="272">
        <f>INDEX(Table3[],MATCH(A16,Table3[[#All],[Column18]],0)-1,MATCH($R$8,Table3[#Headers],0)+3)</f>
        <v>0</v>
      </c>
      <c r="I16" s="148" t="e">
        <f t="shared" si="1"/>
        <v>#DIV/0!</v>
      </c>
      <c r="J16" s="193"/>
      <c r="K16" s="283">
        <f>INDEX(Table3[],MATCH(A16,Table3[[#All],[Column18]],0)-1,MATCH($R$8,Table3[#Headers],0)+6)</f>
        <v>0</v>
      </c>
      <c r="L16" s="207" t="s">
        <v>3380</v>
      </c>
      <c r="M16" s="282">
        <f>INDEX(Table3[],MATCH(A16,Table3[[#All],[Column18]],0)-1,MATCH($R$8,Table3[#Headers],0)+8)</f>
        <v>0</v>
      </c>
      <c r="N16" s="139">
        <f t="shared" si="2"/>
        <v>0</v>
      </c>
      <c r="O16" s="177"/>
    </row>
    <row r="17" spans="1:15" x14ac:dyDescent="0.25">
      <c r="A17" s="106" t="s">
        <v>1800</v>
      </c>
      <c r="B17" s="69">
        <v>14</v>
      </c>
      <c r="C17" s="69">
        <f>B17</f>
        <v>14</v>
      </c>
      <c r="D17" s="69">
        <f t="shared" si="0"/>
        <v>14</v>
      </c>
      <c r="E17" s="271">
        <f>HLOOKUP(Overview!$R$8,Table3[#All],8,FALSE)</f>
        <v>0</v>
      </c>
      <c r="F17" s="69">
        <f>E17</f>
        <v>0</v>
      </c>
      <c r="G17" s="107"/>
      <c r="H17" s="272">
        <f>INDEX(Table3[],MATCH(A17,Table3[[#All],[Column18]],0)-1,MATCH($R$8,Table3[#Headers],0)+3)</f>
        <v>0</v>
      </c>
      <c r="I17" s="148" t="e">
        <f t="shared" si="1"/>
        <v>#DIV/0!</v>
      </c>
      <c r="J17" s="193"/>
      <c r="K17" s="283">
        <f>INDEX(Table3[],MATCH(A17,Table3[[#All],[Column18]],0)-1,MATCH($R$8,Table3[#Headers],0)+6)</f>
        <v>0</v>
      </c>
      <c r="L17" s="207" t="s">
        <v>3380</v>
      </c>
      <c r="M17" s="282">
        <f>INDEX(Table3[],MATCH(A17,Table3[[#All],[Column18]],0)-1,MATCH($R$8,Table3[#Headers],0)+8)</f>
        <v>0</v>
      </c>
      <c r="N17" s="139">
        <f t="shared" si="2"/>
        <v>0</v>
      </c>
      <c r="O17" s="177"/>
    </row>
    <row r="18" spans="1:15" x14ac:dyDescent="0.25">
      <c r="A18" s="106" t="s">
        <v>1801</v>
      </c>
      <c r="B18" s="69">
        <v>21</v>
      </c>
      <c r="C18" s="69">
        <f>B18</f>
        <v>21</v>
      </c>
      <c r="D18" s="69">
        <f t="shared" si="0"/>
        <v>21</v>
      </c>
      <c r="E18" s="271">
        <f>HLOOKUP(Overview!$R$8,Table3[#All],9,FALSE)</f>
        <v>0</v>
      </c>
      <c r="F18" s="69">
        <f>E18</f>
        <v>0</v>
      </c>
      <c r="G18" s="107"/>
      <c r="H18" s="272">
        <f>INDEX(Table3[],MATCH(A18,Table3[[#All],[Column18]],0)-1,MATCH($R$8,Table3[#Headers],0)+3)</f>
        <v>0</v>
      </c>
      <c r="I18" s="148" t="e">
        <f t="shared" si="1"/>
        <v>#DIV/0!</v>
      </c>
      <c r="J18" s="193"/>
      <c r="K18" s="283">
        <f>INDEX(Table3[],MATCH(A18,Table3[[#All],[Column18]],0)-1,MATCH($R$8,Table3[#Headers],0)+6)</f>
        <v>0</v>
      </c>
      <c r="L18" s="207" t="s">
        <v>3380</v>
      </c>
      <c r="M18" s="282">
        <f>INDEX(Table3[],MATCH(A18,Table3[[#All],[Column18]],0)-1,MATCH($R$8,Table3[#Headers],0)+8)</f>
        <v>0</v>
      </c>
      <c r="N18" s="139">
        <f t="shared" si="2"/>
        <v>0</v>
      </c>
      <c r="O18" s="177"/>
    </row>
    <row r="19" spans="1:15" x14ac:dyDescent="0.25">
      <c r="A19" s="106" t="s">
        <v>1803</v>
      </c>
      <c r="B19" s="69">
        <v>30</v>
      </c>
      <c r="C19" s="69">
        <f>B19/24</f>
        <v>1.25</v>
      </c>
      <c r="D19" s="69">
        <f t="shared" si="0"/>
        <v>30</v>
      </c>
      <c r="E19" s="271">
        <f>HLOOKUP(Overview!$R$8,Table3[#All],10,FALSE)</f>
        <v>0</v>
      </c>
      <c r="F19" s="69">
        <f>E19/24</f>
        <v>0</v>
      </c>
      <c r="G19" s="107"/>
      <c r="H19" s="272">
        <f>INDEX(Table3[],MATCH(A19,Table3[[#All],[Column18]],0)-1,MATCH($R$8,Table3[#Headers],0)+3)</f>
        <v>0</v>
      </c>
      <c r="I19" s="148" t="e">
        <f t="shared" si="1"/>
        <v>#DIV/0!</v>
      </c>
      <c r="J19" s="193"/>
      <c r="K19" s="283">
        <f>INDEX(Table3[],MATCH(A19,Table3[[#All],[Column18]],0)-1,MATCH($R$8,Table3[#Headers],0)+6)</f>
        <v>0</v>
      </c>
      <c r="L19" s="207" t="s">
        <v>3380</v>
      </c>
      <c r="M19" s="282">
        <f>INDEX(Table3[],MATCH(A19,Table3[[#All],[Column18]],0)-1,MATCH($R$8,Table3[#Headers],0)+8)</f>
        <v>0</v>
      </c>
      <c r="N19" s="139">
        <f t="shared" si="2"/>
        <v>0</v>
      </c>
      <c r="O19" s="177"/>
    </row>
    <row r="20" spans="1:15" x14ac:dyDescent="0.25">
      <c r="A20" s="106" t="s">
        <v>895</v>
      </c>
      <c r="B20" s="69">
        <v>18</v>
      </c>
      <c r="C20" s="69">
        <f>B20/3</f>
        <v>6</v>
      </c>
      <c r="D20" s="69">
        <f t="shared" si="0"/>
        <v>18</v>
      </c>
      <c r="E20" s="271">
        <f>HLOOKUP(Overview!$R$8,Table3[#All],11,FALSE)</f>
        <v>0</v>
      </c>
      <c r="F20" s="69">
        <f>E20/3</f>
        <v>0</v>
      </c>
      <c r="G20" s="107"/>
      <c r="H20" s="272">
        <f>INDEX(Table3[],MATCH(A20,Table3[[#All],[Column18]],0)-1,MATCH($R$8,Table3[#Headers],0)+3)</f>
        <v>0</v>
      </c>
      <c r="I20" s="148" t="e">
        <f t="shared" si="1"/>
        <v>#DIV/0!</v>
      </c>
      <c r="J20" s="193"/>
      <c r="K20" s="283">
        <f>INDEX(Table3[],MATCH(A20,Table3[[#All],[Column18]],0)-1,MATCH($R$8,Table3[#Headers],0)+6)</f>
        <v>0</v>
      </c>
      <c r="L20" s="207" t="s">
        <v>3380</v>
      </c>
      <c r="M20" s="282">
        <f>INDEX(Table3[],MATCH(A20,Table3[[#All],[Column18]],0)-1,MATCH($R$8,Table3[#Headers],0)+8)</f>
        <v>0</v>
      </c>
      <c r="N20" s="139">
        <f t="shared" si="2"/>
        <v>0</v>
      </c>
      <c r="O20" s="177"/>
    </row>
    <row r="21" spans="1:15" x14ac:dyDescent="0.25">
      <c r="A21" s="106" t="s">
        <v>894</v>
      </c>
      <c r="B21" s="69">
        <v>24</v>
      </c>
      <c r="C21" s="69">
        <f>B21/4</f>
        <v>6</v>
      </c>
      <c r="D21" s="69">
        <f t="shared" si="0"/>
        <v>24</v>
      </c>
      <c r="E21" s="271">
        <f>HLOOKUP(Overview!$R$8,Table3[#All],12,FALSE)</f>
        <v>0</v>
      </c>
      <c r="F21" s="69">
        <f>E21/4</f>
        <v>0</v>
      </c>
      <c r="G21" s="107"/>
      <c r="H21" s="272">
        <f>INDEX(Table3[],MATCH(A21,Table3[[#All],[Column18]],0)-1,MATCH($R$8,Table3[#Headers],0)+3)</f>
        <v>0</v>
      </c>
      <c r="I21" s="148" t="e">
        <f t="shared" si="1"/>
        <v>#DIV/0!</v>
      </c>
      <c r="J21" s="193"/>
      <c r="K21" s="283">
        <f>INDEX(Table3[],MATCH(A21,Table3[[#All],[Column18]],0)-1,MATCH($R$8,Table3[#Headers],0)+6)</f>
        <v>0</v>
      </c>
      <c r="L21" s="207" t="s">
        <v>3380</v>
      </c>
      <c r="M21" s="282">
        <f>INDEX(Table3[],MATCH(A21,Table3[[#All],[Column18]],0)-1,MATCH($R$8,Table3[#Headers],0)+8)</f>
        <v>0</v>
      </c>
      <c r="N21" s="139">
        <f t="shared" si="2"/>
        <v>0</v>
      </c>
      <c r="O21" s="177"/>
    </row>
    <row r="22" spans="1:15" x14ac:dyDescent="0.25">
      <c r="A22" s="106" t="s">
        <v>896</v>
      </c>
      <c r="B22" s="69">
        <v>36</v>
      </c>
      <c r="C22" s="69">
        <f>B22/24</f>
        <v>1.5</v>
      </c>
      <c r="D22" s="69">
        <f t="shared" si="0"/>
        <v>36</v>
      </c>
      <c r="E22" s="271">
        <f>HLOOKUP(Overview!$R$8,Table3[#All],13,FALSE)</f>
        <v>0</v>
      </c>
      <c r="F22" s="69">
        <f>E22/24</f>
        <v>0</v>
      </c>
      <c r="G22" s="107"/>
      <c r="H22" s="272">
        <f>INDEX(Table3[],MATCH(A22,Table3[[#All],[Column18]],0)-1,MATCH($R$8,Table3[#Headers],0)+3)</f>
        <v>0</v>
      </c>
      <c r="I22" s="148" t="e">
        <f t="shared" si="1"/>
        <v>#DIV/0!</v>
      </c>
      <c r="J22" s="193"/>
      <c r="K22" s="283">
        <f>INDEX(Table3[],MATCH(A22,Table3[[#All],[Column18]],0)-1,MATCH($R$8,Table3[#Headers],0)+6)</f>
        <v>0</v>
      </c>
      <c r="L22" s="207" t="s">
        <v>3380</v>
      </c>
      <c r="M22" s="282">
        <f>INDEX(Table3[],MATCH(A22,Table3[[#All],[Column18]],0)-1,MATCH($R$8,Table3[#Headers],0)+8)</f>
        <v>0</v>
      </c>
      <c r="N22" s="139">
        <f t="shared" si="2"/>
        <v>0</v>
      </c>
      <c r="O22" s="177"/>
    </row>
    <row r="23" spans="1:15" x14ac:dyDescent="0.25">
      <c r="A23" s="106" t="s">
        <v>3370</v>
      </c>
      <c r="B23" s="69">
        <v>36</v>
      </c>
      <c r="C23" s="69">
        <f>B23/24</f>
        <v>1.5</v>
      </c>
      <c r="D23" s="69">
        <f t="shared" si="0"/>
        <v>36</v>
      </c>
      <c r="E23" s="271">
        <f>HLOOKUP(Overview!$R$8,Table3[#All],14,FALSE)</f>
        <v>0</v>
      </c>
      <c r="F23" s="69">
        <f>E23/24</f>
        <v>0</v>
      </c>
      <c r="G23" s="107"/>
      <c r="H23" s="272">
        <f>INDEX(Table3[],MATCH(A23,Table3[[#All],[Column18]],0)-1,MATCH($R$8,Table3[#Headers],0)+3)</f>
        <v>0</v>
      </c>
      <c r="I23" s="148" t="e">
        <f t="shared" si="1"/>
        <v>#DIV/0!</v>
      </c>
      <c r="J23" s="193"/>
      <c r="K23" s="283">
        <f>INDEX(Table3[],MATCH(A23,Table3[[#All],[Column18]],0)-1,MATCH($R$8,Table3[#Headers],0)+6)</f>
        <v>0</v>
      </c>
      <c r="L23" s="207" t="s">
        <v>3380</v>
      </c>
      <c r="M23" s="282">
        <f>INDEX(Table3[],MATCH(A23,Table3[[#All],[Column18]],0)-1,MATCH($R$8,Table3[#Headers],0)+8)</f>
        <v>0</v>
      </c>
      <c r="N23" s="139">
        <f t="shared" si="2"/>
        <v>0</v>
      </c>
      <c r="O23" s="177"/>
    </row>
    <row r="24" spans="1:15" x14ac:dyDescent="0.25">
      <c r="A24" s="106" t="s">
        <v>4090</v>
      </c>
      <c r="B24" s="69">
        <v>36</v>
      </c>
      <c r="C24" s="69">
        <f>B24/24</f>
        <v>1.5</v>
      </c>
      <c r="D24" s="69">
        <f>SUM(B24-E24)</f>
        <v>36</v>
      </c>
      <c r="E24" s="271">
        <f>HLOOKUP(Overview!$R$8,Table3[#All],15,FALSE)</f>
        <v>0</v>
      </c>
      <c r="F24" s="69">
        <f>E24/24</f>
        <v>0</v>
      </c>
      <c r="G24" s="107"/>
      <c r="H24" s="272">
        <f>INDEX(Table3[],MATCH(A24,Table3[[#All],[Column18]],0)-1,MATCH($R$8,Table3[#Headers],0)+3)</f>
        <v>0</v>
      </c>
      <c r="I24" s="148" t="e">
        <f t="shared" si="1"/>
        <v>#DIV/0!</v>
      </c>
      <c r="J24" s="193"/>
      <c r="K24" s="283">
        <f>INDEX(Table3[],MATCH(A24,Table3[[#All],[Column18]],0)-1,MATCH($R$8,Table3[#Headers],0)+6)</f>
        <v>0</v>
      </c>
      <c r="L24" s="207" t="s">
        <v>3380</v>
      </c>
      <c r="M24" s="282">
        <f>INDEX(Table3[],MATCH(A24,Table3[[#All],[Column18]],0)-1,MATCH($R$8,Table3[#Headers],0)+8)</f>
        <v>0</v>
      </c>
      <c r="N24" s="139">
        <f>E24</f>
        <v>0</v>
      </c>
      <c r="O24" s="177"/>
    </row>
    <row r="25" spans="1:15" x14ac:dyDescent="0.25">
      <c r="A25" s="106" t="s">
        <v>897</v>
      </c>
      <c r="B25" s="69">
        <v>24</v>
      </c>
      <c r="C25" s="69">
        <f>B25/15</f>
        <v>1.6</v>
      </c>
      <c r="D25" s="69">
        <f t="shared" si="0"/>
        <v>24</v>
      </c>
      <c r="E25" s="271">
        <f>HLOOKUP(Overview!$R$8,Table3[#All],16,FALSE)</f>
        <v>0</v>
      </c>
      <c r="F25" s="69">
        <f>E25/15</f>
        <v>0</v>
      </c>
      <c r="G25" s="107"/>
      <c r="H25" s="272">
        <f>INDEX(Table3[],MATCH(A25,Table3[[#All],[Column18]],0)-1,MATCH($R$8,Table3[#Headers],0)+3)</f>
        <v>0</v>
      </c>
      <c r="I25" s="148" t="e">
        <f t="shared" si="1"/>
        <v>#DIV/0!</v>
      </c>
      <c r="J25" s="193"/>
      <c r="K25" s="283">
        <f>INDEX(Table3[],MATCH(A25,Table3[[#All],[Column18]],0)-1,MATCH($R$8,Table3[#Headers],0)+6)</f>
        <v>0</v>
      </c>
      <c r="L25" s="207" t="s">
        <v>3380</v>
      </c>
      <c r="M25" s="282">
        <f>INDEX(Table3[],MATCH(A25,Table3[[#All],[Column18]],0)-1,MATCH($R$8,Table3[#Headers],0)+8)</f>
        <v>0</v>
      </c>
      <c r="N25" s="139">
        <f t="shared" si="2"/>
        <v>0</v>
      </c>
      <c r="O25" s="177"/>
    </row>
    <row r="26" spans="1:15" x14ac:dyDescent="0.25">
      <c r="A26" s="106" t="s">
        <v>3157</v>
      </c>
      <c r="B26" s="69">
        <v>24</v>
      </c>
      <c r="C26" s="69">
        <f>B26/12</f>
        <v>2</v>
      </c>
      <c r="D26" s="69">
        <f t="shared" si="0"/>
        <v>24</v>
      </c>
      <c r="E26" s="271">
        <f>HLOOKUP(Overview!$R$8,Table3[#All],17,FALSE)</f>
        <v>0</v>
      </c>
      <c r="F26" s="69">
        <f>E26/12</f>
        <v>0</v>
      </c>
      <c r="G26" s="107"/>
      <c r="H26" s="272">
        <f>INDEX(Table3[],MATCH(A26,Table3[[#All],[Column18]],0)-1,MATCH($R$8,Table3[#Headers],0)+3)</f>
        <v>0</v>
      </c>
      <c r="I26" s="148" t="e">
        <f t="shared" si="1"/>
        <v>#DIV/0!</v>
      </c>
      <c r="J26" s="193"/>
      <c r="K26" s="283">
        <f>INDEX(Table3[],MATCH(A26,Table3[[#All],[Column18]],0)-1,MATCH($R$8,Table3[#Headers],0)+6)</f>
        <v>0</v>
      </c>
      <c r="L26" s="207" t="s">
        <v>3380</v>
      </c>
      <c r="M26" s="282">
        <f>INDEX(Table3[],MATCH(A26,Table3[[#All],[Column18]],0)-1,MATCH($R$8,Table3[#Headers],0)+8)</f>
        <v>0</v>
      </c>
      <c r="N26" s="139">
        <f t="shared" si="2"/>
        <v>0</v>
      </c>
      <c r="O26" s="177"/>
    </row>
    <row r="27" spans="1:15" x14ac:dyDescent="0.25">
      <c r="A27" s="106" t="s">
        <v>893</v>
      </c>
      <c r="B27" s="69">
        <v>16</v>
      </c>
      <c r="C27" s="69">
        <f>B27/8</f>
        <v>2</v>
      </c>
      <c r="D27" s="69">
        <f t="shared" si="0"/>
        <v>16</v>
      </c>
      <c r="E27" s="271">
        <f>HLOOKUP(Overview!$R$8,Table3[#All],18,FALSE)</f>
        <v>0</v>
      </c>
      <c r="F27" s="69">
        <f>E27/8</f>
        <v>0</v>
      </c>
      <c r="G27" s="107"/>
      <c r="H27" s="272">
        <f>INDEX(Table3[],MATCH(A27,Table3[[#All],[Column18]],0)-1,MATCH($R$8,Table3[#Headers],0)+3)</f>
        <v>0</v>
      </c>
      <c r="I27" s="148" t="e">
        <f t="shared" si="1"/>
        <v>#DIV/0!</v>
      </c>
      <c r="J27" s="193"/>
      <c r="K27" s="283">
        <f>INDEX(Table3[],MATCH(A27,Table3[[#All],[Column18]],0)-1,MATCH($R$8,Table3[#Headers],0)+6)</f>
        <v>0</v>
      </c>
      <c r="L27" s="207" t="s">
        <v>3380</v>
      </c>
      <c r="M27" s="282">
        <f>INDEX(Table3[],MATCH(A27,Table3[[#All],[Column18]],0)-1,MATCH($R$8,Table3[#Headers],0)+8)</f>
        <v>0</v>
      </c>
      <c r="N27" s="139">
        <f t="shared" si="2"/>
        <v>0</v>
      </c>
      <c r="O27" s="177"/>
    </row>
    <row r="28" spans="1:15" x14ac:dyDescent="0.25">
      <c r="A28" s="106" t="s">
        <v>1804</v>
      </c>
      <c r="B28" s="69">
        <v>16</v>
      </c>
      <c r="C28" s="69">
        <f>B28/8</f>
        <v>2</v>
      </c>
      <c r="D28" s="69">
        <f t="shared" si="0"/>
        <v>16</v>
      </c>
      <c r="E28" s="271">
        <f>HLOOKUP(Overview!$R$8,Table3[#All],19,FALSE)</f>
        <v>0</v>
      </c>
      <c r="F28" s="69">
        <f>E28/8</f>
        <v>0</v>
      </c>
      <c r="G28" s="107"/>
      <c r="H28" s="272">
        <f>INDEX(Table3[],MATCH(A28,Table3[[#All],[Column18]],0)-1,MATCH($R$8,Table3[#Headers],0)+3)</f>
        <v>0</v>
      </c>
      <c r="I28" s="148" t="e">
        <f t="shared" si="1"/>
        <v>#DIV/0!</v>
      </c>
      <c r="J28" s="193"/>
      <c r="K28" s="283">
        <f>INDEX(Table3[],MATCH(A28,Table3[[#All],[Column18]],0)-1,MATCH($R$8,Table3[#Headers],0)+6)</f>
        <v>0</v>
      </c>
      <c r="L28" s="207" t="s">
        <v>3380</v>
      </c>
      <c r="M28" s="282"/>
      <c r="N28" s="139">
        <f t="shared" si="2"/>
        <v>0</v>
      </c>
      <c r="O28" s="177"/>
    </row>
    <row r="29" spans="1:15" x14ac:dyDescent="0.25">
      <c r="A29" s="70" t="s">
        <v>3997</v>
      </c>
      <c r="B29" s="69">
        <v>16</v>
      </c>
      <c r="C29" s="69">
        <f>B29/8</f>
        <v>2</v>
      </c>
      <c r="D29" s="69">
        <f>SUM(B29-E29)</f>
        <v>16</v>
      </c>
      <c r="E29" s="271">
        <f>HLOOKUP(Overview!$R$8,Table3[#All],20,FALSE)</f>
        <v>0</v>
      </c>
      <c r="F29" s="69">
        <f>E29/8</f>
        <v>0</v>
      </c>
      <c r="G29" s="72"/>
      <c r="H29" s="272">
        <f>INDEX(Table3[],MATCH(A29,Table3[[#All],[Column18]],0)-1,MATCH($R$8,Table3[#Headers],0)+3)</f>
        <v>0</v>
      </c>
      <c r="I29" s="148" t="e">
        <f t="shared" si="1"/>
        <v>#DIV/0!</v>
      </c>
      <c r="J29" s="194"/>
      <c r="K29" s="283">
        <f>INDEX(Table3[],MATCH(A29,Table3[[#All],[Column18]],0)-1,MATCH($R$8,Table3[#Headers],0)+6)</f>
        <v>0</v>
      </c>
      <c r="L29" s="207" t="s">
        <v>3380</v>
      </c>
      <c r="M29" s="282">
        <f>INDEX(Table3[],MATCH(A29,Table3[[#All],[Column18]],0)-1,MATCH($R$8,Table3[#Headers],0)+8)</f>
        <v>0</v>
      </c>
      <c r="N29" s="139">
        <f>E29</f>
        <v>0</v>
      </c>
      <c r="O29" s="177"/>
    </row>
    <row r="30" spans="1:15" x14ac:dyDescent="0.25">
      <c r="A30" s="70" t="s">
        <v>1106</v>
      </c>
      <c r="B30" s="69">
        <v>16</v>
      </c>
      <c r="C30" s="69">
        <f>B30/8</f>
        <v>2</v>
      </c>
      <c r="D30" s="69">
        <f t="shared" si="0"/>
        <v>16</v>
      </c>
      <c r="E30" s="271">
        <f>HLOOKUP(Overview!$R$8,Table3[#All],21,FALSE)</f>
        <v>0</v>
      </c>
      <c r="F30" s="69">
        <f>E30/8</f>
        <v>0</v>
      </c>
      <c r="G30" s="72"/>
      <c r="H30" s="272">
        <f>INDEX(Table3[],MATCH(A30,Table3[[#All],[Column18]],0)-1,MATCH($R$8,Table3[#Headers],0)+3)</f>
        <v>0</v>
      </c>
      <c r="I30" s="148" t="e">
        <f t="shared" si="1"/>
        <v>#DIV/0!</v>
      </c>
      <c r="J30" s="194"/>
      <c r="K30" s="283">
        <f>INDEX(Table3[],MATCH(A30,Table3[[#All],[Column18]],0)-1,MATCH($R$8,Table3[#Headers],0)+6)</f>
        <v>0</v>
      </c>
      <c r="L30" s="207" t="s">
        <v>3380</v>
      </c>
      <c r="M30" s="282">
        <f>INDEX(Table3[],MATCH(A30,Table3[[#All],[Column18]],0)-1,MATCH($R$8,Table3[#Headers],0)+8)</f>
        <v>0</v>
      </c>
      <c r="N30" s="139">
        <f t="shared" si="2"/>
        <v>0</v>
      </c>
      <c r="O30" s="177"/>
    </row>
    <row r="31" spans="1:15" x14ac:dyDescent="0.25">
      <c r="A31" s="70" t="s">
        <v>1107</v>
      </c>
      <c r="B31" s="69">
        <v>16</v>
      </c>
      <c r="C31" s="69">
        <f>B31/8</f>
        <v>2</v>
      </c>
      <c r="D31" s="69">
        <f t="shared" si="0"/>
        <v>16</v>
      </c>
      <c r="E31" s="271">
        <f>HLOOKUP(Overview!$R$8,Table3[#All],22,FALSE)</f>
        <v>0</v>
      </c>
      <c r="F31" s="69">
        <f>E31/8</f>
        <v>0</v>
      </c>
      <c r="G31" s="72"/>
      <c r="H31" s="272">
        <f>INDEX(Table3[],MATCH(A31,Table3[[#All],[Column18]],0)-1,MATCH($R$8,Table3[#Headers],0)+3)</f>
        <v>0</v>
      </c>
      <c r="I31" s="148" t="e">
        <f t="shared" si="1"/>
        <v>#DIV/0!</v>
      </c>
      <c r="J31" s="194"/>
      <c r="K31" s="283">
        <f>INDEX(Table3[],MATCH(A31,Table3[[#All],[Column18]],0)-1,MATCH($R$8,Table3[#Headers],0)+6)</f>
        <v>0</v>
      </c>
      <c r="L31" s="207" t="s">
        <v>3380</v>
      </c>
      <c r="M31" s="282">
        <f>INDEX(Table3[],MATCH(A31,Table3[[#All],[Column18]],0)-1,MATCH($R$8,Table3[#Headers],0)+8)</f>
        <v>0</v>
      </c>
      <c r="N31" s="139">
        <f t="shared" si="2"/>
        <v>0</v>
      </c>
      <c r="O31" s="177"/>
    </row>
    <row r="32" spans="1:15" x14ac:dyDescent="0.25">
      <c r="A32" s="106" t="s">
        <v>3159</v>
      </c>
      <c r="B32" s="69">
        <v>8.5</v>
      </c>
      <c r="C32" s="69">
        <f>B32/6</f>
        <v>1.42</v>
      </c>
      <c r="D32" s="69">
        <f t="shared" si="0"/>
        <v>8.5</v>
      </c>
      <c r="E32" s="271">
        <f>HLOOKUP(Overview!$R$8,Table3[#All],23,FALSE)</f>
        <v>0</v>
      </c>
      <c r="F32" s="69">
        <f>E32/6</f>
        <v>0</v>
      </c>
      <c r="G32" s="107"/>
      <c r="H32" s="272">
        <f>INDEX(Table3[],MATCH(A32,Table3[[#All],[Column18]],0)-1,MATCH($R$8,Table3[#Headers],0)+3)</f>
        <v>0</v>
      </c>
      <c r="I32" s="148" t="e">
        <f t="shared" si="1"/>
        <v>#DIV/0!</v>
      </c>
      <c r="J32" s="193"/>
      <c r="K32" s="283">
        <f>INDEX(Table3[],MATCH(A32,Table3[[#All],[Column18]],0)-1,MATCH($R$8,Table3[#Headers],0)+6)</f>
        <v>0</v>
      </c>
      <c r="L32" s="207" t="s">
        <v>3380</v>
      </c>
      <c r="M32" s="282">
        <f>INDEX(Table3[],MATCH(A32,Table3[[#All],[Column18]],0)-1,MATCH($R$8,Table3[#Headers],0)+8)</f>
        <v>0</v>
      </c>
      <c r="N32" s="139">
        <f t="shared" si="2"/>
        <v>0</v>
      </c>
      <c r="O32" s="177"/>
    </row>
    <row r="33" spans="1:15" x14ac:dyDescent="0.25">
      <c r="A33" s="70" t="s">
        <v>3162</v>
      </c>
      <c r="B33" s="69">
        <v>25</v>
      </c>
      <c r="C33" s="69">
        <f>B33/4</f>
        <v>6.25</v>
      </c>
      <c r="D33" s="69">
        <f t="shared" si="0"/>
        <v>25</v>
      </c>
      <c r="E33" s="271">
        <f>HLOOKUP(Overview!$R$8,Table3[#All],24,FALSE)</f>
        <v>0</v>
      </c>
      <c r="F33" s="69">
        <f>E33/4</f>
        <v>0</v>
      </c>
      <c r="G33" s="107"/>
      <c r="H33" s="272">
        <f>INDEX(Table3[],MATCH(A33,Table3[[#All],[Column18]],0)-1,MATCH($R$8,Table3[#Headers],0)+3)</f>
        <v>0</v>
      </c>
      <c r="I33" s="148" t="e">
        <f t="shared" si="1"/>
        <v>#DIV/0!</v>
      </c>
      <c r="J33" s="193"/>
      <c r="K33" s="283">
        <f>INDEX(Table3[],MATCH(A33,Table3[[#All],[Column18]],0)-1,MATCH($R$8,Table3[#Headers],0)+6)</f>
        <v>0</v>
      </c>
      <c r="L33" s="207" t="s">
        <v>3380</v>
      </c>
      <c r="M33" s="282">
        <f>INDEX(Table3[],MATCH(A33,Table3[[#All],[Column18]],0)-1,MATCH($R$8,Table3[#Headers],0)+8)</f>
        <v>0</v>
      </c>
      <c r="N33" s="139">
        <f t="shared" si="2"/>
        <v>0</v>
      </c>
      <c r="O33" s="177"/>
    </row>
    <row r="34" spans="1:15" x14ac:dyDescent="0.25">
      <c r="A34" s="70" t="s">
        <v>900</v>
      </c>
      <c r="B34" s="69">
        <v>13</v>
      </c>
      <c r="C34" s="69">
        <f>B34/12</f>
        <v>1.08</v>
      </c>
      <c r="D34" s="69">
        <f t="shared" ref="D34:D51" si="3">SUM(B34-E34)</f>
        <v>13</v>
      </c>
      <c r="E34" s="271">
        <f>HLOOKUP(Overview!$R$8,Table3[#All],25,FALSE)</f>
        <v>0</v>
      </c>
      <c r="F34" s="69">
        <f>E34/12</f>
        <v>0</v>
      </c>
      <c r="G34" s="107"/>
      <c r="H34" s="272">
        <f>INDEX(Table3[],MATCH(A34,Table3[[#All],[Column18]],0)-1,MATCH($R$8,Table3[#Headers],0)+3)</f>
        <v>0</v>
      </c>
      <c r="I34" s="148" t="e">
        <f t="shared" si="1"/>
        <v>#DIV/0!</v>
      </c>
      <c r="J34" s="193"/>
      <c r="K34" s="283">
        <f>INDEX(Table3[],MATCH(A34,Table3[[#All],[Column18]],0)-1,MATCH($R$8,Table3[#Headers],0)+6)</f>
        <v>0</v>
      </c>
      <c r="L34" s="207" t="s">
        <v>3380</v>
      </c>
      <c r="M34" s="282">
        <f>INDEX(Table3[],MATCH(A34,Table3[[#All],[Column18]],0)-1,MATCH($R$8,Table3[#Headers],0)+8)</f>
        <v>0</v>
      </c>
      <c r="N34" s="139">
        <f t="shared" si="2"/>
        <v>0</v>
      </c>
      <c r="O34" s="177"/>
    </row>
    <row r="35" spans="1:15" x14ac:dyDescent="0.25">
      <c r="A35" s="70" t="s">
        <v>3160</v>
      </c>
      <c r="B35" s="69">
        <v>26</v>
      </c>
      <c r="C35" s="69">
        <f>B35/24</f>
        <v>1.08</v>
      </c>
      <c r="D35" s="69">
        <f t="shared" si="3"/>
        <v>26</v>
      </c>
      <c r="E35" s="271">
        <f>HLOOKUP(Overview!$R$8,Table3[#All],26,FALSE)</f>
        <v>0</v>
      </c>
      <c r="F35" s="69">
        <f>E35/24</f>
        <v>0</v>
      </c>
      <c r="G35" s="107"/>
      <c r="H35" s="272">
        <f>INDEX(Table3[],MATCH(A35,Table3[[#All],[Column18]],0)-1,MATCH($R$8,Table3[#Headers],0)+3)</f>
        <v>0</v>
      </c>
      <c r="I35" s="148" t="e">
        <f t="shared" si="1"/>
        <v>#DIV/0!</v>
      </c>
      <c r="J35" s="193"/>
      <c r="K35" s="283">
        <f>INDEX(Table3[],MATCH(A35,Table3[[#All],[Column18]],0)-1,MATCH($R$8,Table3[#Headers],0)+6)</f>
        <v>0</v>
      </c>
      <c r="L35" s="207" t="s">
        <v>3380</v>
      </c>
      <c r="M35" s="282">
        <f>INDEX(Table3[],MATCH(A35,Table3[[#All],[Column18]],0)-1,MATCH($R$8,Table3[#Headers],0)+8)</f>
        <v>0</v>
      </c>
      <c r="N35" s="139">
        <f t="shared" si="2"/>
        <v>0</v>
      </c>
      <c r="O35" s="177"/>
    </row>
    <row r="36" spans="1:15" x14ac:dyDescent="0.25">
      <c r="A36" s="70" t="s">
        <v>3257</v>
      </c>
      <c r="B36" s="69">
        <v>26</v>
      </c>
      <c r="C36" s="69">
        <f>B36/12</f>
        <v>2.17</v>
      </c>
      <c r="D36" s="69">
        <f t="shared" si="3"/>
        <v>26</v>
      </c>
      <c r="E36" s="271">
        <f>HLOOKUP(Overview!$R$8,Table3[#All],27,FALSE)</f>
        <v>0</v>
      </c>
      <c r="F36" s="69">
        <f>E36/12</f>
        <v>0</v>
      </c>
      <c r="G36" s="107"/>
      <c r="H36" s="272">
        <f>INDEX(Table3[],MATCH(A36,Table3[[#All],[Column18]],0)-1,MATCH($R$8,Table3[#Headers],0)+3)</f>
        <v>0</v>
      </c>
      <c r="I36" s="148" t="e">
        <f t="shared" si="1"/>
        <v>#DIV/0!</v>
      </c>
      <c r="J36" s="193"/>
      <c r="K36" s="283">
        <f>INDEX(Table3[],MATCH(A36,Table3[[#All],[Column18]],0)-1,MATCH($R$8,Table3[#Headers],0)+6)</f>
        <v>0</v>
      </c>
      <c r="L36" s="207" t="s">
        <v>3380</v>
      </c>
      <c r="M36" s="282">
        <f>INDEX(Table3[],MATCH(A36,Table3[[#All],[Column18]],0)-1,MATCH($R$8,Table3[#Headers],0)+8)</f>
        <v>0</v>
      </c>
      <c r="N36" s="139">
        <f t="shared" si="2"/>
        <v>0</v>
      </c>
      <c r="O36" s="177"/>
    </row>
    <row r="37" spans="1:15" x14ac:dyDescent="0.25">
      <c r="A37" s="70" t="s">
        <v>3161</v>
      </c>
      <c r="B37" s="69">
        <v>26</v>
      </c>
      <c r="C37" s="69">
        <f>B37/6</f>
        <v>4.33</v>
      </c>
      <c r="D37" s="69">
        <f t="shared" si="3"/>
        <v>26</v>
      </c>
      <c r="E37" s="271">
        <f>HLOOKUP(Overview!$R$8,Table3[#All],28,FALSE)</f>
        <v>0</v>
      </c>
      <c r="F37" s="69">
        <f>E37/6</f>
        <v>0</v>
      </c>
      <c r="G37" s="107"/>
      <c r="H37" s="272">
        <f>INDEX(Table3[],MATCH(A37,Table3[[#All],[Column18]],0)-1,MATCH($R$8,Table3[#Headers],0)+3)</f>
        <v>0</v>
      </c>
      <c r="I37" s="148" t="e">
        <f t="shared" si="1"/>
        <v>#DIV/0!</v>
      </c>
      <c r="J37" s="193"/>
      <c r="K37" s="283">
        <f>INDEX(Table3[],MATCH(A37,Table3[[#All],[Column18]],0)-1,MATCH($R$8,Table3[#Headers],0)+6)</f>
        <v>0</v>
      </c>
      <c r="L37" s="207" t="s">
        <v>3380</v>
      </c>
      <c r="M37" s="282">
        <f>INDEX(Table3[],MATCH(A37,Table3[[#All],[Column18]],0)-1,MATCH($R$8,Table3[#Headers],0)+8)</f>
        <v>0</v>
      </c>
      <c r="N37" s="139">
        <f t="shared" si="2"/>
        <v>0</v>
      </c>
      <c r="O37" s="177"/>
    </row>
    <row r="38" spans="1:15" x14ac:dyDescent="0.25">
      <c r="A38" s="106" t="s">
        <v>3446</v>
      </c>
      <c r="B38" s="69">
        <v>26</v>
      </c>
      <c r="C38" s="69">
        <f>B38/24</f>
        <v>1.08</v>
      </c>
      <c r="D38" s="69">
        <f>SUM(B38-E38)</f>
        <v>26</v>
      </c>
      <c r="E38" s="271">
        <f>HLOOKUP(Overview!$R$8,Table3[#All],29,FALSE)</f>
        <v>0</v>
      </c>
      <c r="F38" s="69">
        <f>E38/24</f>
        <v>0</v>
      </c>
      <c r="G38" s="107"/>
      <c r="H38" s="272">
        <f>INDEX(Table3[],MATCH(A38,Table3[[#All],[Column18]],0)-1,MATCH($R$8,Table3[#Headers],0)+3)</f>
        <v>0</v>
      </c>
      <c r="I38" s="148" t="e">
        <f t="shared" si="1"/>
        <v>#DIV/0!</v>
      </c>
      <c r="J38" s="193"/>
      <c r="K38" s="283">
        <f>INDEX(Table3[],MATCH(A38,Table3[[#All],[Column18]],0)-1,MATCH($R$8,Table3[#Headers],0)+6)</f>
        <v>0</v>
      </c>
      <c r="L38" s="207" t="s">
        <v>3380</v>
      </c>
      <c r="M38" s="282">
        <f>INDEX(Table3[],MATCH(A38,Table3[[#All],[Column18]],0)-1,MATCH($R$8,Table3[#Headers],0)+8)</f>
        <v>0</v>
      </c>
      <c r="N38" s="139">
        <f t="shared" si="2"/>
        <v>0</v>
      </c>
      <c r="O38" s="177"/>
    </row>
    <row r="39" spans="1:15" x14ac:dyDescent="0.25">
      <c r="A39" s="106" t="s">
        <v>901</v>
      </c>
      <c r="B39" s="69">
        <v>26</v>
      </c>
      <c r="C39" s="69">
        <f>B39/6</f>
        <v>4.33</v>
      </c>
      <c r="D39" s="69">
        <f t="shared" si="3"/>
        <v>26</v>
      </c>
      <c r="E39" s="271">
        <f>HLOOKUP(Overview!$R$8,Table3[#All],30,FALSE)</f>
        <v>0</v>
      </c>
      <c r="F39" s="69">
        <f>E39/6</f>
        <v>0</v>
      </c>
      <c r="G39" s="107"/>
      <c r="H39" s="272">
        <f>INDEX(Table3[],MATCH(A39,Table3[[#All],[Column18]],0)-1,MATCH($R$8,Table3[#Headers],0)+3)</f>
        <v>0</v>
      </c>
      <c r="I39" s="148" t="e">
        <f t="shared" si="1"/>
        <v>#DIV/0!</v>
      </c>
      <c r="J39" s="193"/>
      <c r="K39" s="283">
        <f>INDEX(Table3[],MATCH(A39,Table3[[#All],[Column18]],0)-1,MATCH($R$8,Table3[#Headers],0)+6)</f>
        <v>0</v>
      </c>
      <c r="L39" s="207" t="s">
        <v>3380</v>
      </c>
      <c r="M39" s="282">
        <f>INDEX(Table3[],MATCH(A39,Table3[[#All],[Column18]],0)-1,MATCH($R$8,Table3[#Headers],0)+8)</f>
        <v>0</v>
      </c>
      <c r="N39" s="139">
        <f t="shared" si="2"/>
        <v>0</v>
      </c>
      <c r="O39" s="177"/>
    </row>
    <row r="40" spans="1:15" ht="5.0999999999999996" customHeight="1" x14ac:dyDescent="0.25">
      <c r="A40" s="213">
        <v>0</v>
      </c>
      <c r="B40" s="71"/>
      <c r="C40" s="71"/>
      <c r="D40" s="71"/>
      <c r="E40" s="71"/>
      <c r="F40" s="71"/>
      <c r="G40" s="56"/>
      <c r="H40" s="108"/>
      <c r="I40" s="193"/>
      <c r="J40" s="134"/>
      <c r="K40" s="283"/>
      <c r="L40" s="193"/>
      <c r="M40" s="282"/>
      <c r="N40" s="139">
        <f>N41</f>
        <v>0</v>
      </c>
      <c r="O40" s="140"/>
    </row>
    <row r="41" spans="1:15" ht="15.75" x14ac:dyDescent="0.25">
      <c r="A41" s="68" t="s">
        <v>3178</v>
      </c>
      <c r="B41" s="71"/>
      <c r="C41" s="71"/>
      <c r="D41" s="71"/>
      <c r="E41" s="71"/>
      <c r="F41" s="71"/>
      <c r="G41" s="56"/>
      <c r="H41" s="108"/>
      <c r="I41" s="193"/>
      <c r="J41" s="134"/>
      <c r="K41" s="283"/>
      <c r="L41" s="193"/>
      <c r="M41" s="282"/>
      <c r="N41" s="139">
        <f>AVERAGE(N42:N45)</f>
        <v>0</v>
      </c>
      <c r="O41" s="140"/>
    </row>
    <row r="42" spans="1:15" x14ac:dyDescent="0.25">
      <c r="A42" s="70" t="s">
        <v>3177</v>
      </c>
      <c r="B42" s="69">
        <v>84</v>
      </c>
      <c r="C42" s="69">
        <f>B42</f>
        <v>84</v>
      </c>
      <c r="D42" s="69">
        <f>B42-E42</f>
        <v>84</v>
      </c>
      <c r="E42" s="271">
        <f>HLOOKUP(Overview!$R$8,Table3[#All],33,FALSE)</f>
        <v>0</v>
      </c>
      <c r="F42" s="69">
        <f>E42</f>
        <v>0</v>
      </c>
      <c r="G42" s="72"/>
      <c r="H42" s="272">
        <f>INDEX(Table3[],MATCH(A42,Table3[[#All],[Column18]],0)-1,MATCH($R$8,Table3[#Headers],0)+3)</f>
        <v>0</v>
      </c>
      <c r="I42" s="148" t="e">
        <f>IF(K42&gt;0,((((((M42/K42)*($B$205)*K42)+(1-$B$205)*H42))/((K42*($B$205))+(1-$B$205)))-F42)/(((((M42/K42)*($B$205)*K42)+(1-$B$205)*H42))/((K42*($B$205))+(1-$B$205))),(H42-F42)/H42)</f>
        <v>#DIV/0!</v>
      </c>
      <c r="J42" s="193"/>
      <c r="K42" s="283">
        <f>INDEX(Table3[],MATCH(A42,Table3[[#All],[Column18]],0)-1,MATCH($R$8,Table3[#Headers],0)+6)</f>
        <v>0</v>
      </c>
      <c r="L42" s="207" t="s">
        <v>3380</v>
      </c>
      <c r="M42" s="282">
        <f>INDEX(Table3[],MATCH(A42,Table3[[#All],[Column18]],0)-1,MATCH($R$8,Table3[#Headers],0)+8)</f>
        <v>0</v>
      </c>
      <c r="N42" s="139">
        <f>E42</f>
        <v>0</v>
      </c>
      <c r="O42" s="139"/>
    </row>
    <row r="43" spans="1:15" x14ac:dyDescent="0.25">
      <c r="A43" s="70" t="s">
        <v>3179</v>
      </c>
      <c r="B43" s="69">
        <v>84</v>
      </c>
      <c r="C43" s="69">
        <f>B43</f>
        <v>84</v>
      </c>
      <c r="D43" s="69">
        <f>B43-E43</f>
        <v>84</v>
      </c>
      <c r="E43" s="271">
        <f>HLOOKUP(Overview!$R$8,Table3[#All],34,FALSE)</f>
        <v>0</v>
      </c>
      <c r="F43" s="69">
        <f>E43</f>
        <v>0</v>
      </c>
      <c r="G43" s="72"/>
      <c r="H43" s="272">
        <f>INDEX(Table3[],MATCH(A43,Table3[[#All],[Column18]],0)-1,MATCH($R$8,Table3[#Headers],0)+3)</f>
        <v>0</v>
      </c>
      <c r="I43" s="148" t="e">
        <f>IF(K43&gt;0,((((((M43/K43)*($B$205)*K43)+(1-$B$205)*H43))/((K43*($B$205))+(1-$B$205)))-F43)/(((((M43/K43)*($B$205)*K43)+(1-$B$205)*H43))/((K43*($B$205))+(1-$B$205))),(H43-F43)/H43)</f>
        <v>#DIV/0!</v>
      </c>
      <c r="J43" s="193"/>
      <c r="K43" s="283">
        <f>INDEX(Table3[],MATCH(A43,Table3[[#All],[Column18]],0)-1,MATCH($R$8,Table3[#Headers],0)+6)</f>
        <v>0</v>
      </c>
      <c r="L43" s="207" t="s">
        <v>3380</v>
      </c>
      <c r="M43" s="282">
        <f>INDEX(Table3[],MATCH(A43,Table3[[#All],[Column18]],0)-1,MATCH($R$8,Table3[#Headers],0)+8)</f>
        <v>0</v>
      </c>
      <c r="N43" s="139">
        <f>E43</f>
        <v>0</v>
      </c>
      <c r="O43" s="139"/>
    </row>
    <row r="44" spans="1:15" x14ac:dyDescent="0.25">
      <c r="A44" s="70" t="s">
        <v>3180</v>
      </c>
      <c r="B44" s="69">
        <v>44</v>
      </c>
      <c r="C44" s="69">
        <f>B44</f>
        <v>44</v>
      </c>
      <c r="D44" s="69">
        <f>B44-E44</f>
        <v>44</v>
      </c>
      <c r="E44" s="271">
        <f>HLOOKUP(Overview!$R$8,Table3[#All],35,FALSE)</f>
        <v>0</v>
      </c>
      <c r="F44" s="69">
        <f>E44</f>
        <v>0</v>
      </c>
      <c r="G44" s="72"/>
      <c r="H44" s="272">
        <f>INDEX(Table3[],MATCH(A44,Table3[[#All],[Column18]],0)-1,MATCH($R$8,Table3[#Headers],0)+3)</f>
        <v>0</v>
      </c>
      <c r="I44" s="148" t="e">
        <f>IF(K44&gt;0,((((((M44/K44)*($B$205)*K44)+(1-$B$205)*H44))/((K44*($B$205))+(1-$B$205)))-F44)/(((((M44/K44)*($B$205)*K44)+(1-$B$205)*H44))/((K44*($B$205))+(1-$B$205))),(H44-F44)/H44)</f>
        <v>#DIV/0!</v>
      </c>
      <c r="J44" s="193"/>
      <c r="K44" s="283">
        <f>INDEX(Table3[],MATCH(A44,Table3[[#All],[Column18]],0)-1,MATCH($R$8,Table3[#Headers],0)+6)</f>
        <v>0</v>
      </c>
      <c r="L44" s="207" t="s">
        <v>3380</v>
      </c>
      <c r="M44" s="282">
        <f>INDEX(Table3[],MATCH(A44,Table3[[#All],[Column18]],0)-1,MATCH($R$8,Table3[#Headers],0)+8)</f>
        <v>0</v>
      </c>
      <c r="N44" s="139">
        <f>E44</f>
        <v>0</v>
      </c>
      <c r="O44" s="139"/>
    </row>
    <row r="45" spans="1:15" x14ac:dyDescent="0.25">
      <c r="A45" s="70" t="s">
        <v>3181</v>
      </c>
      <c r="B45" s="69">
        <v>44</v>
      </c>
      <c r="C45" s="69">
        <f>B45</f>
        <v>44</v>
      </c>
      <c r="D45" s="69">
        <f>B45-E45</f>
        <v>44</v>
      </c>
      <c r="E45" s="271">
        <f>HLOOKUP(Overview!$R$8,Table3[#All],36,FALSE)</f>
        <v>0</v>
      </c>
      <c r="F45" s="69">
        <f>E45</f>
        <v>0</v>
      </c>
      <c r="G45" s="72"/>
      <c r="H45" s="272">
        <f>INDEX(Table3[],MATCH(A45,Table3[[#All],[Column18]],0)-1,MATCH($R$8,Table3[#Headers],0)+3)</f>
        <v>0</v>
      </c>
      <c r="I45" s="148" t="e">
        <f>IF(K45&gt;0,((((((M45/K45)*($B$205)*K45)+(1-$B$205)*H45))/((K45*($B$205))+(1-$B$205)))-F45)/(((((M45/K45)*($B$205)*K45)+(1-$B$205)*H45))/((K45*($B$205))+(1-$B$205))),(H45-F45)/H45)</f>
        <v>#DIV/0!</v>
      </c>
      <c r="J45" s="193"/>
      <c r="K45" s="283">
        <f>INDEX(Table3[],MATCH(A45,Table3[[#All],[Column18]],0)-1,MATCH($R$8,Table3[#Headers],0)+6)</f>
        <v>0</v>
      </c>
      <c r="L45" s="207" t="s">
        <v>3380</v>
      </c>
      <c r="M45" s="282">
        <f>INDEX(Table3[],MATCH(A45,Table3[[#All],[Column18]],0)-1,MATCH($R$8,Table3[#Headers],0)+8)</f>
        <v>0</v>
      </c>
      <c r="N45" s="139">
        <f>E45</f>
        <v>0</v>
      </c>
      <c r="O45" s="139"/>
    </row>
    <row r="46" spans="1:15" ht="5.0999999999999996" customHeight="1" x14ac:dyDescent="0.25">
      <c r="A46" s="213">
        <v>0</v>
      </c>
      <c r="B46" s="71"/>
      <c r="C46" s="71"/>
      <c r="D46" s="71"/>
      <c r="E46" s="71"/>
      <c r="F46" s="71"/>
      <c r="G46" s="56"/>
      <c r="H46" s="108"/>
      <c r="I46" s="202"/>
      <c r="J46" s="134"/>
      <c r="K46" s="283"/>
      <c r="L46" s="193"/>
      <c r="M46" s="282"/>
      <c r="N46" s="139">
        <f>N47</f>
        <v>0</v>
      </c>
      <c r="O46" s="140"/>
    </row>
    <row r="47" spans="1:15" ht="15.75" x14ac:dyDescent="0.25">
      <c r="A47" s="68" t="s">
        <v>3479</v>
      </c>
      <c r="B47" s="71"/>
      <c r="C47" s="71"/>
      <c r="D47" s="71"/>
      <c r="E47" s="71"/>
      <c r="F47" s="71"/>
      <c r="G47" s="56"/>
      <c r="H47" s="108"/>
      <c r="I47" s="193"/>
      <c r="J47" s="134"/>
      <c r="K47" s="283"/>
      <c r="L47" s="193"/>
      <c r="M47" s="282"/>
      <c r="N47" s="139">
        <f>AVERAGE(N48:N68)</f>
        <v>0</v>
      </c>
      <c r="O47" s="140"/>
    </row>
    <row r="48" spans="1:15" x14ac:dyDescent="0.25">
      <c r="A48" s="70" t="s">
        <v>4139</v>
      </c>
      <c r="B48" s="69">
        <v>14</v>
      </c>
      <c r="C48" s="69">
        <f>B48/3</f>
        <v>4.67</v>
      </c>
      <c r="D48" s="69">
        <f t="shared" si="3"/>
        <v>14</v>
      </c>
      <c r="E48" s="271">
        <f>HLOOKUP(Overview!$R$8,Table3[#All],39,FALSE)</f>
        <v>0</v>
      </c>
      <c r="F48" s="69">
        <f>E48/3</f>
        <v>0</v>
      </c>
      <c r="G48" s="56"/>
      <c r="H48" s="272">
        <f>INDEX(Table3[],MATCH(A48,Table3[[#All],[Column18]],0)-1,MATCH($R$8,Table3[#Headers],0)+3)</f>
        <v>0</v>
      </c>
      <c r="I48" s="148" t="e">
        <f t="shared" ref="I48:I68" si="4">IF(K48&gt;0,((((((M48/K48)*($B$205)*K48)+(1-$B$205)*H48))/((K48*($B$205))+(1-$B$205)))-F48)/(((((M48/K48)*($B$205)*K48)+(1-$B$205)*H48))/((K48*($B$205))+(1-$B$205))),(H48-F48)/H48)</f>
        <v>#DIV/0!</v>
      </c>
      <c r="J48" s="193"/>
      <c r="K48" s="283">
        <f>INDEX(Table3[],MATCH(A48,Table3[[#All],[Column18]],0)-1,MATCH($R$8,Table3[#Headers],0)+6)</f>
        <v>0</v>
      </c>
      <c r="L48" s="207" t="s">
        <v>3380</v>
      </c>
      <c r="M48" s="282">
        <f>INDEX(Table3[],MATCH(A48,Table3[[#All],[Column18]],0)-1,MATCH($R$8,Table3[#Headers],0)+8)</f>
        <v>0</v>
      </c>
      <c r="N48" s="139">
        <f t="shared" ref="N48:N68" si="5">E48</f>
        <v>0</v>
      </c>
      <c r="O48" s="177"/>
    </row>
    <row r="49" spans="1:15" x14ac:dyDescent="0.25">
      <c r="A49" s="70" t="s">
        <v>4140</v>
      </c>
      <c r="B49" s="69">
        <v>14</v>
      </c>
      <c r="C49" s="69">
        <f>B49/2</f>
        <v>7</v>
      </c>
      <c r="D49" s="69">
        <f t="shared" si="3"/>
        <v>14</v>
      </c>
      <c r="E49" s="271">
        <f>HLOOKUP(Overview!$R$8,Table3[#All],40,FALSE)</f>
        <v>0</v>
      </c>
      <c r="F49" s="69">
        <f>E49/2</f>
        <v>0</v>
      </c>
      <c r="G49" s="56"/>
      <c r="H49" s="272">
        <f>INDEX(Table3[],MATCH(A49,Table3[[#All],[Column18]],0)-1,MATCH($R$8,Table3[#Headers],0)+3)</f>
        <v>0</v>
      </c>
      <c r="I49" s="148" t="e">
        <f t="shared" si="4"/>
        <v>#DIV/0!</v>
      </c>
      <c r="J49" s="193"/>
      <c r="K49" s="283">
        <f>INDEX(Table3[],MATCH(A49,Table3[[#All],[Column18]],0)-1,MATCH($R$8,Table3[#Headers],0)+6)</f>
        <v>0</v>
      </c>
      <c r="L49" s="207" t="s">
        <v>3380</v>
      </c>
      <c r="M49" s="282">
        <f>INDEX(Table3[],MATCH(A49,Table3[[#All],[Column18]],0)-1,MATCH($R$8,Table3[#Headers],0)+8)</f>
        <v>0</v>
      </c>
      <c r="N49" s="139">
        <f t="shared" si="5"/>
        <v>0</v>
      </c>
      <c r="O49" s="177"/>
    </row>
    <row r="50" spans="1:15" x14ac:dyDescent="0.25">
      <c r="A50" s="70" t="s">
        <v>4138</v>
      </c>
      <c r="B50" s="69">
        <v>24</v>
      </c>
      <c r="C50" s="69">
        <f>B50/4</f>
        <v>6</v>
      </c>
      <c r="D50" s="69">
        <f t="shared" si="3"/>
        <v>24</v>
      </c>
      <c r="E50" s="271">
        <f>HLOOKUP(Overview!$R$8,Table3[#All],41,FALSE)</f>
        <v>0</v>
      </c>
      <c r="F50" s="69">
        <f>E50/4</f>
        <v>0</v>
      </c>
      <c r="G50" s="56"/>
      <c r="H50" s="272">
        <f>INDEX(Table3[],MATCH(A50,Table3[[#All],[Column18]],0)-1,MATCH($R$8,Table3[#Headers],0)+3)</f>
        <v>0</v>
      </c>
      <c r="I50" s="148" t="e">
        <f t="shared" si="4"/>
        <v>#DIV/0!</v>
      </c>
      <c r="J50" s="193"/>
      <c r="K50" s="283">
        <f>INDEX(Table3[],MATCH(A50,Table3[[#All],[Column18]],0)-1,MATCH($R$8,Table3[#Headers],0)+6)</f>
        <v>0</v>
      </c>
      <c r="L50" s="207" t="s">
        <v>3380</v>
      </c>
      <c r="M50" s="282">
        <f>INDEX(Table3[],MATCH(A50,Table3[[#All],[Column18]],0)-1,MATCH($R$8,Table3[#Headers],0)+8)</f>
        <v>0</v>
      </c>
      <c r="N50" s="139">
        <f t="shared" si="5"/>
        <v>0</v>
      </c>
      <c r="O50" s="177"/>
    </row>
    <row r="51" spans="1:15" x14ac:dyDescent="0.25">
      <c r="A51" s="106" t="s">
        <v>4141</v>
      </c>
      <c r="B51" s="69">
        <v>36</v>
      </c>
      <c r="C51" s="69">
        <f>B51/24</f>
        <v>1.5</v>
      </c>
      <c r="D51" s="69">
        <f t="shared" si="3"/>
        <v>36</v>
      </c>
      <c r="E51" s="271">
        <f>HLOOKUP(Overview!$R$8,Table3[#All],42,FALSE)</f>
        <v>0</v>
      </c>
      <c r="F51" s="69">
        <f>E51/24</f>
        <v>0</v>
      </c>
      <c r="G51" s="107"/>
      <c r="H51" s="272">
        <f>INDEX(Table3[],MATCH(A51,Table3[[#All],[Column18]],0)-1,MATCH($R$8,Table3[#Headers],0)+3)</f>
        <v>0</v>
      </c>
      <c r="I51" s="148" t="e">
        <f t="shared" si="4"/>
        <v>#DIV/0!</v>
      </c>
      <c r="J51" s="193"/>
      <c r="K51" s="283">
        <f>INDEX(Table3[],MATCH(A51,Table3[[#All],[Column18]],0)-1,MATCH($R$8,Table3[#Headers],0)+6)</f>
        <v>0</v>
      </c>
      <c r="L51" s="207" t="s">
        <v>3380</v>
      </c>
      <c r="M51" s="282">
        <f>INDEX(Table3[],MATCH(A51,Table3[[#All],[Column18]],0)-1,MATCH($R$8,Table3[#Headers],0)+8)</f>
        <v>0</v>
      </c>
      <c r="N51" s="139">
        <f>E51</f>
        <v>0</v>
      </c>
      <c r="O51" s="177"/>
    </row>
    <row r="52" spans="1:15" x14ac:dyDescent="0.25">
      <c r="A52" s="106" t="s">
        <v>4142</v>
      </c>
      <c r="B52" s="69">
        <v>18</v>
      </c>
      <c r="C52" s="69">
        <f>B52/12</f>
        <v>1.5</v>
      </c>
      <c r="D52" s="69">
        <f t="shared" ref="D52:D68" si="6">SUM(B52-E52)</f>
        <v>18</v>
      </c>
      <c r="E52" s="271">
        <f>HLOOKUP(Overview!$R$8,Table3[#All],43,FALSE)</f>
        <v>0</v>
      </c>
      <c r="F52" s="69">
        <f>E52/12</f>
        <v>0</v>
      </c>
      <c r="G52" s="107"/>
      <c r="H52" s="272">
        <f>INDEX(Table3[],MATCH(A52,Table3[[#All],[Column18]],0)-1,MATCH($R$8,Table3[#Headers],0)+3)</f>
        <v>0</v>
      </c>
      <c r="I52" s="148" t="e">
        <f t="shared" si="4"/>
        <v>#DIV/0!</v>
      </c>
      <c r="J52" s="193"/>
      <c r="K52" s="283">
        <f>INDEX(Table3[],MATCH(A52,Table3[[#All],[Column18]],0)-1,MATCH($R$8,Table3[#Headers],0)+6)</f>
        <v>0</v>
      </c>
      <c r="L52" s="207" t="s">
        <v>3380</v>
      </c>
      <c r="M52" s="282">
        <f>INDEX(Table3[],MATCH(A52,Table3[[#All],[Column18]],0)-1,MATCH($R$8,Table3[#Headers],0)+8)</f>
        <v>0</v>
      </c>
      <c r="N52" s="139">
        <f t="shared" si="5"/>
        <v>0</v>
      </c>
      <c r="O52" s="177"/>
    </row>
    <row r="53" spans="1:15" x14ac:dyDescent="0.25">
      <c r="A53" s="70" t="s">
        <v>4143</v>
      </c>
      <c r="B53" s="69">
        <v>16</v>
      </c>
      <c r="C53" s="69">
        <f>B53/8</f>
        <v>2</v>
      </c>
      <c r="D53" s="69">
        <f t="shared" si="6"/>
        <v>16</v>
      </c>
      <c r="E53" s="271">
        <f>HLOOKUP(Overview!$R$8,Table3[#All],44,FALSE)</f>
        <v>0</v>
      </c>
      <c r="F53" s="69">
        <f>E53/8</f>
        <v>0</v>
      </c>
      <c r="G53" s="56"/>
      <c r="H53" s="272">
        <f>INDEX(Table3[],MATCH(A53,Table3[[#All],[Column18]],0)-1,MATCH($R$8,Table3[#Headers],0)+3)</f>
        <v>0</v>
      </c>
      <c r="I53" s="148" t="e">
        <f t="shared" si="4"/>
        <v>#DIV/0!</v>
      </c>
      <c r="J53" s="193"/>
      <c r="K53" s="283">
        <f>INDEX(Table3[],MATCH(A53,Table3[[#All],[Column18]],0)-1,MATCH($R$8,Table3[#Headers],0)+6)</f>
        <v>0</v>
      </c>
      <c r="L53" s="207" t="s">
        <v>3380</v>
      </c>
      <c r="M53" s="282">
        <f>INDEX(Table3[],MATCH(A53,Table3[[#All],[Column18]],0)-1,MATCH($R$8,Table3[#Headers],0)+8)</f>
        <v>0</v>
      </c>
      <c r="N53" s="139">
        <f t="shared" si="5"/>
        <v>0</v>
      </c>
      <c r="O53" s="177"/>
    </row>
    <row r="54" spans="1:15" x14ac:dyDescent="0.25">
      <c r="A54" s="70" t="s">
        <v>4150</v>
      </c>
      <c r="B54" s="69">
        <v>16</v>
      </c>
      <c r="C54" s="69">
        <f>B54/8</f>
        <v>2</v>
      </c>
      <c r="D54" s="69">
        <f>SUM(B54-E54)</f>
        <v>16</v>
      </c>
      <c r="E54" s="271">
        <f>HLOOKUP(Overview!$R$8,Table3[#All],45,FALSE)</f>
        <v>0</v>
      </c>
      <c r="F54" s="69">
        <f>E54/8</f>
        <v>0</v>
      </c>
      <c r="G54" s="56"/>
      <c r="H54" s="272">
        <f>INDEX(Table3[],MATCH(A54,Table3[[#All],[Column18]],0)-1,MATCH($R$8,Table3[#Headers],0)+3)</f>
        <v>0</v>
      </c>
      <c r="I54" s="148" t="e">
        <f t="shared" si="4"/>
        <v>#DIV/0!</v>
      </c>
      <c r="J54" s="193"/>
      <c r="K54" s="283">
        <f>INDEX(Table3[],MATCH(A54,Table3[[#All],[Column18]],0)-1,MATCH($R$8,Table3[#Headers],0)+6)</f>
        <v>0</v>
      </c>
      <c r="L54" s="207" t="s">
        <v>3380</v>
      </c>
      <c r="M54" s="282">
        <f>INDEX(Table3[],MATCH(A54,Table3[[#All],[Column18]],0)-1,MATCH($R$8,Table3[#Headers],0)+8)</f>
        <v>0</v>
      </c>
      <c r="N54" s="139">
        <f>E54</f>
        <v>0</v>
      </c>
      <c r="O54" s="177"/>
    </row>
    <row r="55" spans="1:15" x14ac:dyDescent="0.25">
      <c r="A55" s="106" t="s">
        <v>4145</v>
      </c>
      <c r="B55" s="69">
        <v>24</v>
      </c>
      <c r="C55" s="69">
        <f>B55/4</f>
        <v>6</v>
      </c>
      <c r="D55" s="69">
        <f t="shared" si="6"/>
        <v>24</v>
      </c>
      <c r="E55" s="271">
        <f>HLOOKUP(Overview!$R$8,Table3[#All],46,FALSE)</f>
        <v>0</v>
      </c>
      <c r="F55" s="69">
        <f>E55/4</f>
        <v>0</v>
      </c>
      <c r="G55" s="107"/>
      <c r="H55" s="272">
        <f>INDEX(Table3[],MATCH(A55,Table3[[#All],[Column18]],0)-1,MATCH($R$8,Table3[#Headers],0)+3)</f>
        <v>0</v>
      </c>
      <c r="I55" s="148" t="e">
        <f t="shared" si="4"/>
        <v>#DIV/0!</v>
      </c>
      <c r="J55" s="193"/>
      <c r="K55" s="283">
        <f>INDEX(Table3[],MATCH(A55,Table3[[#All],[Column18]],0)-1,MATCH($R$8,Table3[#Headers],0)+6)</f>
        <v>0</v>
      </c>
      <c r="L55" s="207" t="s">
        <v>3380</v>
      </c>
      <c r="M55" s="282">
        <f>INDEX(Table3[],MATCH(A55,Table3[[#All],[Column18]],0)-1,MATCH($R$8,Table3[#Headers],0)+8)</f>
        <v>0</v>
      </c>
      <c r="N55" s="139">
        <f t="shared" si="5"/>
        <v>0</v>
      </c>
      <c r="O55" s="177"/>
    </row>
    <row r="56" spans="1:15" x14ac:dyDescent="0.25">
      <c r="A56" s="106" t="s">
        <v>4144</v>
      </c>
      <c r="B56" s="69">
        <v>24</v>
      </c>
      <c r="C56" s="69">
        <f>B56/4</f>
        <v>6</v>
      </c>
      <c r="D56" s="69">
        <f t="shared" si="6"/>
        <v>24</v>
      </c>
      <c r="E56" s="271">
        <f>HLOOKUP(Overview!$R$8,Table3[#All],47,FALSE)</f>
        <v>0</v>
      </c>
      <c r="F56" s="69">
        <f>E56/4</f>
        <v>0</v>
      </c>
      <c r="G56" s="107"/>
      <c r="H56" s="272">
        <f>INDEX(Table3[],MATCH(A56,Table3[[#All],[Column18]],0)-1,MATCH($R$8,Table3[#Headers],0)+3)</f>
        <v>0</v>
      </c>
      <c r="I56" s="148" t="e">
        <f t="shared" si="4"/>
        <v>#DIV/0!</v>
      </c>
      <c r="J56" s="193"/>
      <c r="K56" s="283">
        <f>INDEX(Table3[],MATCH(A56,Table3[[#All],[Column18]],0)-1,MATCH($R$8,Table3[#Headers],0)+6)</f>
        <v>0</v>
      </c>
      <c r="L56" s="207" t="s">
        <v>3380</v>
      </c>
      <c r="M56" s="282">
        <f>INDEX(Table3[],MATCH(A56,Table3[[#All],[Column18]],0)-1,MATCH($R$8,Table3[#Headers],0)+8)</f>
        <v>0</v>
      </c>
      <c r="N56" s="139">
        <f t="shared" si="5"/>
        <v>0</v>
      </c>
      <c r="O56" s="177"/>
    </row>
    <row r="57" spans="1:15" x14ac:dyDescent="0.25">
      <c r="A57" s="106" t="s">
        <v>4146</v>
      </c>
      <c r="B57" s="69">
        <v>24</v>
      </c>
      <c r="C57" s="69">
        <f>B57/15</f>
        <v>1.6</v>
      </c>
      <c r="D57" s="69">
        <f t="shared" si="6"/>
        <v>24</v>
      </c>
      <c r="E57" s="271">
        <f>HLOOKUP(Overview!$R$8,Table3[#All],48,FALSE)</f>
        <v>0</v>
      </c>
      <c r="F57" s="69">
        <f>E57/15</f>
        <v>0</v>
      </c>
      <c r="G57" s="107"/>
      <c r="H57" s="272">
        <f>INDEX(Table3[],MATCH(A57,Table3[[#All],[Column18]],0)-1,MATCH($R$8,Table3[#Headers],0)+3)</f>
        <v>0</v>
      </c>
      <c r="I57" s="148" t="e">
        <f t="shared" si="4"/>
        <v>#DIV/0!</v>
      </c>
      <c r="J57" s="193"/>
      <c r="K57" s="283">
        <f>INDEX(Table3[],MATCH(A57,Table3[[#All],[Column18]],0)-1,MATCH($R$8,Table3[#Headers],0)+6)</f>
        <v>0</v>
      </c>
      <c r="L57" s="207" t="s">
        <v>3380</v>
      </c>
      <c r="M57" s="282">
        <f>INDEX(Table3[],MATCH(A57,Table3[[#All],[Column18]],0)-1,MATCH($R$8,Table3[#Headers],0)+8)</f>
        <v>0</v>
      </c>
      <c r="N57" s="139">
        <f t="shared" si="5"/>
        <v>0</v>
      </c>
      <c r="O57" s="177"/>
    </row>
    <row r="58" spans="1:15" x14ac:dyDescent="0.25">
      <c r="A58" s="106" t="s">
        <v>4147</v>
      </c>
      <c r="B58" s="69">
        <v>18.5</v>
      </c>
      <c r="C58" s="69">
        <f>B58/12</f>
        <v>1.54</v>
      </c>
      <c r="D58" s="69">
        <f t="shared" si="6"/>
        <v>18.5</v>
      </c>
      <c r="E58" s="271">
        <f>HLOOKUP(Overview!$R$8,Table3[#All],49,FALSE)</f>
        <v>0</v>
      </c>
      <c r="F58" s="69">
        <f>E58/12</f>
        <v>0</v>
      </c>
      <c r="G58" s="107"/>
      <c r="H58" s="272">
        <f>INDEX(Table3[],MATCH(A58,Table3[[#All],[Column18]],0)-1,MATCH($R$8,Table3[#Headers],0)+3)</f>
        <v>0</v>
      </c>
      <c r="I58" s="148" t="e">
        <f t="shared" si="4"/>
        <v>#DIV/0!</v>
      </c>
      <c r="J58" s="193"/>
      <c r="K58" s="283">
        <f>INDEX(Table3[],MATCH(A58,Table3[[#All],[Column18]],0)-1,MATCH($R$8,Table3[#Headers],0)+6)</f>
        <v>0</v>
      </c>
      <c r="L58" s="207" t="s">
        <v>3380</v>
      </c>
      <c r="M58" s="282">
        <f>INDEX(Table3[],MATCH(A58,Table3[[#All],[Column18]],0)-1,MATCH($R$8,Table3[#Headers],0)+8)</f>
        <v>0</v>
      </c>
      <c r="N58" s="139">
        <f t="shared" si="5"/>
        <v>0</v>
      </c>
      <c r="O58" s="177"/>
    </row>
    <row r="59" spans="1:15" x14ac:dyDescent="0.25">
      <c r="A59" s="70" t="s">
        <v>4136</v>
      </c>
      <c r="B59" s="69">
        <v>14</v>
      </c>
      <c r="C59" s="69">
        <f>B59/2</f>
        <v>7</v>
      </c>
      <c r="D59" s="69">
        <f t="shared" si="6"/>
        <v>14</v>
      </c>
      <c r="E59" s="271">
        <f>HLOOKUP(Overview!$R$8,Table3[#All],50,FALSE)</f>
        <v>0</v>
      </c>
      <c r="F59" s="69">
        <f>E59/2</f>
        <v>0</v>
      </c>
      <c r="G59" s="56"/>
      <c r="H59" s="272">
        <f>INDEX(Table3[],MATCH(A59,Table3[[#All],[Column18]],0)-1,MATCH($R$8,Table3[#Headers],0)+3)</f>
        <v>0</v>
      </c>
      <c r="I59" s="148" t="e">
        <f t="shared" si="4"/>
        <v>#DIV/0!</v>
      </c>
      <c r="J59" s="193"/>
      <c r="K59" s="283">
        <f>INDEX(Table3[],MATCH(A59,Table3[[#All],[Column18]],0)-1,MATCH($R$8,Table3[#Headers],0)+6)</f>
        <v>0</v>
      </c>
      <c r="L59" s="207" t="s">
        <v>3380</v>
      </c>
      <c r="M59" s="282">
        <f>INDEX(Table3[],MATCH(A59,Table3[[#All],[Column18]],0)-1,MATCH($R$8,Table3[#Headers],0)+8)</f>
        <v>0</v>
      </c>
      <c r="N59" s="139">
        <f>E59</f>
        <v>0</v>
      </c>
      <c r="O59" s="177"/>
    </row>
    <row r="60" spans="1:15" x14ac:dyDescent="0.25">
      <c r="A60" s="70" t="s">
        <v>4135</v>
      </c>
      <c r="B60" s="69">
        <v>24</v>
      </c>
      <c r="C60" s="69">
        <f>B60/4</f>
        <v>6</v>
      </c>
      <c r="D60" s="69">
        <f t="shared" si="6"/>
        <v>24</v>
      </c>
      <c r="E60" s="271">
        <f>HLOOKUP(Overview!$R$8,Table3[#All],51,FALSE)</f>
        <v>0</v>
      </c>
      <c r="F60" s="69">
        <f>E60/4</f>
        <v>0</v>
      </c>
      <c r="G60" s="56"/>
      <c r="H60" s="272">
        <f>INDEX(Table3[],MATCH(A60,Table3[[#All],[Column18]],0)-1,MATCH($R$8,Table3[#Headers],0)+3)</f>
        <v>0</v>
      </c>
      <c r="I60" s="148" t="e">
        <f t="shared" si="4"/>
        <v>#DIV/0!</v>
      </c>
      <c r="J60" s="193"/>
      <c r="K60" s="283">
        <f>INDEX(Table3[],MATCH(A60,Table3[[#All],[Column18]],0)-1,MATCH($R$8,Table3[#Headers],0)+6)</f>
        <v>0</v>
      </c>
      <c r="L60" s="207" t="s">
        <v>3380</v>
      </c>
      <c r="M60" s="282">
        <f>INDEX(Table3[],MATCH(A60,Table3[[#All],[Column18]],0)-1,MATCH($R$8,Table3[#Headers],0)+8)</f>
        <v>0</v>
      </c>
      <c r="N60" s="139">
        <f>E60</f>
        <v>0</v>
      </c>
      <c r="O60" s="177"/>
    </row>
    <row r="61" spans="1:15" x14ac:dyDescent="0.25">
      <c r="A61" s="70" t="s">
        <v>4137</v>
      </c>
      <c r="B61" s="69">
        <v>16</v>
      </c>
      <c r="C61" s="69">
        <f>B61/8</f>
        <v>2</v>
      </c>
      <c r="D61" s="69">
        <f>SUM(B61-E61)</f>
        <v>16</v>
      </c>
      <c r="E61" s="271">
        <f>HLOOKUP(Overview!$R$8,Table3[#All],52,FALSE)</f>
        <v>0</v>
      </c>
      <c r="F61" s="69">
        <f>E61/8</f>
        <v>0</v>
      </c>
      <c r="G61" s="56"/>
      <c r="H61" s="272">
        <f>INDEX(Table3[],MATCH(A61,Table3[[#All],[Column18]],0)-1,MATCH($R$8,Table3[#Headers],0)+3)</f>
        <v>0</v>
      </c>
      <c r="I61" s="148" t="e">
        <f t="shared" si="4"/>
        <v>#DIV/0!</v>
      </c>
      <c r="J61" s="193"/>
      <c r="K61" s="283">
        <f>INDEX(Table3[],MATCH(A61,Table3[[#All],[Column18]],0)-1,MATCH($R$8,Table3[#Headers],0)+6)</f>
        <v>0</v>
      </c>
      <c r="L61" s="207" t="s">
        <v>3380</v>
      </c>
      <c r="M61" s="282">
        <f>INDEX(Table3[],MATCH(A61,Table3[[#All],[Column18]],0)-1,MATCH($R$8,Table3[#Headers],0)+8)</f>
        <v>0</v>
      </c>
      <c r="N61" s="139">
        <f>E61</f>
        <v>0</v>
      </c>
      <c r="O61" s="177"/>
    </row>
    <row r="62" spans="1:15" x14ac:dyDescent="0.25">
      <c r="A62" s="106" t="s">
        <v>3176</v>
      </c>
      <c r="B62" s="69">
        <v>24</v>
      </c>
      <c r="C62" s="69">
        <f>B62/4</f>
        <v>6</v>
      </c>
      <c r="D62" s="69">
        <f t="shared" si="6"/>
        <v>24</v>
      </c>
      <c r="E62" s="271">
        <f>HLOOKUP(Overview!$R$8,Table3[#All],53,FALSE)</f>
        <v>0</v>
      </c>
      <c r="F62" s="69">
        <f>E62/4</f>
        <v>0</v>
      </c>
      <c r="G62" s="107"/>
      <c r="H62" s="272">
        <f>INDEX(Table3[],MATCH(A62,Table3[[#All],[Column18]],0)-1,MATCH($R$8,Table3[#Headers],0)+3)</f>
        <v>0</v>
      </c>
      <c r="I62" s="148" t="e">
        <f t="shared" si="4"/>
        <v>#DIV/0!</v>
      </c>
      <c r="J62" s="193"/>
      <c r="K62" s="283">
        <f>INDEX(Table3[],MATCH(A62,Table3[[#All],[Column18]],0)-1,MATCH($R$8,Table3[#Headers],0)+6)</f>
        <v>0</v>
      </c>
      <c r="L62" s="207" t="s">
        <v>3380</v>
      </c>
      <c r="M62" s="282">
        <f>INDEX(Table3[],MATCH(A62,Table3[[#All],[Column18]],0)-1,MATCH($R$8,Table3[#Headers],0)+8)</f>
        <v>0</v>
      </c>
      <c r="N62" s="139">
        <f t="shared" si="5"/>
        <v>0</v>
      </c>
      <c r="O62" s="177"/>
    </row>
    <row r="63" spans="1:15" x14ac:dyDescent="0.25">
      <c r="A63" s="106" t="s">
        <v>3239</v>
      </c>
      <c r="B63" s="69">
        <v>24</v>
      </c>
      <c r="C63" s="69">
        <f>B63/15</f>
        <v>1.6</v>
      </c>
      <c r="D63" s="69">
        <f t="shared" si="6"/>
        <v>24</v>
      </c>
      <c r="E63" s="271">
        <f>HLOOKUP(Overview!$R$8,Table3[#All],54,FALSE)</f>
        <v>0</v>
      </c>
      <c r="F63" s="69">
        <f>E63/15</f>
        <v>0</v>
      </c>
      <c r="G63" s="107"/>
      <c r="H63" s="272">
        <f>INDEX(Table3[],MATCH(A63,Table3[[#All],[Column18]],0)-1,MATCH($R$8,Table3[#Headers],0)+3)</f>
        <v>0</v>
      </c>
      <c r="I63" s="148" t="e">
        <f t="shared" si="4"/>
        <v>#DIV/0!</v>
      </c>
      <c r="J63" s="193"/>
      <c r="K63" s="283">
        <f>INDEX(Table3[],MATCH(A63,Table3[[#All],[Column18]],0)-1,MATCH($R$8,Table3[#Headers],0)+6)</f>
        <v>0</v>
      </c>
      <c r="L63" s="207" t="s">
        <v>3380</v>
      </c>
      <c r="M63" s="282">
        <f>INDEX(Table3[],MATCH(A63,Table3[[#All],[Column18]],0)-1,MATCH($R$8,Table3[#Headers],0)+8)</f>
        <v>0</v>
      </c>
      <c r="N63" s="139">
        <f t="shared" si="5"/>
        <v>0</v>
      </c>
      <c r="O63" s="177"/>
    </row>
    <row r="64" spans="1:15" x14ac:dyDescent="0.25">
      <c r="A64" s="106" t="s">
        <v>3240</v>
      </c>
      <c r="B64" s="69">
        <v>18</v>
      </c>
      <c r="C64" s="69">
        <f>B64/12</f>
        <v>1.5</v>
      </c>
      <c r="D64" s="69">
        <f t="shared" si="6"/>
        <v>18</v>
      </c>
      <c r="E64" s="271">
        <f>HLOOKUP(Overview!$R$8,Table3[#All],55,FALSE)</f>
        <v>0</v>
      </c>
      <c r="F64" s="69">
        <f>E64/12</f>
        <v>0</v>
      </c>
      <c r="G64" s="107"/>
      <c r="H64" s="272">
        <f>INDEX(Table3[],MATCH(A64,Table3[[#All],[Column18]],0)-1,MATCH($R$8,Table3[#Headers],0)+3)</f>
        <v>0</v>
      </c>
      <c r="I64" s="148" t="e">
        <f t="shared" si="4"/>
        <v>#DIV/0!</v>
      </c>
      <c r="J64" s="193"/>
      <c r="K64" s="283">
        <f>INDEX(Table3[],MATCH(A64,Table3[[#All],[Column18]],0)-1,MATCH($R$8,Table3[#Headers],0)+6)</f>
        <v>0</v>
      </c>
      <c r="L64" s="207" t="s">
        <v>3380</v>
      </c>
      <c r="M64" s="282">
        <f>INDEX(Table3[],MATCH(A64,Table3[[#All],[Column18]],0)-1,MATCH($R$8,Table3[#Headers],0)+8)</f>
        <v>0</v>
      </c>
      <c r="N64" s="139">
        <f t="shared" si="5"/>
        <v>0</v>
      </c>
      <c r="O64" s="177"/>
    </row>
    <row r="65" spans="1:15" x14ac:dyDescent="0.25">
      <c r="A65" s="70" t="s">
        <v>3224</v>
      </c>
      <c r="B65" s="69">
        <v>24</v>
      </c>
      <c r="C65" s="69">
        <f>B65/24</f>
        <v>1</v>
      </c>
      <c r="D65" s="69">
        <f t="shared" si="6"/>
        <v>24</v>
      </c>
      <c r="E65" s="271">
        <f>HLOOKUP(Overview!$R$8,Table3[#All],56,FALSE)</f>
        <v>0</v>
      </c>
      <c r="F65" s="69">
        <f>E65/24</f>
        <v>0</v>
      </c>
      <c r="G65" s="72"/>
      <c r="H65" s="272">
        <f>INDEX(Table3[],MATCH(A65,Table3[[#All],[Column18]],0)-1,MATCH($R$8,Table3[#Headers],0)+3)</f>
        <v>0</v>
      </c>
      <c r="I65" s="148" t="e">
        <f t="shared" si="4"/>
        <v>#DIV/0!</v>
      </c>
      <c r="J65" s="193"/>
      <c r="K65" s="283">
        <f>INDEX(Table3[],MATCH(A65,Table3[[#All],[Column18]],0)-1,MATCH($R$8,Table3[#Headers],0)+6)</f>
        <v>0</v>
      </c>
      <c r="L65" s="207" t="s">
        <v>3380</v>
      </c>
      <c r="M65" s="282">
        <f>INDEX(Table3[],MATCH(A65,Table3[[#All],[Column18]],0)-1,MATCH($R$8,Table3[#Headers],0)+8)</f>
        <v>0</v>
      </c>
      <c r="N65" s="139">
        <f t="shared" si="5"/>
        <v>0</v>
      </c>
      <c r="O65" s="177"/>
    </row>
    <row r="66" spans="1:15" x14ac:dyDescent="0.25">
      <c r="A66" s="70" t="s">
        <v>3824</v>
      </c>
      <c r="B66" s="69">
        <v>18</v>
      </c>
      <c r="C66" s="69">
        <f>B66/12</f>
        <v>1.5</v>
      </c>
      <c r="D66" s="69">
        <f>SUM(B66-E66)</f>
        <v>18</v>
      </c>
      <c r="E66" s="271">
        <f>HLOOKUP(Overview!$R$8,Table3[#All],57,FALSE)</f>
        <v>0</v>
      </c>
      <c r="F66" s="69">
        <f>E66/12</f>
        <v>0</v>
      </c>
      <c r="G66" s="72"/>
      <c r="H66" s="272">
        <f>INDEX(Table3[],MATCH(A66,Table3[[#All],[Column18]],0)-1,MATCH($R$8,Table3[#Headers],0)+3)</f>
        <v>0</v>
      </c>
      <c r="I66" s="148" t="e">
        <f t="shared" si="4"/>
        <v>#DIV/0!</v>
      </c>
      <c r="J66" s="193"/>
      <c r="K66" s="283">
        <f>INDEX(Table3[],MATCH(A66,Table3[[#All],[Column18]],0)-1,MATCH($R$8,Table3[#Headers],0)+6)</f>
        <v>0</v>
      </c>
      <c r="L66" s="207" t="s">
        <v>3380</v>
      </c>
      <c r="M66" s="282">
        <f>INDEX(Table3[],MATCH(A66,Table3[[#All],[Column18]],0)-1,MATCH($R$8,Table3[#Headers],0)+8)</f>
        <v>0</v>
      </c>
      <c r="N66" s="139">
        <f>E66</f>
        <v>0</v>
      </c>
      <c r="O66" s="177"/>
    </row>
    <row r="67" spans="1:15" x14ac:dyDescent="0.25">
      <c r="A67" s="70" t="s">
        <v>3497</v>
      </c>
      <c r="B67" s="69">
        <v>24</v>
      </c>
      <c r="C67" s="69">
        <f>B67/12</f>
        <v>2</v>
      </c>
      <c r="D67" s="69">
        <f t="shared" si="6"/>
        <v>24</v>
      </c>
      <c r="E67" s="271">
        <f>HLOOKUP(Overview!$R$8,Table3[#All],58,FALSE)</f>
        <v>0</v>
      </c>
      <c r="F67" s="69">
        <f>E67/12</f>
        <v>0</v>
      </c>
      <c r="G67" s="72"/>
      <c r="H67" s="272">
        <f>INDEX(Table3[],MATCH(A67,Table3[[#All],[Column18]],0)-1,MATCH($R$8,Table3[#Headers],0)+3)</f>
        <v>0</v>
      </c>
      <c r="I67" s="148" t="e">
        <f t="shared" si="4"/>
        <v>#DIV/0!</v>
      </c>
      <c r="J67" s="193"/>
      <c r="K67" s="283">
        <f>INDEX(Table3[],MATCH(A67,Table3[[#All],[Column18]],0)-1,MATCH($R$8,Table3[#Headers],0)+6)</f>
        <v>0</v>
      </c>
      <c r="L67" s="207" t="s">
        <v>3380</v>
      </c>
      <c r="M67" s="282">
        <f>INDEX(Table3[],MATCH(A67,Table3[[#All],[Column18]],0)-1,MATCH($R$8,Table3[#Headers],0)+8)</f>
        <v>0</v>
      </c>
      <c r="N67" s="139">
        <f t="shared" si="5"/>
        <v>0</v>
      </c>
      <c r="O67" s="139"/>
    </row>
    <row r="68" spans="1:15" x14ac:dyDescent="0.25">
      <c r="A68" s="111" t="s">
        <v>3498</v>
      </c>
      <c r="B68" s="112">
        <v>48</v>
      </c>
      <c r="C68" s="69">
        <f>B68/6</f>
        <v>8</v>
      </c>
      <c r="D68" s="112">
        <f t="shared" si="6"/>
        <v>48</v>
      </c>
      <c r="E68" s="271">
        <f>HLOOKUP(Overview!$R$8,Table3[#All],59,FALSE)</f>
        <v>0</v>
      </c>
      <c r="F68" s="112">
        <f>E68/6</f>
        <v>0</v>
      </c>
      <c r="G68" s="72"/>
      <c r="H68" s="272">
        <f>INDEX(Table3[],MATCH(A68,Table3[[#All],[Column18]],0)-1,MATCH($R$8,Table3[#Headers],0)+3)</f>
        <v>0</v>
      </c>
      <c r="I68" s="148" t="e">
        <f t="shared" si="4"/>
        <v>#DIV/0!</v>
      </c>
      <c r="J68" s="193"/>
      <c r="K68" s="283">
        <f>INDEX(Table3[],MATCH(A68,Table3[[#All],[Column18]],0)-1,MATCH($R$8,Table3[#Headers],0)+6)</f>
        <v>0</v>
      </c>
      <c r="L68" s="207" t="s">
        <v>3380</v>
      </c>
      <c r="M68" s="282">
        <f>INDEX(Table3[],MATCH(A68,Table3[[#All],[Column18]],0)-1,MATCH($R$8,Table3[#Headers],0)+8)</f>
        <v>0</v>
      </c>
      <c r="N68" s="139">
        <f t="shared" si="5"/>
        <v>0</v>
      </c>
      <c r="O68" s="139"/>
    </row>
    <row r="69" spans="1:15" ht="5.0999999999999996" customHeight="1" x14ac:dyDescent="0.25">
      <c r="A69" s="213">
        <v>0</v>
      </c>
      <c r="B69" s="71"/>
      <c r="C69" s="71"/>
      <c r="D69" s="71"/>
      <c r="E69" s="71"/>
      <c r="F69" s="71"/>
      <c r="G69" s="56"/>
      <c r="H69" s="108"/>
      <c r="I69" s="202"/>
      <c r="J69" s="134"/>
      <c r="K69" s="283"/>
      <c r="L69" s="193"/>
      <c r="M69" s="282"/>
      <c r="N69" s="139">
        <f>N70</f>
        <v>1.8</v>
      </c>
      <c r="O69" s="140"/>
    </row>
    <row r="70" spans="1:15" ht="15.75" x14ac:dyDescent="0.25">
      <c r="A70" s="68" t="s">
        <v>3480</v>
      </c>
      <c r="B70" s="71"/>
      <c r="C70" s="71"/>
      <c r="D70" s="71"/>
      <c r="E70" s="71"/>
      <c r="F70" s="71"/>
      <c r="G70" s="56"/>
      <c r="H70" s="108"/>
      <c r="I70" s="203"/>
      <c r="J70" s="134"/>
      <c r="K70" s="283"/>
      <c r="L70" s="193"/>
      <c r="M70" s="282"/>
      <c r="N70" s="139">
        <f>AVERAGE(N71:N78)</f>
        <v>1.8</v>
      </c>
      <c r="O70" s="140"/>
    </row>
    <row r="71" spans="1:15" x14ac:dyDescent="0.25">
      <c r="A71" s="70" t="s">
        <v>3495</v>
      </c>
      <c r="B71" s="69">
        <v>24</v>
      </c>
      <c r="C71" s="69">
        <f>B71/12</f>
        <v>2</v>
      </c>
      <c r="D71" s="69">
        <f t="shared" ref="D71:D78" si="7">SUM(B71-E71)</f>
        <v>9.6</v>
      </c>
      <c r="E71" s="271">
        <v>14.4</v>
      </c>
      <c r="F71" s="69">
        <f>E71/12</f>
        <v>1.2</v>
      </c>
      <c r="G71" s="72"/>
      <c r="H71" s="272">
        <v>1.99</v>
      </c>
      <c r="I71" s="148">
        <f t="shared" ref="I71:I78" si="8">IF(K71&gt;0,((((((M71/K71)*($B$205)*K71)+(1-$B$205)*H71))/((K71*($B$205))+(1-$B$205)))-F71)/(((((M71/K71)*($B$205)*K71)+(1-$B$205)*H71))/((K71*($B$205))+(1-$B$205))),(H71-F71)/H71)</f>
        <v>0.39700000000000002</v>
      </c>
      <c r="J71" s="193"/>
      <c r="K71" s="283"/>
      <c r="L71" s="207" t="s">
        <v>3380</v>
      </c>
      <c r="M71" s="282"/>
      <c r="N71" s="139">
        <f t="shared" ref="N71:N78" si="9">E71</f>
        <v>14.4</v>
      </c>
      <c r="O71" s="139"/>
    </row>
    <row r="72" spans="1:15" x14ac:dyDescent="0.25">
      <c r="A72" s="111" t="s">
        <v>3649</v>
      </c>
      <c r="B72" s="112">
        <v>24</v>
      </c>
      <c r="C72" s="69">
        <f>B72/2</f>
        <v>12</v>
      </c>
      <c r="D72" s="112">
        <f t="shared" si="7"/>
        <v>24</v>
      </c>
      <c r="E72" s="271">
        <f>HLOOKUP(Overview!$R$8,Table3[#All],63,FALSE)</f>
        <v>0</v>
      </c>
      <c r="F72" s="112">
        <f>E72/2</f>
        <v>0</v>
      </c>
      <c r="G72" s="72"/>
      <c r="H72" s="272">
        <f>INDEX(Table3[],MATCH(A72,Table3[[#All],[Column18]],0)-1,MATCH($R$8,Table3[#Headers],0)+3)</f>
        <v>0</v>
      </c>
      <c r="I72" s="148" t="e">
        <f t="shared" si="8"/>
        <v>#DIV/0!</v>
      </c>
      <c r="J72" s="193"/>
      <c r="K72" s="283">
        <f>INDEX(Table3[],MATCH(A72,Table3[[#All],[Column18]],0)-1,MATCH($R$8,Table3[#Headers],0)+6)</f>
        <v>0</v>
      </c>
      <c r="L72" s="207" t="s">
        <v>3380</v>
      </c>
      <c r="M72" s="282">
        <f>INDEX(Table3[],MATCH(A72,Table3[[#All],[Column18]],0)-1,MATCH($R$8,Table3[#Headers],0)+8)</f>
        <v>0</v>
      </c>
      <c r="N72" s="139">
        <f t="shared" si="9"/>
        <v>0</v>
      </c>
      <c r="O72" s="139"/>
    </row>
    <row r="73" spans="1:15" x14ac:dyDescent="0.25">
      <c r="A73" s="70" t="s">
        <v>3859</v>
      </c>
      <c r="B73" s="69">
        <v>24</v>
      </c>
      <c r="C73" s="69">
        <f>B73/12</f>
        <v>2</v>
      </c>
      <c r="D73" s="69">
        <f>SUM(B73-E73)</f>
        <v>24</v>
      </c>
      <c r="E73" s="271">
        <f>HLOOKUP(Overview!$R$8,Table3[#All],64,FALSE)</f>
        <v>0</v>
      </c>
      <c r="F73" s="69">
        <f>E73/12</f>
        <v>0</v>
      </c>
      <c r="G73" s="72"/>
      <c r="H73" s="272">
        <f>INDEX(Table3[],MATCH(A73,Table3[[#All],[Column18]],0)-1,MATCH($R$8,Table3[#Headers],0)+3)</f>
        <v>0</v>
      </c>
      <c r="I73" s="148" t="e">
        <f t="shared" si="8"/>
        <v>#DIV/0!</v>
      </c>
      <c r="J73" s="193"/>
      <c r="K73" s="283">
        <f>INDEX(Table3[],MATCH(A73,Table3[[#All],[Column18]],0)-1,MATCH($R$8,Table3[#Headers],0)+6)</f>
        <v>0</v>
      </c>
      <c r="L73" s="207" t="s">
        <v>3380</v>
      </c>
      <c r="M73" s="282">
        <f>INDEX(Table3[],MATCH(A73,Table3[[#All],[Column18]],0)-1,MATCH($R$8,Table3[#Headers],0)+8)</f>
        <v>0</v>
      </c>
      <c r="N73" s="139">
        <f>E73</f>
        <v>0</v>
      </c>
      <c r="O73" s="139"/>
    </row>
    <row r="74" spans="1:15" x14ac:dyDescent="0.25">
      <c r="A74" s="70" t="s">
        <v>3200</v>
      </c>
      <c r="B74" s="69">
        <v>24</v>
      </c>
      <c r="C74" s="69">
        <f>B74/12</f>
        <v>2</v>
      </c>
      <c r="D74" s="69">
        <f t="shared" si="7"/>
        <v>24</v>
      </c>
      <c r="E74" s="271">
        <f>HLOOKUP(Overview!$R$8,Table3[#All],65,FALSE)</f>
        <v>0</v>
      </c>
      <c r="F74" s="69">
        <f>E74/12</f>
        <v>0</v>
      </c>
      <c r="G74" s="72"/>
      <c r="H74" s="272">
        <f>INDEX(Table3[],MATCH(A74,Table3[[#All],[Column18]],0)-1,MATCH($R$8,Table3[#Headers],0)+3)</f>
        <v>0</v>
      </c>
      <c r="I74" s="148" t="e">
        <f t="shared" si="8"/>
        <v>#DIV/0!</v>
      </c>
      <c r="J74" s="193"/>
      <c r="K74" s="283">
        <f>INDEX(Table3[],MATCH(A74,Table3[[#All],[Column18]],0)-1,MATCH($R$8,Table3[#Headers],0)+6)</f>
        <v>0</v>
      </c>
      <c r="L74" s="207" t="s">
        <v>3380</v>
      </c>
      <c r="M74" s="282">
        <f>INDEX(Table3[],MATCH(A74,Table3[[#All],[Column18]],0)-1,MATCH($R$8,Table3[#Headers],0)+8)</f>
        <v>0</v>
      </c>
      <c r="N74" s="139">
        <f t="shared" si="9"/>
        <v>0</v>
      </c>
      <c r="O74" s="139"/>
    </row>
    <row r="75" spans="1:15" x14ac:dyDescent="0.25">
      <c r="A75" s="70" t="s">
        <v>913</v>
      </c>
      <c r="B75" s="69">
        <v>26</v>
      </c>
      <c r="C75" s="69">
        <f>B75/12</f>
        <v>2.17</v>
      </c>
      <c r="D75" s="69">
        <f t="shared" si="7"/>
        <v>26</v>
      </c>
      <c r="E75" s="271">
        <f>HLOOKUP(Overview!$R$8,Table3[#All],66,FALSE)</f>
        <v>0</v>
      </c>
      <c r="F75" s="69">
        <f>E75/12</f>
        <v>0</v>
      </c>
      <c r="G75" s="56"/>
      <c r="H75" s="272">
        <f>INDEX(Table3[],MATCH(A75,Table3[[#All],[Column18]],0)-1,MATCH($R$8,Table3[#Headers],0)+3)</f>
        <v>0</v>
      </c>
      <c r="I75" s="148" t="e">
        <f t="shared" si="8"/>
        <v>#DIV/0!</v>
      </c>
      <c r="J75" s="193"/>
      <c r="K75" s="283">
        <f>INDEX(Table3[],MATCH(A75,Table3[[#All],[Column18]],0)-1,MATCH($R$8,Table3[#Headers],0)+6)</f>
        <v>0</v>
      </c>
      <c r="L75" s="207" t="s">
        <v>3380</v>
      </c>
      <c r="M75" s="282">
        <f>INDEX(Table3[],MATCH(A75,Table3[[#All],[Column18]],0)-1,MATCH($R$8,Table3[#Headers],0)+8)</f>
        <v>0</v>
      </c>
      <c r="N75" s="139">
        <f t="shared" si="9"/>
        <v>0</v>
      </c>
      <c r="O75" s="139"/>
    </row>
    <row r="76" spans="1:15" x14ac:dyDescent="0.25">
      <c r="A76" s="70" t="s">
        <v>912</v>
      </c>
      <c r="B76" s="69">
        <v>18</v>
      </c>
      <c r="C76" s="69">
        <f>B76/12</f>
        <v>1.5</v>
      </c>
      <c r="D76" s="69">
        <f t="shared" si="7"/>
        <v>18</v>
      </c>
      <c r="E76" s="271">
        <f>HLOOKUP(Overview!$R$8,Table3[#All],67,FALSE)</f>
        <v>0</v>
      </c>
      <c r="F76" s="69">
        <f>E76/12</f>
        <v>0</v>
      </c>
      <c r="G76" s="72"/>
      <c r="H76" s="272">
        <f>INDEX(Table3[],MATCH(A76,Table3[[#All],[Column18]],0)-1,MATCH($R$8,Table3[#Headers],0)+3)</f>
        <v>0</v>
      </c>
      <c r="I76" s="148" t="e">
        <f t="shared" si="8"/>
        <v>#DIV/0!</v>
      </c>
      <c r="J76" s="193"/>
      <c r="K76" s="283">
        <f>INDEX(Table3[],MATCH(A76,Table3[[#All],[Column18]],0)-1,MATCH($R$8,Table3[#Headers],0)+6)</f>
        <v>0</v>
      </c>
      <c r="L76" s="207" t="s">
        <v>3380</v>
      </c>
      <c r="M76" s="282">
        <f>INDEX(Table3[],MATCH(A76,Table3[[#All],[Column18]],0)-1,MATCH($R$8,Table3[#Headers],0)+8)</f>
        <v>0</v>
      </c>
      <c r="N76" s="139">
        <f t="shared" si="9"/>
        <v>0</v>
      </c>
      <c r="O76" s="139"/>
    </row>
    <row r="77" spans="1:15" x14ac:dyDescent="0.25">
      <c r="A77" s="106" t="s">
        <v>3163</v>
      </c>
      <c r="B77" s="69">
        <v>17.5</v>
      </c>
      <c r="C77" s="69">
        <f>B77/24</f>
        <v>0.73</v>
      </c>
      <c r="D77" s="69">
        <f t="shared" si="7"/>
        <v>17.5</v>
      </c>
      <c r="E77" s="271">
        <f>HLOOKUP(Overview!$R$8,Table3[#All],68,FALSE)</f>
        <v>0</v>
      </c>
      <c r="F77" s="69">
        <f>E77/24</f>
        <v>0</v>
      </c>
      <c r="G77" s="107"/>
      <c r="H77" s="272">
        <f>INDEX(Table3[],MATCH(A77,Table3[[#All],[Column18]],0)-1,MATCH($R$8,Table3[#Headers],0)+3)</f>
        <v>0</v>
      </c>
      <c r="I77" s="148" t="e">
        <f t="shared" si="8"/>
        <v>#DIV/0!</v>
      </c>
      <c r="J77" s="193"/>
      <c r="K77" s="283">
        <f>INDEX(Table3[],MATCH(A77,Table3[[#All],[Column18]],0)-1,MATCH($R$8,Table3[#Headers],0)+6)</f>
        <v>0</v>
      </c>
      <c r="L77" s="207" t="s">
        <v>3380</v>
      </c>
      <c r="M77" s="282">
        <f>INDEX(Table3[],MATCH(A77,Table3[[#All],[Column18]],0)-1,MATCH($R$8,Table3[#Headers],0)+8)</f>
        <v>0</v>
      </c>
      <c r="N77" s="139">
        <f t="shared" si="9"/>
        <v>0</v>
      </c>
      <c r="O77" s="177"/>
    </row>
    <row r="78" spans="1:15" x14ac:dyDescent="0.25">
      <c r="A78" s="106" t="s">
        <v>3164</v>
      </c>
      <c r="B78" s="69">
        <v>26</v>
      </c>
      <c r="C78" s="69">
        <f>B78/24</f>
        <v>1.08</v>
      </c>
      <c r="D78" s="69">
        <f t="shared" si="7"/>
        <v>26</v>
      </c>
      <c r="E78" s="271">
        <f>HLOOKUP(Overview!$R$8,Table3[#All],69,FALSE)</f>
        <v>0</v>
      </c>
      <c r="F78" s="69">
        <f>E78/24</f>
        <v>0</v>
      </c>
      <c r="G78" s="107"/>
      <c r="H78" s="272">
        <f>INDEX(Table3[],MATCH(A78,Table3[[#All],[Column18]],0)-1,MATCH($R$8,Table3[#Headers],0)+3)</f>
        <v>0</v>
      </c>
      <c r="I78" s="148" t="e">
        <f t="shared" si="8"/>
        <v>#DIV/0!</v>
      </c>
      <c r="J78" s="193"/>
      <c r="K78" s="283">
        <f>INDEX(Table3[],MATCH(A78,Table3[[#All],[Column18]],0)-1,MATCH($R$8,Table3[#Headers],0)+6)</f>
        <v>0</v>
      </c>
      <c r="L78" s="207" t="s">
        <v>3380</v>
      </c>
      <c r="M78" s="282">
        <f>INDEX(Table3[],MATCH(A78,Table3[[#All],[Column18]],0)-1,MATCH($R$8,Table3[#Headers],0)+8)</f>
        <v>0</v>
      </c>
      <c r="N78" s="139">
        <f t="shared" si="9"/>
        <v>0</v>
      </c>
      <c r="O78" s="177"/>
    </row>
    <row r="79" spans="1:15" ht="5.0999999999999996" customHeight="1" x14ac:dyDescent="0.25">
      <c r="A79" s="213">
        <v>0</v>
      </c>
      <c r="B79" s="71"/>
      <c r="C79" s="71"/>
      <c r="D79" s="71"/>
      <c r="E79" s="71"/>
      <c r="F79" s="71"/>
      <c r="G79" s="56"/>
      <c r="H79" s="108"/>
      <c r="I79" s="193"/>
      <c r="J79" s="134"/>
      <c r="K79" s="283"/>
      <c r="L79" s="193"/>
      <c r="M79" s="282"/>
      <c r="N79" s="139">
        <f>N80</f>
        <v>0</v>
      </c>
      <c r="O79" s="140"/>
    </row>
    <row r="80" spans="1:15" ht="15.75" x14ac:dyDescent="0.25">
      <c r="A80" s="68" t="s">
        <v>957</v>
      </c>
      <c r="B80" s="71"/>
      <c r="C80" s="71"/>
      <c r="D80" s="71"/>
      <c r="E80" s="71"/>
      <c r="F80" s="71"/>
      <c r="G80" s="56"/>
      <c r="H80" s="108"/>
      <c r="I80" s="203"/>
      <c r="J80" s="134"/>
      <c r="K80" s="283"/>
      <c r="L80" s="193"/>
      <c r="M80" s="282"/>
      <c r="N80" s="139">
        <f>AVERAGE(N81:N116)</f>
        <v>0</v>
      </c>
      <c r="O80" s="140"/>
    </row>
    <row r="81" spans="1:15" x14ac:dyDescent="0.25">
      <c r="A81" s="70" t="s">
        <v>3496</v>
      </c>
      <c r="B81" s="69">
        <v>24</v>
      </c>
      <c r="C81" s="69">
        <f>B81/12</f>
        <v>2</v>
      </c>
      <c r="D81" s="69">
        <f>SUM(B81-E81)</f>
        <v>24</v>
      </c>
      <c r="E81" s="271">
        <f>HLOOKUP(Overview!$R$8,Table3[#All],72,FALSE)</f>
        <v>0</v>
      </c>
      <c r="F81" s="69">
        <f>E81/12</f>
        <v>0</v>
      </c>
      <c r="G81" s="72"/>
      <c r="H81" s="272">
        <f>INDEX(Table3[],MATCH(A81,Table3[[#All],[Column18]],0)-1,MATCH($R$8,Table3[#Headers],0)+3)</f>
        <v>0</v>
      </c>
      <c r="I81" s="148" t="e">
        <f t="shared" ref="I81:I116" si="10">IF(K81&gt;0,((((((M81/K81)*($B$205)*K81)+(1-$B$205)*H81))/((K81*($B$205))+(1-$B$205)))-F81)/(((((M81/K81)*($B$205)*K81)+(1-$B$205)*H81))/((K81*($B$205))+(1-$B$205))),(H81-F81)/H81)</f>
        <v>#DIV/0!</v>
      </c>
      <c r="J81" s="193"/>
      <c r="K81" s="283">
        <f>INDEX(Table3[],MATCH(A81,Table3[[#All],[Column18]],0)-1,MATCH($R$8,Table3[#Headers],0)+6)</f>
        <v>0</v>
      </c>
      <c r="L81" s="207" t="s">
        <v>3380</v>
      </c>
      <c r="M81" s="282">
        <f>INDEX(Table3[],MATCH(A81,Table3[[#All],[Column18]],0)-1,MATCH($R$8,Table3[#Headers],0)+8)</f>
        <v>0</v>
      </c>
      <c r="N81" s="139">
        <f t="shared" ref="N81:N116" si="11">E81</f>
        <v>0</v>
      </c>
      <c r="O81" s="139"/>
    </row>
    <row r="82" spans="1:15" x14ac:dyDescent="0.25">
      <c r="A82" s="70" t="s">
        <v>3185</v>
      </c>
      <c r="B82" s="69">
        <v>18</v>
      </c>
      <c r="C82" s="69">
        <f>B82/12</f>
        <v>1.5</v>
      </c>
      <c r="D82" s="69">
        <f>B82-E82</f>
        <v>18</v>
      </c>
      <c r="E82" s="271">
        <f>HLOOKUP(Overview!$R$8,Table3[#All],73,FALSE)</f>
        <v>0</v>
      </c>
      <c r="F82" s="69">
        <f>E82/12</f>
        <v>0</v>
      </c>
      <c r="G82" s="72"/>
      <c r="H82" s="272">
        <f>INDEX(Table3[],MATCH(A82,Table3[[#All],[Column18]],0)-1,MATCH($R$8,Table3[#Headers],0)+3)</f>
        <v>0</v>
      </c>
      <c r="I82" s="148" t="e">
        <f t="shared" si="10"/>
        <v>#DIV/0!</v>
      </c>
      <c r="J82" s="193"/>
      <c r="K82" s="283">
        <f>INDEX(Table3[],MATCH(A82,Table3[[#All],[Column18]],0)-1,MATCH($R$8,Table3[#Headers],0)+6)</f>
        <v>0</v>
      </c>
      <c r="L82" s="207" t="s">
        <v>3380</v>
      </c>
      <c r="M82" s="282">
        <f>INDEX(Table3[],MATCH(A82,Table3[[#All],[Column18]],0)-1,MATCH($R$8,Table3[#Headers],0)+8)</f>
        <v>0</v>
      </c>
      <c r="N82" s="139">
        <f t="shared" si="11"/>
        <v>0</v>
      </c>
      <c r="O82" s="139"/>
    </row>
    <row r="83" spans="1:15" x14ac:dyDescent="0.25">
      <c r="A83" s="70" t="s">
        <v>3186</v>
      </c>
      <c r="B83" s="69">
        <v>30</v>
      </c>
      <c r="C83" s="69">
        <f>B83/4</f>
        <v>7.5</v>
      </c>
      <c r="D83" s="69">
        <f>B83-E83</f>
        <v>30</v>
      </c>
      <c r="E83" s="271">
        <f>HLOOKUP(Overview!$R$8,Table3[#All],74,FALSE)</f>
        <v>0</v>
      </c>
      <c r="F83" s="69">
        <f>E83/4</f>
        <v>0</v>
      </c>
      <c r="G83" s="72"/>
      <c r="H83" s="272">
        <f>INDEX(Table3[],MATCH(A83,Table3[[#All],[Column18]],0)-1,MATCH($R$8,Table3[#Headers],0)+3)</f>
        <v>0</v>
      </c>
      <c r="I83" s="148" t="e">
        <f t="shared" si="10"/>
        <v>#DIV/0!</v>
      </c>
      <c r="J83" s="193"/>
      <c r="K83" s="283">
        <f>INDEX(Table3[],MATCH(A83,Table3[[#All],[Column18]],0)-1,MATCH($R$8,Table3[#Headers],0)+6)</f>
        <v>0</v>
      </c>
      <c r="L83" s="207" t="s">
        <v>3380</v>
      </c>
      <c r="M83" s="282">
        <f>INDEX(Table3[],MATCH(A83,Table3[[#All],[Column18]],0)-1,MATCH($R$8,Table3[#Headers],0)+8)</f>
        <v>0</v>
      </c>
      <c r="N83" s="139">
        <f t="shared" si="11"/>
        <v>0</v>
      </c>
      <c r="O83" s="139"/>
    </row>
    <row r="84" spans="1:15" x14ac:dyDescent="0.25">
      <c r="A84" s="70" t="s">
        <v>3187</v>
      </c>
      <c r="B84" s="69">
        <v>24</v>
      </c>
      <c r="C84" s="69">
        <f>B84/8</f>
        <v>3</v>
      </c>
      <c r="D84" s="69">
        <f>B84-E84</f>
        <v>24</v>
      </c>
      <c r="E84" s="271">
        <f>HLOOKUP(Overview!$R$8,Table3[#All],75,FALSE)</f>
        <v>0</v>
      </c>
      <c r="F84" s="69">
        <f>E84/8</f>
        <v>0</v>
      </c>
      <c r="G84" s="72"/>
      <c r="H84" s="272">
        <f>INDEX(Table3[],MATCH(A84,Table3[[#All],[Column18]],0)-1,MATCH($R$8,Table3[#Headers],0)+3)</f>
        <v>0</v>
      </c>
      <c r="I84" s="148" t="e">
        <f t="shared" si="10"/>
        <v>#DIV/0!</v>
      </c>
      <c r="J84" s="194"/>
      <c r="K84" s="283">
        <f>INDEX(Table3[],MATCH(A84,Table3[[#All],[Column18]],0)-1,MATCH($R$8,Table3[#Headers],0)+6)</f>
        <v>0</v>
      </c>
      <c r="L84" s="207" t="s">
        <v>3380</v>
      </c>
      <c r="M84" s="282">
        <f>INDEX(Table3[],MATCH(A84,Table3[[#All],[Column18]],0)-1,MATCH($R$8,Table3[#Headers],0)+8)</f>
        <v>0</v>
      </c>
      <c r="N84" s="139">
        <f t="shared" si="11"/>
        <v>0</v>
      </c>
      <c r="O84" s="139"/>
    </row>
    <row r="85" spans="1:15" x14ac:dyDescent="0.25">
      <c r="A85" s="70" t="s">
        <v>3192</v>
      </c>
      <c r="B85" s="69">
        <v>14</v>
      </c>
      <c r="C85" s="69">
        <f>B85/24</f>
        <v>0.57999999999999996</v>
      </c>
      <c r="D85" s="69">
        <f t="shared" ref="D85:D93" si="12">SUM(B85-E85)</f>
        <v>14</v>
      </c>
      <c r="E85" s="271">
        <f>HLOOKUP(Overview!$R$8,Table3[#All],76,FALSE)</f>
        <v>0</v>
      </c>
      <c r="F85" s="69">
        <f>E85/24</f>
        <v>0</v>
      </c>
      <c r="G85" s="72"/>
      <c r="H85" s="272">
        <f>INDEX(Table3[],MATCH(A85,Table3[[#All],[Column18]],0)-1,MATCH($R$8,Table3[#Headers],0)+3)</f>
        <v>0</v>
      </c>
      <c r="I85" s="148" t="e">
        <f t="shared" si="10"/>
        <v>#DIV/0!</v>
      </c>
      <c r="J85" s="193"/>
      <c r="K85" s="283">
        <f>INDEX(Table3[],MATCH(A85,Table3[[#All],[Column18]],0)-1,MATCH($R$8,Table3[#Headers],0)+6)</f>
        <v>0</v>
      </c>
      <c r="L85" s="207" t="s">
        <v>3380</v>
      </c>
      <c r="M85" s="282">
        <f>INDEX(Table3[],MATCH(A85,Table3[[#All],[Column18]],0)-1,MATCH($R$8,Table3[#Headers],0)+8)</f>
        <v>0</v>
      </c>
      <c r="N85" s="139">
        <f t="shared" si="11"/>
        <v>0</v>
      </c>
      <c r="O85" s="139"/>
    </row>
    <row r="86" spans="1:15" x14ac:dyDescent="0.25">
      <c r="A86" s="70" t="s">
        <v>3193</v>
      </c>
      <c r="B86" s="69">
        <v>13.75</v>
      </c>
      <c r="C86" s="69">
        <f>B86/4</f>
        <v>3.44</v>
      </c>
      <c r="D86" s="69">
        <f t="shared" si="12"/>
        <v>13.75</v>
      </c>
      <c r="E86" s="271">
        <f>HLOOKUP(Overview!$R$8,Table3[#All],77,FALSE)</f>
        <v>0</v>
      </c>
      <c r="F86" s="69">
        <f>E86/4</f>
        <v>0</v>
      </c>
      <c r="G86" s="72"/>
      <c r="H86" s="272">
        <f>INDEX(Table3[],MATCH(A86,Table3[[#All],[Column18]],0)-1,MATCH($R$8,Table3[#Headers],0)+3)</f>
        <v>0</v>
      </c>
      <c r="I86" s="148" t="e">
        <f t="shared" si="10"/>
        <v>#DIV/0!</v>
      </c>
      <c r="J86" s="193"/>
      <c r="K86" s="283">
        <f>INDEX(Table3[],MATCH(A86,Table3[[#All],[Column18]],0)-1,MATCH($R$8,Table3[#Headers],0)+6)</f>
        <v>0</v>
      </c>
      <c r="L86" s="207" t="s">
        <v>3380</v>
      </c>
      <c r="M86" s="282">
        <f>INDEX(Table3[],MATCH(A86,Table3[[#All],[Column18]],0)-1,MATCH($R$8,Table3[#Headers],0)+8)</f>
        <v>0</v>
      </c>
      <c r="N86" s="139">
        <f t="shared" si="11"/>
        <v>0</v>
      </c>
      <c r="O86" s="139"/>
    </row>
    <row r="87" spans="1:15" x14ac:dyDescent="0.25">
      <c r="A87" s="70" t="s">
        <v>902</v>
      </c>
      <c r="B87" s="69">
        <v>15</v>
      </c>
      <c r="C87" s="69">
        <f>B87/12</f>
        <v>1.25</v>
      </c>
      <c r="D87" s="69">
        <f t="shared" si="12"/>
        <v>15</v>
      </c>
      <c r="E87" s="271">
        <f>HLOOKUP(Overview!$R$8,Table3[#All],78,FALSE)</f>
        <v>0</v>
      </c>
      <c r="F87" s="69">
        <f>E87/12</f>
        <v>0</v>
      </c>
      <c r="G87" s="72"/>
      <c r="H87" s="272">
        <f>INDEX(Table3[],MATCH(A87,Table3[[#All],[Column18]],0)-1,MATCH($R$8,Table3[#Headers],0)+3)</f>
        <v>0</v>
      </c>
      <c r="I87" s="148" t="e">
        <f t="shared" si="10"/>
        <v>#DIV/0!</v>
      </c>
      <c r="J87" s="193"/>
      <c r="K87" s="283">
        <f>INDEX(Table3[],MATCH(A87,Table3[[#All],[Column18]],0)-1,MATCH($R$8,Table3[#Headers],0)+6)</f>
        <v>0</v>
      </c>
      <c r="L87" s="207" t="s">
        <v>3380</v>
      </c>
      <c r="M87" s="282">
        <f>INDEX(Table3[],MATCH(A87,Table3[[#All],[Column18]],0)-1,MATCH($R$8,Table3[#Headers],0)+8)</f>
        <v>0</v>
      </c>
      <c r="N87" s="139">
        <f t="shared" si="11"/>
        <v>0</v>
      </c>
      <c r="O87" s="139"/>
    </row>
    <row r="88" spans="1:15" x14ac:dyDescent="0.25">
      <c r="A88" s="70" t="s">
        <v>3189</v>
      </c>
      <c r="B88" s="69">
        <v>30</v>
      </c>
      <c r="C88" s="69">
        <f>B88/24</f>
        <v>1.25</v>
      </c>
      <c r="D88" s="69">
        <f t="shared" si="12"/>
        <v>30</v>
      </c>
      <c r="E88" s="271">
        <f>HLOOKUP(Overview!$R$8,Table3[#All],79,FALSE)</f>
        <v>0</v>
      </c>
      <c r="F88" s="69">
        <f>E88/24</f>
        <v>0</v>
      </c>
      <c r="G88" s="72"/>
      <c r="H88" s="272">
        <f>INDEX(Table3[],MATCH(A88,Table3[[#All],[Column18]],0)-1,MATCH($R$8,Table3[#Headers],0)+3)</f>
        <v>0</v>
      </c>
      <c r="I88" s="148" t="e">
        <f t="shared" si="10"/>
        <v>#DIV/0!</v>
      </c>
      <c r="J88" s="193"/>
      <c r="K88" s="283">
        <f>INDEX(Table3[],MATCH(A88,Table3[[#All],[Column18]],0)-1,MATCH($R$8,Table3[#Headers],0)+6)</f>
        <v>0</v>
      </c>
      <c r="L88" s="207" t="s">
        <v>3380</v>
      </c>
      <c r="M88" s="282">
        <f>INDEX(Table3[],MATCH(A88,Table3[[#All],[Column18]],0)-1,MATCH($R$8,Table3[#Headers],0)+8)</f>
        <v>0</v>
      </c>
      <c r="N88" s="139">
        <f t="shared" si="11"/>
        <v>0</v>
      </c>
      <c r="O88" s="139"/>
    </row>
    <row r="89" spans="1:15" x14ac:dyDescent="0.25">
      <c r="A89" s="70" t="s">
        <v>3190</v>
      </c>
      <c r="B89" s="69">
        <v>30</v>
      </c>
      <c r="C89" s="69">
        <f>B89/4</f>
        <v>7.5</v>
      </c>
      <c r="D89" s="69">
        <f t="shared" si="12"/>
        <v>30</v>
      </c>
      <c r="E89" s="271">
        <f>HLOOKUP(Overview!$R$8,Table3[#All],80,FALSE)</f>
        <v>0</v>
      </c>
      <c r="F89" s="69">
        <f>E89/4</f>
        <v>0</v>
      </c>
      <c r="G89" s="72"/>
      <c r="H89" s="272">
        <f>INDEX(Table3[],MATCH(A89,Table3[[#All],[Column18]],0)-1,MATCH($R$8,Table3[#Headers],0)+3)</f>
        <v>0</v>
      </c>
      <c r="I89" s="148" t="e">
        <f t="shared" si="10"/>
        <v>#DIV/0!</v>
      </c>
      <c r="J89" s="193"/>
      <c r="K89" s="283">
        <f>INDEX(Table3[],MATCH(A89,Table3[[#All],[Column18]],0)-1,MATCH($R$8,Table3[#Headers],0)+6)</f>
        <v>0</v>
      </c>
      <c r="L89" s="207" t="s">
        <v>3380</v>
      </c>
      <c r="M89" s="282">
        <f>INDEX(Table3[],MATCH(A89,Table3[[#All],[Column18]],0)-1,MATCH($R$8,Table3[#Headers],0)+8)</f>
        <v>0</v>
      </c>
      <c r="N89" s="139">
        <f t="shared" si="11"/>
        <v>0</v>
      </c>
      <c r="O89" s="139"/>
    </row>
    <row r="90" spans="1:15" x14ac:dyDescent="0.25">
      <c r="A90" s="70" t="s">
        <v>3191</v>
      </c>
      <c r="B90" s="69">
        <v>30</v>
      </c>
      <c r="C90" s="69">
        <f>B90/2</f>
        <v>15</v>
      </c>
      <c r="D90" s="69">
        <f t="shared" si="12"/>
        <v>30</v>
      </c>
      <c r="E90" s="271">
        <f>HLOOKUP(Overview!$R$8,Table3[#All],81,FALSE)</f>
        <v>0</v>
      </c>
      <c r="F90" s="69">
        <f>E90/2</f>
        <v>0</v>
      </c>
      <c r="G90" s="72"/>
      <c r="H90" s="272">
        <f>INDEX(Table3[],MATCH(A90,Table3[[#All],[Column18]],0)-1,MATCH($R$8,Table3[#Headers],0)+3)</f>
        <v>0</v>
      </c>
      <c r="I90" s="148" t="e">
        <f t="shared" si="10"/>
        <v>#DIV/0!</v>
      </c>
      <c r="J90" s="193"/>
      <c r="K90" s="283">
        <f>INDEX(Table3[],MATCH(A90,Table3[[#All],[Column18]],0)-1,MATCH($R$8,Table3[#Headers],0)+6)</f>
        <v>0</v>
      </c>
      <c r="L90" s="207" t="s">
        <v>3380</v>
      </c>
      <c r="M90" s="282">
        <f>INDEX(Table3[],MATCH(A90,Table3[[#All],[Column18]],0)-1,MATCH($R$8,Table3[#Headers],0)+8)</f>
        <v>0</v>
      </c>
      <c r="N90" s="139">
        <f t="shared" si="11"/>
        <v>0</v>
      </c>
      <c r="O90" s="139"/>
    </row>
    <row r="91" spans="1:15" x14ac:dyDescent="0.25">
      <c r="A91" s="70" t="s">
        <v>3188</v>
      </c>
      <c r="B91" s="69">
        <v>30</v>
      </c>
      <c r="C91" s="69">
        <f>B91/24</f>
        <v>1.25</v>
      </c>
      <c r="D91" s="69">
        <f t="shared" si="12"/>
        <v>30</v>
      </c>
      <c r="E91" s="271">
        <f>HLOOKUP(Overview!$R$8,Table3[#All],82,FALSE)</f>
        <v>0</v>
      </c>
      <c r="F91" s="69">
        <f>E91/24</f>
        <v>0</v>
      </c>
      <c r="G91" s="72"/>
      <c r="H91" s="272">
        <f>INDEX(Table3[],MATCH(A91,Table3[[#All],[Column18]],0)-1,MATCH($R$8,Table3[#Headers],0)+3)</f>
        <v>0</v>
      </c>
      <c r="I91" s="148" t="e">
        <f t="shared" si="10"/>
        <v>#DIV/0!</v>
      </c>
      <c r="J91" s="193"/>
      <c r="K91" s="283">
        <f>INDEX(Table3[],MATCH(A91,Table3[[#All],[Column18]],0)-1,MATCH($R$8,Table3[#Headers],0)+6)</f>
        <v>0</v>
      </c>
      <c r="L91" s="207" t="s">
        <v>3380</v>
      </c>
      <c r="M91" s="282">
        <f>INDEX(Table3[],MATCH(A91,Table3[[#All],[Column18]],0)-1,MATCH($R$8,Table3[#Headers],0)+8)</f>
        <v>0</v>
      </c>
      <c r="N91" s="139">
        <f t="shared" si="11"/>
        <v>0</v>
      </c>
      <c r="O91" s="139"/>
    </row>
    <row r="92" spans="1:15" x14ac:dyDescent="0.25">
      <c r="A92" s="70" t="s">
        <v>903</v>
      </c>
      <c r="B92" s="69">
        <v>22</v>
      </c>
      <c r="C92" s="69">
        <f>B92/12</f>
        <v>1.83</v>
      </c>
      <c r="D92" s="69">
        <f t="shared" si="12"/>
        <v>22</v>
      </c>
      <c r="E92" s="271">
        <f>HLOOKUP(Overview!$R$8,Table3[#All],83,FALSE)</f>
        <v>0</v>
      </c>
      <c r="F92" s="69">
        <f>E92/12</f>
        <v>0</v>
      </c>
      <c r="G92" s="72"/>
      <c r="H92" s="272">
        <f>INDEX(Table3[],MATCH(A92,Table3[[#All],[Column18]],0)-1,MATCH($R$8,Table3[#Headers],0)+3)</f>
        <v>0</v>
      </c>
      <c r="I92" s="148" t="e">
        <f t="shared" si="10"/>
        <v>#DIV/0!</v>
      </c>
      <c r="J92" s="193"/>
      <c r="K92" s="283">
        <f>INDEX(Table3[],MATCH(A92,Table3[[#All],[Column18]],0)-1,MATCH($R$8,Table3[#Headers],0)+6)</f>
        <v>0</v>
      </c>
      <c r="L92" s="207" t="s">
        <v>3380</v>
      </c>
      <c r="M92" s="282">
        <f>INDEX(Table3[],MATCH(A92,Table3[[#All],[Column18]],0)-1,MATCH($R$8,Table3[#Headers],0)+8)</f>
        <v>0</v>
      </c>
      <c r="N92" s="139">
        <f t="shared" si="11"/>
        <v>0</v>
      </c>
      <c r="O92" s="139"/>
    </row>
    <row r="93" spans="1:15" x14ac:dyDescent="0.25">
      <c r="A93" s="70" t="s">
        <v>904</v>
      </c>
      <c r="B93" s="69">
        <v>24</v>
      </c>
      <c r="C93" s="69">
        <f>B93/8</f>
        <v>3</v>
      </c>
      <c r="D93" s="69">
        <f t="shared" si="12"/>
        <v>24</v>
      </c>
      <c r="E93" s="271">
        <f>HLOOKUP(Overview!$R$8,Table3[#All],84,FALSE)</f>
        <v>0</v>
      </c>
      <c r="F93" s="69">
        <f>E93/8</f>
        <v>0</v>
      </c>
      <c r="G93" s="72"/>
      <c r="H93" s="272">
        <f>INDEX(Table3[],MATCH(A93,Table3[[#All],[Column18]],0)-1,MATCH($R$8,Table3[#Headers],0)+3)</f>
        <v>0</v>
      </c>
      <c r="I93" s="148" t="e">
        <f t="shared" si="10"/>
        <v>#DIV/0!</v>
      </c>
      <c r="J93" s="193"/>
      <c r="K93" s="283">
        <f>INDEX(Table3[],MATCH(A93,Table3[[#All],[Column18]],0)-1,MATCH($R$8,Table3[#Headers],0)+6)</f>
        <v>0</v>
      </c>
      <c r="L93" s="207" t="s">
        <v>3380</v>
      </c>
      <c r="M93" s="282">
        <f>INDEX(Table3[],MATCH(A93,Table3[[#All],[Column18]],0)-1,MATCH($R$8,Table3[#Headers],0)+8)</f>
        <v>0</v>
      </c>
      <c r="N93" s="139">
        <f t="shared" si="11"/>
        <v>0</v>
      </c>
      <c r="O93" s="139"/>
    </row>
    <row r="94" spans="1:15" x14ac:dyDescent="0.25">
      <c r="A94" s="70" t="s">
        <v>3194</v>
      </c>
      <c r="B94" s="69">
        <v>21</v>
      </c>
      <c r="C94" s="69">
        <f>B94/24</f>
        <v>0.88</v>
      </c>
      <c r="D94" s="69">
        <f t="shared" ref="D94:D102" si="13">SUM(B94-E94)</f>
        <v>21</v>
      </c>
      <c r="E94" s="271">
        <f>HLOOKUP(Overview!$R$8,Table3[#All],85,FALSE)</f>
        <v>0</v>
      </c>
      <c r="F94" s="69">
        <f>E94/24</f>
        <v>0</v>
      </c>
      <c r="G94" s="72"/>
      <c r="H94" s="272">
        <f>INDEX(Table3[],MATCH(A94,Table3[[#All],[Column18]],0)-1,MATCH($R$8,Table3[#Headers],0)+3)</f>
        <v>0</v>
      </c>
      <c r="I94" s="148" t="e">
        <f t="shared" si="10"/>
        <v>#DIV/0!</v>
      </c>
      <c r="J94" s="193"/>
      <c r="K94" s="283">
        <f>INDEX(Table3[],MATCH(A94,Table3[[#All],[Column18]],0)-1,MATCH($R$8,Table3[#Headers],0)+6)</f>
        <v>0</v>
      </c>
      <c r="L94" s="207" t="s">
        <v>3380</v>
      </c>
      <c r="M94" s="282">
        <f>INDEX(Table3[],MATCH(A94,Table3[[#All],[Column18]],0)-1,MATCH($R$8,Table3[#Headers],0)+8)</f>
        <v>0</v>
      </c>
      <c r="N94" s="139">
        <f t="shared" si="11"/>
        <v>0</v>
      </c>
      <c r="O94" s="139"/>
    </row>
    <row r="95" spans="1:15" x14ac:dyDescent="0.25">
      <c r="A95" s="70" t="s">
        <v>3258</v>
      </c>
      <c r="B95" s="69">
        <v>21</v>
      </c>
      <c r="C95" s="69">
        <f>B95/24</f>
        <v>0.88</v>
      </c>
      <c r="D95" s="69">
        <f t="shared" si="13"/>
        <v>21</v>
      </c>
      <c r="E95" s="271">
        <f>HLOOKUP(Overview!$R$8,Table3[#All],86,FALSE)</f>
        <v>0</v>
      </c>
      <c r="F95" s="69">
        <f>E95/24</f>
        <v>0</v>
      </c>
      <c r="G95" s="72"/>
      <c r="H95" s="272">
        <f>INDEX(Table3[],MATCH(A95,Table3[[#All],[Column18]],0)-1,MATCH($R$8,Table3[#Headers],0)+3)</f>
        <v>0</v>
      </c>
      <c r="I95" s="148" t="e">
        <f t="shared" si="10"/>
        <v>#DIV/0!</v>
      </c>
      <c r="J95" s="193"/>
      <c r="K95" s="283">
        <f>INDEX(Table3[],MATCH(A95,Table3[[#All],[Column18]],0)-1,MATCH($R$8,Table3[#Headers],0)+6)</f>
        <v>0</v>
      </c>
      <c r="L95" s="207" t="s">
        <v>3380</v>
      </c>
      <c r="M95" s="282">
        <f>INDEX(Table3[],MATCH(A95,Table3[[#All],[Column18]],0)-1,MATCH($R$8,Table3[#Headers],0)+8)</f>
        <v>0</v>
      </c>
      <c r="N95" s="139">
        <f t="shared" si="11"/>
        <v>0</v>
      </c>
      <c r="O95" s="139"/>
    </row>
    <row r="96" spans="1:15" x14ac:dyDescent="0.25">
      <c r="A96" s="70" t="s">
        <v>3259</v>
      </c>
      <c r="B96" s="69">
        <v>30</v>
      </c>
      <c r="C96" s="69">
        <f>B96/24</f>
        <v>1.25</v>
      </c>
      <c r="D96" s="69">
        <f t="shared" si="13"/>
        <v>30</v>
      </c>
      <c r="E96" s="271">
        <f>HLOOKUP(Overview!$R$8,Table3[#All],87,FALSE)</f>
        <v>0</v>
      </c>
      <c r="F96" s="69">
        <f>E96/24</f>
        <v>0</v>
      </c>
      <c r="G96" s="72"/>
      <c r="H96" s="272">
        <f>INDEX(Table3[],MATCH(A96,Table3[[#All],[Column18]],0)-1,MATCH($R$8,Table3[#Headers],0)+3)</f>
        <v>0</v>
      </c>
      <c r="I96" s="148" t="e">
        <f t="shared" si="10"/>
        <v>#DIV/0!</v>
      </c>
      <c r="J96" s="193"/>
      <c r="K96" s="283">
        <f>INDEX(Table3[],MATCH(A96,Table3[[#All],[Column18]],0)-1,MATCH($R$8,Table3[#Headers],0)+6)</f>
        <v>0</v>
      </c>
      <c r="L96" s="207" t="s">
        <v>3380</v>
      </c>
      <c r="M96" s="282">
        <f>INDEX(Table3[],MATCH(A96,Table3[[#All],[Column18]],0)-1,MATCH($R$8,Table3[#Headers],0)+8)</f>
        <v>0</v>
      </c>
      <c r="N96" s="139">
        <f t="shared" si="11"/>
        <v>0</v>
      </c>
      <c r="O96" s="139"/>
    </row>
    <row r="97" spans="1:15" x14ac:dyDescent="0.25">
      <c r="A97" s="70" t="s">
        <v>3195</v>
      </c>
      <c r="B97" s="69">
        <v>30</v>
      </c>
      <c r="C97" s="69">
        <f>B97/12</f>
        <v>2.5</v>
      </c>
      <c r="D97" s="69">
        <f t="shared" si="13"/>
        <v>30</v>
      </c>
      <c r="E97" s="271">
        <f>HLOOKUP(Overview!$R$8,Table3[#All],88,FALSE)</f>
        <v>0</v>
      </c>
      <c r="F97" s="69">
        <f>E97/12</f>
        <v>0</v>
      </c>
      <c r="G97" s="72"/>
      <c r="H97" s="272">
        <f>INDEX(Table3[],MATCH(A97,Table3[[#All],[Column18]],0)-1,MATCH($R$8,Table3[#Headers],0)+3)</f>
        <v>0</v>
      </c>
      <c r="I97" s="148" t="e">
        <f t="shared" si="10"/>
        <v>#DIV/0!</v>
      </c>
      <c r="J97" s="193"/>
      <c r="K97" s="283">
        <f>INDEX(Table3[],MATCH(A97,Table3[[#All],[Column18]],0)-1,MATCH($R$8,Table3[#Headers],0)+6)</f>
        <v>0</v>
      </c>
      <c r="L97" s="207" t="s">
        <v>3380</v>
      </c>
      <c r="M97" s="282">
        <f>INDEX(Table3[],MATCH(A97,Table3[[#All],[Column18]],0)-1,MATCH($R$8,Table3[#Headers],0)+8)</f>
        <v>0</v>
      </c>
      <c r="N97" s="139">
        <f t="shared" si="11"/>
        <v>0</v>
      </c>
      <c r="O97" s="139"/>
    </row>
    <row r="98" spans="1:15" x14ac:dyDescent="0.25">
      <c r="A98" s="70" t="s">
        <v>3196</v>
      </c>
      <c r="B98" s="69">
        <v>30</v>
      </c>
      <c r="C98" s="69">
        <f>B98/24</f>
        <v>1.25</v>
      </c>
      <c r="D98" s="69">
        <f t="shared" si="13"/>
        <v>30</v>
      </c>
      <c r="E98" s="271">
        <f>HLOOKUP(Overview!$R$8,Table3[#All],89,FALSE)</f>
        <v>0</v>
      </c>
      <c r="F98" s="69">
        <f>E98/24</f>
        <v>0</v>
      </c>
      <c r="G98" s="72"/>
      <c r="H98" s="272">
        <f>INDEX(Table3[],MATCH(A98,Table3[[#All],[Column18]],0)-1,MATCH($R$8,Table3[#Headers],0)+3)</f>
        <v>0</v>
      </c>
      <c r="I98" s="148" t="e">
        <f t="shared" si="10"/>
        <v>#DIV/0!</v>
      </c>
      <c r="J98" s="193"/>
      <c r="K98" s="283">
        <f>INDEX(Table3[],MATCH(A98,Table3[[#All],[Column18]],0)-1,MATCH($R$8,Table3[#Headers],0)+6)</f>
        <v>0</v>
      </c>
      <c r="L98" s="207" t="s">
        <v>3380</v>
      </c>
      <c r="M98" s="282">
        <f>INDEX(Table3[],MATCH(A98,Table3[[#All],[Column18]],0)-1,MATCH($R$8,Table3[#Headers],0)+8)</f>
        <v>0</v>
      </c>
      <c r="N98" s="139">
        <f t="shared" si="11"/>
        <v>0</v>
      </c>
      <c r="O98" s="139"/>
    </row>
    <row r="99" spans="1:15" x14ac:dyDescent="0.25">
      <c r="A99" s="70" t="s">
        <v>3197</v>
      </c>
      <c r="B99" s="69">
        <v>24</v>
      </c>
      <c r="C99" s="69">
        <f>B99/8</f>
        <v>3</v>
      </c>
      <c r="D99" s="69">
        <f t="shared" si="13"/>
        <v>24</v>
      </c>
      <c r="E99" s="271">
        <f>HLOOKUP(Overview!$R$8,Table3[#All],90,FALSE)</f>
        <v>0</v>
      </c>
      <c r="F99" s="69">
        <f>E99/8</f>
        <v>0</v>
      </c>
      <c r="G99" s="72"/>
      <c r="H99" s="272">
        <f>INDEX(Table3[],MATCH(A99,Table3[[#All],[Column18]],0)-1,MATCH($R$8,Table3[#Headers],0)+3)</f>
        <v>0</v>
      </c>
      <c r="I99" s="148" t="e">
        <f t="shared" si="10"/>
        <v>#DIV/0!</v>
      </c>
      <c r="J99" s="193"/>
      <c r="K99" s="283">
        <f>INDEX(Table3[],MATCH(A99,Table3[[#All],[Column18]],0)-1,MATCH($R$8,Table3[#Headers],0)+6)</f>
        <v>0</v>
      </c>
      <c r="L99" s="207" t="s">
        <v>3380</v>
      </c>
      <c r="M99" s="282">
        <f>INDEX(Table3[],MATCH(A99,Table3[[#All],[Column18]],0)-1,MATCH($R$8,Table3[#Headers],0)+8)</f>
        <v>0</v>
      </c>
      <c r="N99" s="139">
        <f t="shared" si="11"/>
        <v>0</v>
      </c>
      <c r="O99" s="139"/>
    </row>
    <row r="100" spans="1:15" x14ac:dyDescent="0.25">
      <c r="A100" s="70" t="s">
        <v>3237</v>
      </c>
      <c r="B100" s="69">
        <v>24</v>
      </c>
      <c r="C100" s="69">
        <f>B100/4</f>
        <v>6</v>
      </c>
      <c r="D100" s="69">
        <f t="shared" si="13"/>
        <v>24</v>
      </c>
      <c r="E100" s="271">
        <f>HLOOKUP(Overview!$R$8,Table3[#All],91,FALSE)</f>
        <v>0</v>
      </c>
      <c r="F100" s="69">
        <f>E100/4</f>
        <v>0</v>
      </c>
      <c r="G100" s="72"/>
      <c r="H100" s="272">
        <f>INDEX(Table3[],MATCH(A100,Table3[[#All],[Column18]],0)-1,MATCH($R$8,Table3[#Headers],0)+3)</f>
        <v>0</v>
      </c>
      <c r="I100" s="148" t="e">
        <f t="shared" si="10"/>
        <v>#DIV/0!</v>
      </c>
      <c r="J100" s="193"/>
      <c r="K100" s="283">
        <f>INDEX(Table3[],MATCH(A100,Table3[[#All],[Column18]],0)-1,MATCH($R$8,Table3[#Headers],0)+6)</f>
        <v>0</v>
      </c>
      <c r="L100" s="207" t="s">
        <v>3380</v>
      </c>
      <c r="M100" s="282">
        <f>INDEX(Table3[],MATCH(A100,Table3[[#All],[Column18]],0)-1,MATCH($R$8,Table3[#Headers],0)+8)</f>
        <v>0</v>
      </c>
      <c r="N100" s="139">
        <f t="shared" si="11"/>
        <v>0</v>
      </c>
      <c r="O100" s="139"/>
    </row>
    <row r="101" spans="1:15" x14ac:dyDescent="0.25">
      <c r="A101" s="70" t="s">
        <v>3198</v>
      </c>
      <c r="B101" s="69">
        <v>36</v>
      </c>
      <c r="C101" s="69">
        <f>B101/12</f>
        <v>3</v>
      </c>
      <c r="D101" s="69">
        <f t="shared" si="13"/>
        <v>36</v>
      </c>
      <c r="E101" s="271">
        <f>HLOOKUP(Overview!$R$8,Table3[#All],92,FALSE)</f>
        <v>0</v>
      </c>
      <c r="F101" s="69">
        <f>E101/12</f>
        <v>0</v>
      </c>
      <c r="G101" s="72"/>
      <c r="H101" s="272">
        <f>INDEX(Table3[],MATCH(A101,Table3[[#All],[Column18]],0)-1,MATCH($R$8,Table3[#Headers],0)+3)</f>
        <v>0</v>
      </c>
      <c r="I101" s="148" t="e">
        <f t="shared" si="10"/>
        <v>#DIV/0!</v>
      </c>
      <c r="J101" s="193"/>
      <c r="K101" s="283">
        <f>INDEX(Table3[],MATCH(A101,Table3[[#All],[Column18]],0)-1,MATCH($R$8,Table3[#Headers],0)+6)</f>
        <v>0</v>
      </c>
      <c r="L101" s="207" t="s">
        <v>3380</v>
      </c>
      <c r="M101" s="282">
        <f>INDEX(Table3[],MATCH(A101,Table3[[#All],[Column18]],0)-1,MATCH($R$8,Table3[#Headers],0)+8)</f>
        <v>0</v>
      </c>
      <c r="N101" s="139">
        <f t="shared" si="11"/>
        <v>0</v>
      </c>
      <c r="O101" s="139"/>
    </row>
    <row r="102" spans="1:15" x14ac:dyDescent="0.25">
      <c r="A102" s="70" t="s">
        <v>3199</v>
      </c>
      <c r="B102" s="69">
        <v>30</v>
      </c>
      <c r="C102" s="69">
        <f>B102/24</f>
        <v>1.25</v>
      </c>
      <c r="D102" s="69">
        <f t="shared" si="13"/>
        <v>30</v>
      </c>
      <c r="E102" s="271">
        <f>HLOOKUP(Overview!$R$8,Table3[#All],93,FALSE)</f>
        <v>0</v>
      </c>
      <c r="F102" s="69">
        <f>E102/24</f>
        <v>0</v>
      </c>
      <c r="G102" s="72"/>
      <c r="H102" s="272">
        <f>INDEX(Table3[],MATCH(A102,Table3[[#All],[Column18]],0)-1,MATCH($R$8,Table3[#Headers],0)+3)</f>
        <v>0</v>
      </c>
      <c r="I102" s="148" t="e">
        <f t="shared" si="10"/>
        <v>#DIV/0!</v>
      </c>
      <c r="J102" s="193"/>
      <c r="K102" s="283">
        <f>INDEX(Table3[],MATCH(A102,Table3[[#All],[Column18]],0)-1,MATCH($R$8,Table3[#Headers],0)+6)</f>
        <v>0</v>
      </c>
      <c r="L102" s="207" t="s">
        <v>3380</v>
      </c>
      <c r="M102" s="282">
        <f>INDEX(Table3[],MATCH(A102,Table3[[#All],[Column18]],0)-1,MATCH($R$8,Table3[#Headers],0)+8)</f>
        <v>0</v>
      </c>
      <c r="N102" s="139">
        <f t="shared" si="11"/>
        <v>0</v>
      </c>
      <c r="O102" s="139"/>
    </row>
    <row r="103" spans="1:15" x14ac:dyDescent="0.25">
      <c r="A103" s="70" t="s">
        <v>905</v>
      </c>
      <c r="B103" s="69">
        <v>16</v>
      </c>
      <c r="C103" s="69">
        <f>B103/12</f>
        <v>1.33</v>
      </c>
      <c r="D103" s="69">
        <f t="shared" ref="D103:D111" si="14">SUM(B103-E103)</f>
        <v>16</v>
      </c>
      <c r="E103" s="271">
        <f>HLOOKUP(Overview!$R$8,Table3[#All],94,FALSE)</f>
        <v>0</v>
      </c>
      <c r="F103" s="69">
        <f>E103/12</f>
        <v>0</v>
      </c>
      <c r="G103" s="72"/>
      <c r="H103" s="272">
        <f>INDEX(Table3[],MATCH(A103,Table3[[#All],[Column18]],0)-1,MATCH($R$8,Table3[#Headers],0)+3)</f>
        <v>0</v>
      </c>
      <c r="I103" s="148" t="e">
        <f t="shared" si="10"/>
        <v>#DIV/0!</v>
      </c>
      <c r="J103" s="193"/>
      <c r="K103" s="283">
        <f>INDEX(Table3[],MATCH(A103,Table3[[#All],[Column18]],0)-1,MATCH($R$8,Table3[#Headers],0)+6)</f>
        <v>0</v>
      </c>
      <c r="L103" s="207" t="s">
        <v>3380</v>
      </c>
      <c r="M103" s="282">
        <f>INDEX(Table3[],MATCH(A103,Table3[[#All],[Column18]],0)-1,MATCH($R$8,Table3[#Headers],0)+8)</f>
        <v>0</v>
      </c>
      <c r="N103" s="139">
        <f t="shared" si="11"/>
        <v>0</v>
      </c>
      <c r="O103" s="139"/>
    </row>
    <row r="104" spans="1:15" x14ac:dyDescent="0.25">
      <c r="A104" s="70" t="s">
        <v>3202</v>
      </c>
      <c r="B104" s="69">
        <v>14</v>
      </c>
      <c r="C104" s="69">
        <f>B104/24</f>
        <v>0.57999999999999996</v>
      </c>
      <c r="D104" s="69">
        <f t="shared" si="14"/>
        <v>14</v>
      </c>
      <c r="E104" s="271">
        <f>HLOOKUP(Overview!$R$8,Table3[#All],95,FALSE)</f>
        <v>0</v>
      </c>
      <c r="F104" s="69">
        <f>E104/24</f>
        <v>0</v>
      </c>
      <c r="G104" s="72"/>
      <c r="H104" s="272">
        <f>INDEX(Table3[],MATCH(A104,Table3[[#All],[Column18]],0)-1,MATCH($R$8,Table3[#Headers],0)+3)</f>
        <v>0</v>
      </c>
      <c r="I104" s="148" t="e">
        <f t="shared" si="10"/>
        <v>#DIV/0!</v>
      </c>
      <c r="J104" s="193"/>
      <c r="K104" s="283">
        <f>INDEX(Table3[],MATCH(A104,Table3[[#All],[Column18]],0)-1,MATCH($R$8,Table3[#Headers],0)+6)</f>
        <v>0</v>
      </c>
      <c r="L104" s="207" t="s">
        <v>3380</v>
      </c>
      <c r="M104" s="282">
        <f>INDEX(Table3[],MATCH(A104,Table3[[#All],[Column18]],0)-1,MATCH($R$8,Table3[#Headers],0)+8)</f>
        <v>0</v>
      </c>
      <c r="N104" s="139">
        <f t="shared" si="11"/>
        <v>0</v>
      </c>
      <c r="O104" s="139"/>
    </row>
    <row r="105" spans="1:15" x14ac:dyDescent="0.25">
      <c r="A105" s="70" t="s">
        <v>3702</v>
      </c>
      <c r="B105" s="69">
        <v>24</v>
      </c>
      <c r="C105" s="69">
        <f>B105/15</f>
        <v>1.6</v>
      </c>
      <c r="D105" s="69">
        <f t="shared" si="14"/>
        <v>24</v>
      </c>
      <c r="E105" s="271">
        <f>HLOOKUP(Overview!$R$8,Table3[#All],96,FALSE)</f>
        <v>0</v>
      </c>
      <c r="F105" s="69">
        <f>E105/15</f>
        <v>0</v>
      </c>
      <c r="G105" s="72"/>
      <c r="H105" s="272">
        <f>INDEX(Table3[],MATCH(A105,Table3[[#All],[Column18]],0)-1,MATCH($R$8,Table3[#Headers],0)+3)</f>
        <v>0</v>
      </c>
      <c r="I105" s="148" t="e">
        <f t="shared" si="10"/>
        <v>#DIV/0!</v>
      </c>
      <c r="J105" s="193"/>
      <c r="K105" s="283">
        <f>INDEX(Table3[],MATCH(A105,Table3[[#All],[Column18]],0)-1,MATCH($R$8,Table3[#Headers],0)+6)</f>
        <v>0</v>
      </c>
      <c r="L105" s="207" t="s">
        <v>3380</v>
      </c>
      <c r="M105" s="282">
        <f>INDEX(Table3[],MATCH(A105,Table3[[#All],[Column18]],0)-1,MATCH($R$8,Table3[#Headers],0)+8)</f>
        <v>0</v>
      </c>
      <c r="N105" s="139">
        <f t="shared" si="11"/>
        <v>0</v>
      </c>
      <c r="O105" s="139"/>
    </row>
    <row r="106" spans="1:15" x14ac:dyDescent="0.25">
      <c r="A106" s="70" t="s">
        <v>3201</v>
      </c>
      <c r="B106" s="69">
        <v>36</v>
      </c>
      <c r="C106" s="69">
        <f>B106/12</f>
        <v>3</v>
      </c>
      <c r="D106" s="69">
        <f t="shared" si="14"/>
        <v>36</v>
      </c>
      <c r="E106" s="271">
        <f>HLOOKUP(Overview!$R$8,Table3[#All],97,FALSE)</f>
        <v>0</v>
      </c>
      <c r="F106" s="69">
        <f>E106/12</f>
        <v>0</v>
      </c>
      <c r="G106" s="72"/>
      <c r="H106" s="272">
        <f>INDEX(Table3[],MATCH(A106,Table3[[#All],[Column18]],0)-1,MATCH($R$8,Table3[#Headers],0)+3)</f>
        <v>0</v>
      </c>
      <c r="I106" s="148" t="e">
        <f t="shared" si="10"/>
        <v>#DIV/0!</v>
      </c>
      <c r="J106" s="193"/>
      <c r="K106" s="283">
        <f>INDEX(Table3[],MATCH(A106,Table3[[#All],[Column18]],0)-1,MATCH($R$8,Table3[#Headers],0)+6)</f>
        <v>0</v>
      </c>
      <c r="L106" s="207" t="s">
        <v>3380</v>
      </c>
      <c r="M106" s="282">
        <f>INDEX(Table3[],MATCH(A106,Table3[[#All],[Column18]],0)-1,MATCH($R$8,Table3[#Headers],0)+8)</f>
        <v>0</v>
      </c>
      <c r="N106" s="139">
        <f t="shared" si="11"/>
        <v>0</v>
      </c>
      <c r="O106" s="139"/>
    </row>
    <row r="107" spans="1:15" x14ac:dyDescent="0.25">
      <c r="A107" s="70" t="s">
        <v>3206</v>
      </c>
      <c r="B107" s="69">
        <v>24</v>
      </c>
      <c r="C107" s="69">
        <f>B107/6</f>
        <v>4</v>
      </c>
      <c r="D107" s="69">
        <f>SUM(B107-E107)</f>
        <v>24</v>
      </c>
      <c r="E107" s="271">
        <f>HLOOKUP(Overview!$R$8,Table3[#All],98,FALSE)</f>
        <v>0</v>
      </c>
      <c r="F107" s="69">
        <f>E107/6</f>
        <v>0</v>
      </c>
      <c r="G107" s="72"/>
      <c r="H107" s="272">
        <f>INDEX(Table3[],MATCH(A107,Table3[[#All],[Column18]],0)-1,MATCH($R$8,Table3[#Headers],0)+3)</f>
        <v>0</v>
      </c>
      <c r="I107" s="148" t="e">
        <f t="shared" si="10"/>
        <v>#DIV/0!</v>
      </c>
      <c r="J107" s="193"/>
      <c r="K107" s="283">
        <f>INDEX(Table3[],MATCH(A107,Table3[[#All],[Column18]],0)-1,MATCH($R$8,Table3[#Headers],0)+6)</f>
        <v>0</v>
      </c>
      <c r="L107" s="207" t="s">
        <v>3380</v>
      </c>
      <c r="M107" s="282">
        <f>INDEX(Table3[],MATCH(A107,Table3[[#All],[Column18]],0)-1,MATCH($R$8,Table3[#Headers],0)+8)</f>
        <v>0</v>
      </c>
      <c r="N107" s="139">
        <f t="shared" si="11"/>
        <v>0</v>
      </c>
      <c r="O107" s="139"/>
    </row>
    <row r="108" spans="1:15" x14ac:dyDescent="0.25">
      <c r="A108" s="70" t="s">
        <v>3262</v>
      </c>
      <c r="B108" s="69">
        <v>17</v>
      </c>
      <c r="C108" s="69">
        <f>B108/4</f>
        <v>4.25</v>
      </c>
      <c r="D108" s="69">
        <f>SUM(B108-E108)</f>
        <v>17</v>
      </c>
      <c r="E108" s="271">
        <f>HLOOKUP(Overview!$R$8,Table3[#All],99,FALSE)</f>
        <v>0</v>
      </c>
      <c r="F108" s="69">
        <f>E108/4</f>
        <v>0</v>
      </c>
      <c r="G108" s="72"/>
      <c r="H108" s="272">
        <f>INDEX(Table3[],MATCH(A108,Table3[[#All],[Column18]],0)-1,MATCH($R$8,Table3[#Headers],0)+3)</f>
        <v>0</v>
      </c>
      <c r="I108" s="148" t="e">
        <f t="shared" si="10"/>
        <v>#DIV/0!</v>
      </c>
      <c r="J108" s="193"/>
      <c r="K108" s="283">
        <f>INDEX(Table3[],MATCH(A108,Table3[[#All],[Column18]],0)-1,MATCH($R$8,Table3[#Headers],0)+6)</f>
        <v>0</v>
      </c>
      <c r="L108" s="207" t="s">
        <v>3380</v>
      </c>
      <c r="M108" s="282">
        <f>INDEX(Table3[],MATCH(A108,Table3[[#All],[Column18]],0)-1,MATCH($R$8,Table3[#Headers],0)+8)</f>
        <v>0</v>
      </c>
      <c r="N108" s="139">
        <f t="shared" si="11"/>
        <v>0</v>
      </c>
      <c r="O108" s="139"/>
    </row>
    <row r="109" spans="1:15" x14ac:dyDescent="0.25">
      <c r="A109" s="70" t="s">
        <v>3203</v>
      </c>
      <c r="B109" s="69">
        <v>22.45</v>
      </c>
      <c r="C109" s="69">
        <f>B109/24</f>
        <v>0.94</v>
      </c>
      <c r="D109" s="69">
        <f t="shared" si="14"/>
        <v>22.45</v>
      </c>
      <c r="E109" s="271">
        <f>HLOOKUP(Overview!$R$8,Table3[#All],100,FALSE)</f>
        <v>0</v>
      </c>
      <c r="F109" s="69">
        <f>E109/24</f>
        <v>0</v>
      </c>
      <c r="G109" s="72"/>
      <c r="H109" s="272">
        <f>INDEX(Table3[],MATCH(A109,Table3[[#All],[Column18]],0)-1,MATCH($R$8,Table3[#Headers],0)+3)</f>
        <v>0</v>
      </c>
      <c r="I109" s="148" t="e">
        <f t="shared" si="10"/>
        <v>#DIV/0!</v>
      </c>
      <c r="J109" s="193"/>
      <c r="K109" s="283">
        <f>INDEX(Table3[],MATCH(A109,Table3[[#All],[Column18]],0)-1,MATCH($R$8,Table3[#Headers],0)+6)</f>
        <v>0</v>
      </c>
      <c r="L109" s="207" t="s">
        <v>3380</v>
      </c>
      <c r="M109" s="282">
        <f>INDEX(Table3[],MATCH(A109,Table3[[#All],[Column18]],0)-1,MATCH($R$8,Table3[#Headers],0)+8)</f>
        <v>0</v>
      </c>
      <c r="N109" s="139">
        <f t="shared" si="11"/>
        <v>0</v>
      </c>
      <c r="O109" s="139"/>
    </row>
    <row r="110" spans="1:15" x14ac:dyDescent="0.25">
      <c r="A110" s="70" t="s">
        <v>3204</v>
      </c>
      <c r="B110" s="69">
        <v>21</v>
      </c>
      <c r="C110" s="69">
        <f>B110/12</f>
        <v>1.75</v>
      </c>
      <c r="D110" s="69">
        <f t="shared" si="14"/>
        <v>21</v>
      </c>
      <c r="E110" s="271">
        <f>HLOOKUP(Overview!$R$8,Table3[#All],101,FALSE)</f>
        <v>0</v>
      </c>
      <c r="F110" s="69">
        <f>E110/12</f>
        <v>0</v>
      </c>
      <c r="G110" s="72"/>
      <c r="H110" s="272">
        <f>INDEX(Table3[],MATCH(A110,Table3[[#All],[Column18]],0)-1,MATCH($R$8,Table3[#Headers],0)+3)</f>
        <v>0</v>
      </c>
      <c r="I110" s="148" t="e">
        <f t="shared" si="10"/>
        <v>#DIV/0!</v>
      </c>
      <c r="J110" s="193"/>
      <c r="K110" s="283">
        <f>INDEX(Table3[],MATCH(A110,Table3[[#All],[Column18]],0)-1,MATCH($R$8,Table3[#Headers],0)+6)</f>
        <v>0</v>
      </c>
      <c r="L110" s="207" t="s">
        <v>3380</v>
      </c>
      <c r="M110" s="282">
        <f>INDEX(Table3[],MATCH(A110,Table3[[#All],[Column18]],0)-1,MATCH($R$8,Table3[#Headers],0)+8)</f>
        <v>0</v>
      </c>
      <c r="N110" s="139">
        <f t="shared" si="11"/>
        <v>0</v>
      </c>
      <c r="O110" s="139"/>
    </row>
    <row r="111" spans="1:15" x14ac:dyDescent="0.25">
      <c r="A111" s="70" t="s">
        <v>3205</v>
      </c>
      <c r="B111" s="69">
        <v>17.5</v>
      </c>
      <c r="C111" s="69">
        <f>B111/8</f>
        <v>2.19</v>
      </c>
      <c r="D111" s="69">
        <f t="shared" si="14"/>
        <v>17.5</v>
      </c>
      <c r="E111" s="271">
        <f>HLOOKUP(Overview!$R$8,Table3[#All],102,FALSE)</f>
        <v>0</v>
      </c>
      <c r="F111" s="69">
        <f>E111/8</f>
        <v>0</v>
      </c>
      <c r="G111" s="72"/>
      <c r="H111" s="272">
        <f>INDEX(Table3[],MATCH(A111,Table3[[#All],[Column18]],0)-1,MATCH($R$8,Table3[#Headers],0)+3)</f>
        <v>0</v>
      </c>
      <c r="I111" s="148" t="e">
        <f t="shared" si="10"/>
        <v>#DIV/0!</v>
      </c>
      <c r="J111" s="193"/>
      <c r="K111" s="283">
        <f>INDEX(Table3[],MATCH(A111,Table3[[#All],[Column18]],0)-1,MATCH($R$8,Table3[#Headers],0)+6)</f>
        <v>0</v>
      </c>
      <c r="L111" s="207" t="s">
        <v>3380</v>
      </c>
      <c r="M111" s="282">
        <f>INDEX(Table3[],MATCH(A111,Table3[[#All],[Column18]],0)-1,MATCH($R$8,Table3[#Headers],0)+8)</f>
        <v>0</v>
      </c>
      <c r="N111" s="139">
        <f t="shared" si="11"/>
        <v>0</v>
      </c>
      <c r="O111" s="139"/>
    </row>
    <row r="112" spans="1:15" x14ac:dyDescent="0.25">
      <c r="A112" s="70" t="s">
        <v>908</v>
      </c>
      <c r="B112" s="69">
        <v>13</v>
      </c>
      <c r="C112" s="69">
        <f>B112/4</f>
        <v>3.25</v>
      </c>
      <c r="D112" s="69">
        <f>SUM(B112-E112)</f>
        <v>13</v>
      </c>
      <c r="E112" s="271">
        <f>HLOOKUP(Overview!$R$8,Table3[#All],103,FALSE)</f>
        <v>0</v>
      </c>
      <c r="F112" s="69">
        <f>E112/4</f>
        <v>0</v>
      </c>
      <c r="G112" s="72"/>
      <c r="H112" s="272">
        <f>INDEX(Table3[],MATCH(A112,Table3[[#All],[Column18]],0)-1,MATCH($R$8,Table3[#Headers],0)+3)</f>
        <v>0</v>
      </c>
      <c r="I112" s="148" t="e">
        <f t="shared" si="10"/>
        <v>#DIV/0!</v>
      </c>
      <c r="J112" s="193"/>
      <c r="K112" s="283">
        <f>INDEX(Table3[],MATCH(A112,Table3[[#All],[Column18]],0)-1,MATCH($R$8,Table3[#Headers],0)+6)</f>
        <v>0</v>
      </c>
      <c r="L112" s="207" t="s">
        <v>3380</v>
      </c>
      <c r="M112" s="282">
        <f>INDEX(Table3[],MATCH(A112,Table3[[#All],[Column18]],0)-1,MATCH($R$8,Table3[#Headers],0)+8)</f>
        <v>0</v>
      </c>
      <c r="N112" s="139">
        <f t="shared" si="11"/>
        <v>0</v>
      </c>
      <c r="O112" s="139"/>
    </row>
    <row r="113" spans="1:15" x14ac:dyDescent="0.25">
      <c r="A113" s="70" t="s">
        <v>907</v>
      </c>
      <c r="B113" s="69">
        <v>20</v>
      </c>
      <c r="C113" s="69">
        <f>B113/12</f>
        <v>1.67</v>
      </c>
      <c r="D113" s="69">
        <f>SUM(B113-E113)</f>
        <v>20</v>
      </c>
      <c r="E113" s="271">
        <f>HLOOKUP(Overview!$R$8,Table3[#All],104,FALSE)</f>
        <v>0</v>
      </c>
      <c r="F113" s="69">
        <f>E113/12</f>
        <v>0</v>
      </c>
      <c r="G113" s="72"/>
      <c r="H113" s="272">
        <f>INDEX(Table3[],MATCH(A113,Table3[[#All],[Column18]],0)-1,MATCH($R$8,Table3[#Headers],0)+3)</f>
        <v>0</v>
      </c>
      <c r="I113" s="148" t="e">
        <f t="shared" si="10"/>
        <v>#DIV/0!</v>
      </c>
      <c r="J113" s="193"/>
      <c r="K113" s="283">
        <f>INDEX(Table3[],MATCH(A113,Table3[[#All],[Column18]],0)-1,MATCH($R$8,Table3[#Headers],0)+6)</f>
        <v>0</v>
      </c>
      <c r="L113" s="207" t="s">
        <v>3380</v>
      </c>
      <c r="M113" s="282">
        <f>INDEX(Table3[],MATCH(A113,Table3[[#All],[Column18]],0)-1,MATCH($R$8,Table3[#Headers],0)+8)</f>
        <v>0</v>
      </c>
      <c r="N113" s="139">
        <f t="shared" si="11"/>
        <v>0</v>
      </c>
      <c r="O113" s="139"/>
    </row>
    <row r="114" spans="1:15" x14ac:dyDescent="0.25">
      <c r="A114" s="70" t="s">
        <v>906</v>
      </c>
      <c r="B114" s="69">
        <v>20</v>
      </c>
      <c r="C114" s="69">
        <f>B114/12</f>
        <v>1.67</v>
      </c>
      <c r="D114" s="69">
        <f>SUM(B114-E114)</f>
        <v>20</v>
      </c>
      <c r="E114" s="271">
        <f>HLOOKUP(Overview!$R$8,Table3[#All],105,FALSE)</f>
        <v>0</v>
      </c>
      <c r="F114" s="69">
        <f>E114/12</f>
        <v>0</v>
      </c>
      <c r="G114" s="72"/>
      <c r="H114" s="272">
        <f>INDEX(Table3[],MATCH(A114,Table3[[#All],[Column18]],0)-1,MATCH($R$8,Table3[#Headers],0)+3)</f>
        <v>0</v>
      </c>
      <c r="I114" s="148" t="e">
        <f t="shared" si="10"/>
        <v>#DIV/0!</v>
      </c>
      <c r="J114" s="193"/>
      <c r="K114" s="283">
        <f>INDEX(Table3[],MATCH(A114,Table3[[#All],[Column18]],0)-1,MATCH($R$8,Table3[#Headers],0)+6)</f>
        <v>0</v>
      </c>
      <c r="L114" s="207" t="s">
        <v>3380</v>
      </c>
      <c r="M114" s="282">
        <f>INDEX(Table3[],MATCH(A114,Table3[[#All],[Column18]],0)-1,MATCH($R$8,Table3[#Headers],0)+8)</f>
        <v>0</v>
      </c>
      <c r="N114" s="139">
        <f t="shared" si="11"/>
        <v>0</v>
      </c>
      <c r="O114" s="139"/>
    </row>
    <row r="115" spans="1:15" x14ac:dyDescent="0.25">
      <c r="A115" s="70" t="s">
        <v>3207</v>
      </c>
      <c r="B115" s="69">
        <v>25.65</v>
      </c>
      <c r="C115" s="69">
        <f>B115/12</f>
        <v>2.14</v>
      </c>
      <c r="D115" s="69">
        <f>SUM(B115-E115)</f>
        <v>25.65</v>
      </c>
      <c r="E115" s="271">
        <f>HLOOKUP(Overview!$R$8,Table3[#All],106,FALSE)</f>
        <v>0</v>
      </c>
      <c r="F115" s="69">
        <f>E115/12</f>
        <v>0</v>
      </c>
      <c r="G115" s="72"/>
      <c r="H115" s="272">
        <f>INDEX(Table3[],MATCH(A115,Table3[[#All],[Column18]],0)-1,MATCH($R$8,Table3[#Headers],0)+3)</f>
        <v>0</v>
      </c>
      <c r="I115" s="148" t="e">
        <f t="shared" si="10"/>
        <v>#DIV/0!</v>
      </c>
      <c r="J115" s="193"/>
      <c r="K115" s="283">
        <f>INDEX(Table3[],MATCH(A115,Table3[[#All],[Column18]],0)-1,MATCH($R$8,Table3[#Headers],0)+6)</f>
        <v>0</v>
      </c>
      <c r="L115" s="207" t="s">
        <v>3380</v>
      </c>
      <c r="M115" s="282">
        <f>INDEX(Table3[],MATCH(A115,Table3[[#All],[Column18]],0)-1,MATCH($R$8,Table3[#Headers],0)+8)</f>
        <v>0</v>
      </c>
      <c r="N115" s="139">
        <f t="shared" si="11"/>
        <v>0</v>
      </c>
      <c r="O115" s="139"/>
    </row>
    <row r="116" spans="1:15" x14ac:dyDescent="0.25">
      <c r="A116" s="70" t="s">
        <v>3208</v>
      </c>
      <c r="B116" s="69">
        <v>40</v>
      </c>
      <c r="C116" s="69">
        <f>B116/8</f>
        <v>5</v>
      </c>
      <c r="D116" s="69">
        <f>SUM(B116-E116)</f>
        <v>40</v>
      </c>
      <c r="E116" s="271">
        <f>HLOOKUP(Overview!$R$8,Table3[#All],107,FALSE)</f>
        <v>0</v>
      </c>
      <c r="F116" s="69">
        <f>E116/8</f>
        <v>0</v>
      </c>
      <c r="G116" s="72"/>
      <c r="H116" s="272">
        <f>INDEX(Table3[],MATCH(A116,Table3[[#All],[Column18]],0)-1,MATCH($R$8,Table3[#Headers],0)+3)</f>
        <v>0</v>
      </c>
      <c r="I116" s="148" t="e">
        <f t="shared" si="10"/>
        <v>#DIV/0!</v>
      </c>
      <c r="J116" s="193"/>
      <c r="K116" s="283">
        <f>INDEX(Table3[],MATCH(A116,Table3[[#All],[Column18]],0)-1,MATCH($R$8,Table3[#Headers],0)+6)</f>
        <v>0</v>
      </c>
      <c r="L116" s="207" t="s">
        <v>3380</v>
      </c>
      <c r="M116" s="282">
        <f>INDEX(Table3[],MATCH(A116,Table3[[#All],[Column18]],0)-1,MATCH($R$8,Table3[#Headers],0)+8)</f>
        <v>0</v>
      </c>
      <c r="N116" s="139">
        <f t="shared" si="11"/>
        <v>0</v>
      </c>
      <c r="O116" s="139"/>
    </row>
    <row r="117" spans="1:15" ht="5.0999999999999996" customHeight="1" x14ac:dyDescent="0.25">
      <c r="A117" s="213">
        <v>0</v>
      </c>
      <c r="B117" s="71"/>
      <c r="C117" s="71"/>
      <c r="D117" s="71"/>
      <c r="E117" s="71"/>
      <c r="F117" s="71"/>
      <c r="G117" s="56"/>
      <c r="H117" s="108"/>
      <c r="I117" s="202"/>
      <c r="J117" s="134"/>
      <c r="K117" s="283"/>
      <c r="L117" s="193"/>
      <c r="M117" s="282"/>
      <c r="N117" s="139">
        <f>N118</f>
        <v>0</v>
      </c>
      <c r="O117" s="140"/>
    </row>
    <row r="118" spans="1:15" ht="15.75" x14ac:dyDescent="0.25">
      <c r="A118" s="68" t="s">
        <v>3484</v>
      </c>
      <c r="B118" s="71"/>
      <c r="C118" s="71"/>
      <c r="D118" s="71"/>
      <c r="E118" s="71"/>
      <c r="F118" s="71"/>
      <c r="G118" s="56"/>
      <c r="H118" s="108"/>
      <c r="I118" s="203"/>
      <c r="J118" s="134"/>
      <c r="K118" s="283"/>
      <c r="L118" s="193"/>
      <c r="M118" s="282"/>
      <c r="N118" s="139">
        <f>AVERAGE(N119:N124)</f>
        <v>0</v>
      </c>
      <c r="O118" s="140"/>
    </row>
    <row r="119" spans="1:15" x14ac:dyDescent="0.25">
      <c r="A119" s="70" t="s">
        <v>3970</v>
      </c>
      <c r="B119" s="69">
        <v>14</v>
      </c>
      <c r="C119" s="69">
        <f>B119/24</f>
        <v>0.57999999999999996</v>
      </c>
      <c r="D119" s="69">
        <f t="shared" ref="D119:D124" si="15">SUM(B119-E119)</f>
        <v>14</v>
      </c>
      <c r="E119" s="271">
        <f>HLOOKUP(Overview!$R$8,Table3[#All],110,FALSE)</f>
        <v>0</v>
      </c>
      <c r="F119" s="69">
        <f>E119/24</f>
        <v>0</v>
      </c>
      <c r="G119" s="72"/>
      <c r="H119" s="272">
        <f>INDEX(Table3[],MATCH(A119,Table3[[#All],[Column18]],0)-1,MATCH($R$8,Table3[#Headers],0)+3)</f>
        <v>0</v>
      </c>
      <c r="I119" s="148" t="e">
        <f t="shared" ref="I119:I124" si="16">IF(K119&gt;0,((((((M119/K119)*($B$205)*K119)+(1-$B$205)*H119))/((K119*($B$205))+(1-$B$205)))-F119)/(((((M119/K119)*($B$205)*K119)+(1-$B$205)*H119))/((K119*($B$205))+(1-$B$205))),(H119-F119)/H119)</f>
        <v>#DIV/0!</v>
      </c>
      <c r="J119" s="193"/>
      <c r="K119" s="283">
        <f>INDEX(Table3[],MATCH(A119,Table3[[#All],[Column18]],0)-1,MATCH($R$8,Table3[#Headers],0)+6)</f>
        <v>0</v>
      </c>
      <c r="L119" s="207" t="s">
        <v>3380</v>
      </c>
      <c r="M119" s="282">
        <f>INDEX(Table3[],MATCH(A119,Table3[[#All],[Column18]],0)-1,MATCH($R$8,Table3[#Headers],0)+8)</f>
        <v>0</v>
      </c>
      <c r="N119" s="139">
        <f t="shared" ref="N119:N124" si="17">E119</f>
        <v>0</v>
      </c>
      <c r="O119" s="139"/>
    </row>
    <row r="120" spans="1:15" x14ac:dyDescent="0.25">
      <c r="A120" s="70" t="s">
        <v>3971</v>
      </c>
      <c r="B120" s="69">
        <v>16</v>
      </c>
      <c r="C120" s="69">
        <f>B120/4</f>
        <v>4</v>
      </c>
      <c r="D120" s="69">
        <f t="shared" si="15"/>
        <v>16</v>
      </c>
      <c r="E120" s="271">
        <f>HLOOKUP(Overview!$R$8,Table3[#All],111,FALSE)</f>
        <v>0</v>
      </c>
      <c r="F120" s="69">
        <f>E120/4</f>
        <v>0</v>
      </c>
      <c r="G120" s="72"/>
      <c r="H120" s="272">
        <f>INDEX(Table3[],MATCH(A120,Table3[[#All],[Column18]],0)-1,MATCH($R$8,Table3[#Headers],0)+3)</f>
        <v>0</v>
      </c>
      <c r="I120" s="148" t="e">
        <f t="shared" si="16"/>
        <v>#DIV/0!</v>
      </c>
      <c r="J120" s="193"/>
      <c r="K120" s="283">
        <f>INDEX(Table3[],MATCH(A120,Table3[[#All],[Column18]],0)-1,MATCH($R$8,Table3[#Headers],0)+6)</f>
        <v>0</v>
      </c>
      <c r="L120" s="207" t="s">
        <v>3380</v>
      </c>
      <c r="M120" s="282">
        <f>INDEX(Table3[],MATCH(A120,Table3[[#All],[Column18]],0)-1,MATCH($R$8,Table3[#Headers],0)+8)</f>
        <v>0</v>
      </c>
      <c r="N120" s="139">
        <f t="shared" si="17"/>
        <v>0</v>
      </c>
      <c r="O120" s="139"/>
    </row>
    <row r="121" spans="1:15" x14ac:dyDescent="0.25">
      <c r="A121" s="70" t="s">
        <v>3972</v>
      </c>
      <c r="B121" s="69">
        <v>16</v>
      </c>
      <c r="C121" s="69">
        <f>B121/2</f>
        <v>8</v>
      </c>
      <c r="D121" s="69">
        <f t="shared" si="15"/>
        <v>16</v>
      </c>
      <c r="E121" s="271">
        <f>HLOOKUP(Overview!$R$8,Table3[#All],112,FALSE)</f>
        <v>0</v>
      </c>
      <c r="F121" s="69">
        <f>E121/2</f>
        <v>0</v>
      </c>
      <c r="G121" s="72"/>
      <c r="H121" s="272">
        <f>INDEX(Table3[],MATCH(A121,Table3[[#All],[Column18]],0)-1,MATCH($R$8,Table3[#Headers],0)+3)</f>
        <v>0</v>
      </c>
      <c r="I121" s="148" t="e">
        <f t="shared" si="16"/>
        <v>#DIV/0!</v>
      </c>
      <c r="J121" s="193"/>
      <c r="K121" s="283">
        <f>INDEX(Table3[],MATCH(A121,Table3[[#All],[Column18]],0)-1,MATCH($R$8,Table3[#Headers],0)+6)</f>
        <v>0</v>
      </c>
      <c r="L121" s="207" t="s">
        <v>3380</v>
      </c>
      <c r="M121" s="282">
        <f>INDEX(Table3[],MATCH(A121,Table3[[#All],[Column18]],0)-1,MATCH($R$8,Table3[#Headers],0)+8)</f>
        <v>0</v>
      </c>
      <c r="N121" s="139">
        <f t="shared" si="17"/>
        <v>0</v>
      </c>
      <c r="O121" s="139"/>
    </row>
    <row r="122" spans="1:15" x14ac:dyDescent="0.25">
      <c r="A122" s="70" t="s">
        <v>3973</v>
      </c>
      <c r="B122" s="69">
        <v>15</v>
      </c>
      <c r="C122" s="69">
        <f>B122/12</f>
        <v>1.25</v>
      </c>
      <c r="D122" s="69">
        <f t="shared" si="15"/>
        <v>15</v>
      </c>
      <c r="E122" s="271">
        <f>HLOOKUP(Overview!$R$8,Table3[#All],113,FALSE)</f>
        <v>0</v>
      </c>
      <c r="F122" s="69">
        <f>E122/12</f>
        <v>0</v>
      </c>
      <c r="G122" s="72"/>
      <c r="H122" s="272">
        <f>INDEX(Table3[],MATCH(A122,Table3[[#All],[Column18]],0)-1,MATCH($R$8,Table3[#Headers],0)+3)</f>
        <v>0</v>
      </c>
      <c r="I122" s="148" t="e">
        <f t="shared" si="16"/>
        <v>#DIV/0!</v>
      </c>
      <c r="J122" s="193"/>
      <c r="K122" s="283">
        <f>INDEX(Table3[],MATCH(A122,Table3[[#All],[Column18]],0)-1,MATCH($R$8,Table3[#Headers],0)+6)</f>
        <v>0</v>
      </c>
      <c r="L122" s="207" t="s">
        <v>3380</v>
      </c>
      <c r="M122" s="282">
        <f>INDEX(Table3[],MATCH(A122,Table3[[#All],[Column18]],0)-1,MATCH($R$8,Table3[#Headers],0)+8)</f>
        <v>0</v>
      </c>
      <c r="N122" s="139">
        <f t="shared" si="17"/>
        <v>0</v>
      </c>
      <c r="O122" s="139"/>
    </row>
    <row r="123" spans="1:15" x14ac:dyDescent="0.25">
      <c r="A123" s="70" t="s">
        <v>3974</v>
      </c>
      <c r="B123" s="69">
        <v>26</v>
      </c>
      <c r="C123" s="69">
        <f>B123/6</f>
        <v>4.33</v>
      </c>
      <c r="D123" s="69">
        <f t="shared" si="15"/>
        <v>26</v>
      </c>
      <c r="E123" s="271">
        <f>HLOOKUP(Overview!$R$8,Table3[#All],114,FALSE)</f>
        <v>0</v>
      </c>
      <c r="F123" s="69">
        <f>E123/6</f>
        <v>0</v>
      </c>
      <c r="G123" s="72"/>
      <c r="H123" s="272">
        <f>INDEX(Table3[],MATCH(A123,Table3[[#All],[Column18]],0)-1,MATCH($R$8,Table3[#Headers],0)+3)</f>
        <v>0</v>
      </c>
      <c r="I123" s="148" t="e">
        <f t="shared" si="16"/>
        <v>#DIV/0!</v>
      </c>
      <c r="J123" s="193"/>
      <c r="K123" s="283">
        <f>INDEX(Table3[],MATCH(A123,Table3[[#All],[Column18]],0)-1,MATCH($R$8,Table3[#Headers],0)+6)</f>
        <v>0</v>
      </c>
      <c r="L123" s="207" t="s">
        <v>3380</v>
      </c>
      <c r="M123" s="282">
        <f>INDEX(Table3[],MATCH(A123,Table3[[#All],[Column18]],0)-1,MATCH($R$8,Table3[#Headers],0)+8)</f>
        <v>0</v>
      </c>
      <c r="N123" s="139">
        <f t="shared" si="17"/>
        <v>0</v>
      </c>
      <c r="O123" s="139"/>
    </row>
    <row r="124" spans="1:15" x14ac:dyDescent="0.25">
      <c r="A124" s="70" t="s">
        <v>3975</v>
      </c>
      <c r="B124" s="69">
        <v>30</v>
      </c>
      <c r="C124" s="69">
        <f>B124/24</f>
        <v>1.25</v>
      </c>
      <c r="D124" s="69">
        <f t="shared" si="15"/>
        <v>30</v>
      </c>
      <c r="E124" s="271">
        <f>HLOOKUP(Overview!$R$8,Table3[#All],115,FALSE)</f>
        <v>0</v>
      </c>
      <c r="F124" s="69">
        <f>E124/24</f>
        <v>0</v>
      </c>
      <c r="G124" s="72"/>
      <c r="H124" s="272">
        <f>INDEX(Table3[],MATCH(A124,Table3[[#All],[Column18]],0)-1,MATCH($R$8,Table3[#Headers],0)+3)</f>
        <v>0</v>
      </c>
      <c r="I124" s="148" t="e">
        <f t="shared" si="16"/>
        <v>#DIV/0!</v>
      </c>
      <c r="J124" s="193"/>
      <c r="K124" s="283">
        <f>INDEX(Table3[],MATCH(A124,Table3[[#All],[Column18]],0)-1,MATCH($R$8,Table3[#Headers],0)+6)</f>
        <v>0</v>
      </c>
      <c r="L124" s="207" t="s">
        <v>3380</v>
      </c>
      <c r="M124" s="282">
        <f>INDEX(Table3[],MATCH(A124,Table3[[#All],[Column18]],0)-1,MATCH($R$8,Table3[#Headers],0)+8)</f>
        <v>0</v>
      </c>
      <c r="N124" s="139">
        <f t="shared" si="17"/>
        <v>0</v>
      </c>
      <c r="O124" s="139"/>
    </row>
    <row r="125" spans="1:15" ht="5.0999999999999996" customHeight="1" x14ac:dyDescent="0.25">
      <c r="A125" s="213">
        <v>0</v>
      </c>
      <c r="B125" s="71"/>
      <c r="C125" s="71"/>
      <c r="D125" s="71"/>
      <c r="E125" s="71"/>
      <c r="F125" s="71"/>
      <c r="G125" s="56"/>
      <c r="H125" s="108"/>
      <c r="I125" s="202"/>
      <c r="J125" s="134"/>
      <c r="K125" s="283"/>
      <c r="L125" s="193"/>
      <c r="M125" s="282"/>
      <c r="N125" s="139">
        <f>N126</f>
        <v>0</v>
      </c>
      <c r="O125" s="140"/>
    </row>
    <row r="126" spans="1:15" ht="15.75" x14ac:dyDescent="0.25">
      <c r="A126" s="68" t="s">
        <v>1247</v>
      </c>
      <c r="B126" s="71"/>
      <c r="C126" s="71"/>
      <c r="D126" s="71"/>
      <c r="E126" s="71"/>
      <c r="F126" s="71"/>
      <c r="G126" s="56"/>
      <c r="H126" s="108"/>
      <c r="I126" s="203"/>
      <c r="J126" s="134"/>
      <c r="K126" s="283"/>
      <c r="L126" s="193"/>
      <c r="M126" s="282"/>
      <c r="N126" s="139">
        <f>AVERAGE(N127:N135)</f>
        <v>0</v>
      </c>
      <c r="O126" s="140"/>
    </row>
    <row r="127" spans="1:15" x14ac:dyDescent="0.25">
      <c r="A127" s="70" t="s">
        <v>3916</v>
      </c>
      <c r="B127" s="69">
        <v>26</v>
      </c>
      <c r="C127" s="69">
        <f>B127/12</f>
        <v>2.17</v>
      </c>
      <c r="D127" s="69">
        <f>SUM(B127-E127)</f>
        <v>26</v>
      </c>
      <c r="E127" s="271">
        <f>HLOOKUP(Overview!$R$8,Table3[#All],118,FALSE)</f>
        <v>0</v>
      </c>
      <c r="F127" s="69">
        <f>E127/12</f>
        <v>0</v>
      </c>
      <c r="G127" s="72"/>
      <c r="H127" s="272">
        <f>INDEX(Table3[],MATCH(A127,Table3[[#All],[Column18]],0)-1,MATCH($R$8,Table3[#Headers],0)+3)</f>
        <v>0</v>
      </c>
      <c r="I127" s="148" t="e">
        <f t="shared" ref="I127:I135" si="18">IF(K127&gt;0,((((((M127/K127)*($B$205)*K127)+(1-$B$205)*H127))/((K127*($B$205))+(1-$B$205)))-F127)/(((((M127/K127)*($B$205)*K127)+(1-$B$205)*H127))/((K127*($B$205))+(1-$B$205))),(H127-F127)/H127)</f>
        <v>#DIV/0!</v>
      </c>
      <c r="J127" s="194"/>
      <c r="K127" s="283">
        <f>INDEX(Table3[],MATCH(A127,Table3[[#All],[Column18]],0)-1,MATCH($R$8,Table3[#Headers],0)+6)</f>
        <v>0</v>
      </c>
      <c r="L127" s="207" t="s">
        <v>3380</v>
      </c>
      <c r="M127" s="282">
        <f>INDEX(Table3[],MATCH(A127,Table3[[#All],[Column18]],0)-1,MATCH($R$8,Table3[#Headers],0)+8)</f>
        <v>0</v>
      </c>
      <c r="N127" s="139">
        <f>E127</f>
        <v>0</v>
      </c>
      <c r="O127" s="139"/>
    </row>
    <row r="128" spans="1:15" x14ac:dyDescent="0.25">
      <c r="A128" s="70" t="s">
        <v>1052</v>
      </c>
      <c r="B128" s="69">
        <v>26</v>
      </c>
      <c r="C128" s="69">
        <f>B128/12</f>
        <v>2.17</v>
      </c>
      <c r="D128" s="69">
        <f t="shared" ref="D128:D135" si="19">SUM(B128-E128)</f>
        <v>26</v>
      </c>
      <c r="E128" s="271">
        <f>HLOOKUP(Overview!$R$8,Table3[#All],119,FALSE)</f>
        <v>0</v>
      </c>
      <c r="F128" s="69">
        <f>E128/12</f>
        <v>0</v>
      </c>
      <c r="G128" s="72"/>
      <c r="H128" s="272">
        <f>INDEX(Table3[],MATCH(A128,Table3[[#All],[Column18]],0)-1,MATCH($R$8,Table3[#Headers],0)+3)</f>
        <v>0</v>
      </c>
      <c r="I128" s="148" t="e">
        <f t="shared" si="18"/>
        <v>#DIV/0!</v>
      </c>
      <c r="J128" s="194"/>
      <c r="K128" s="283">
        <f>INDEX(Table3[],MATCH(A128,Table3[[#All],[Column18]],0)-1,MATCH($R$8,Table3[#Headers],0)+6)</f>
        <v>0</v>
      </c>
      <c r="L128" s="207" t="s">
        <v>3380</v>
      </c>
      <c r="M128" s="282">
        <f>INDEX(Table3[],MATCH(A128,Table3[[#All],[Column18]],0)-1,MATCH($R$8,Table3[#Headers],0)+8)</f>
        <v>0</v>
      </c>
      <c r="N128" s="139">
        <f t="shared" ref="N128:N135" si="20">E128</f>
        <v>0</v>
      </c>
      <c r="O128" s="139"/>
    </row>
    <row r="129" spans="1:15" x14ac:dyDescent="0.25">
      <c r="A129" s="70" t="s">
        <v>909</v>
      </c>
      <c r="B129" s="69">
        <v>26</v>
      </c>
      <c r="C129" s="69">
        <f>B129/12</f>
        <v>2.17</v>
      </c>
      <c r="D129" s="69">
        <f t="shared" si="19"/>
        <v>26</v>
      </c>
      <c r="E129" s="271">
        <f>HLOOKUP(Overview!$R$8,Table3[#All],120,FALSE)</f>
        <v>0</v>
      </c>
      <c r="F129" s="69">
        <f>E129/12</f>
        <v>0</v>
      </c>
      <c r="G129" s="72"/>
      <c r="H129" s="272">
        <f>INDEX(Table3[],MATCH(A129,Table3[[#All],[Column18]],0)-1,MATCH($R$8,Table3[#Headers],0)+3)</f>
        <v>0</v>
      </c>
      <c r="I129" s="148" t="e">
        <f t="shared" si="18"/>
        <v>#DIV/0!</v>
      </c>
      <c r="J129" s="193"/>
      <c r="K129" s="283">
        <f>INDEX(Table3[],MATCH(A129,Table3[[#All],[Column18]],0)-1,MATCH($R$8,Table3[#Headers],0)+6)</f>
        <v>0</v>
      </c>
      <c r="L129" s="207" t="s">
        <v>3380</v>
      </c>
      <c r="M129" s="282">
        <f>INDEX(Table3[],MATCH(A129,Table3[[#All],[Column18]],0)-1,MATCH($R$8,Table3[#Headers],0)+8)</f>
        <v>0</v>
      </c>
      <c r="N129" s="139">
        <f t="shared" si="20"/>
        <v>0</v>
      </c>
      <c r="O129" s="139"/>
    </row>
    <row r="130" spans="1:15" x14ac:dyDescent="0.25">
      <c r="A130" s="70" t="s">
        <v>910</v>
      </c>
      <c r="B130" s="69">
        <v>48</v>
      </c>
      <c r="C130" s="69">
        <f>B130/6</f>
        <v>8</v>
      </c>
      <c r="D130" s="69">
        <f t="shared" si="19"/>
        <v>48</v>
      </c>
      <c r="E130" s="271">
        <f>HLOOKUP(Overview!$R$8,Table3[#All],121,FALSE)</f>
        <v>0</v>
      </c>
      <c r="F130" s="69">
        <f>E130/6</f>
        <v>0</v>
      </c>
      <c r="G130" s="72"/>
      <c r="H130" s="272">
        <f>INDEX(Table3[],MATCH(A130,Table3[[#All],[Column18]],0)-1,MATCH($R$8,Table3[#Headers],0)+3)</f>
        <v>0</v>
      </c>
      <c r="I130" s="148" t="e">
        <f t="shared" si="18"/>
        <v>#DIV/0!</v>
      </c>
      <c r="J130" s="193"/>
      <c r="K130" s="283">
        <f>INDEX(Table3[],MATCH(A130,Table3[[#All],[Column18]],0)-1,MATCH($R$8,Table3[#Headers],0)+6)</f>
        <v>0</v>
      </c>
      <c r="L130" s="207" t="s">
        <v>3380</v>
      </c>
      <c r="M130" s="282">
        <f>INDEX(Table3[],MATCH(A130,Table3[[#All],[Column18]],0)-1,MATCH($R$8,Table3[#Headers],0)+8)</f>
        <v>0</v>
      </c>
      <c r="N130" s="139">
        <f t="shared" si="20"/>
        <v>0</v>
      </c>
      <c r="O130" s="139"/>
    </row>
    <row r="131" spans="1:15" x14ac:dyDescent="0.25">
      <c r="A131" s="70" t="s">
        <v>1225</v>
      </c>
      <c r="B131" s="69">
        <v>28</v>
      </c>
      <c r="C131" s="69">
        <f>B131/12</f>
        <v>2.33</v>
      </c>
      <c r="D131" s="69">
        <f t="shared" si="19"/>
        <v>28</v>
      </c>
      <c r="E131" s="271">
        <f>HLOOKUP(Overview!$R$8,Table3[#All],122,FALSE)</f>
        <v>0</v>
      </c>
      <c r="F131" s="69">
        <f>E131/12</f>
        <v>0</v>
      </c>
      <c r="G131" s="72"/>
      <c r="H131" s="272">
        <f>INDEX(Table3[],MATCH(A131,Table3[[#All],[Column18]],0)-1,MATCH($R$8,Table3[#Headers],0)+3)</f>
        <v>0</v>
      </c>
      <c r="I131" s="148" t="e">
        <f t="shared" si="18"/>
        <v>#DIV/0!</v>
      </c>
      <c r="J131" s="194"/>
      <c r="K131" s="283">
        <f>INDEX(Table3[],MATCH(A131,Table3[[#All],[Column18]],0)-1,MATCH($R$8,Table3[#Headers],0)+6)</f>
        <v>0</v>
      </c>
      <c r="L131" s="207" t="s">
        <v>3380</v>
      </c>
      <c r="M131" s="282">
        <f>INDEX(Table3[],MATCH(A131,Table3[[#All],[Column18]],0)-1,MATCH($R$8,Table3[#Headers],0)+8)</f>
        <v>0</v>
      </c>
      <c r="N131" s="139">
        <f t="shared" si="20"/>
        <v>0</v>
      </c>
      <c r="O131" s="139"/>
    </row>
    <row r="132" spans="1:15" x14ac:dyDescent="0.25">
      <c r="A132" s="70" t="s">
        <v>1224</v>
      </c>
      <c r="B132" s="69">
        <v>30</v>
      </c>
      <c r="C132" s="69">
        <f>B132/12</f>
        <v>2.5</v>
      </c>
      <c r="D132" s="69">
        <f t="shared" si="19"/>
        <v>30</v>
      </c>
      <c r="E132" s="271">
        <f>HLOOKUP(Overview!$R$8,Table3[#All],123,FALSE)</f>
        <v>0</v>
      </c>
      <c r="F132" s="69">
        <f>E132/12</f>
        <v>0</v>
      </c>
      <c r="G132" s="72"/>
      <c r="H132" s="272">
        <f>INDEX(Table3[],MATCH(A132,Table3[[#All],[Column18]],0)-1,MATCH($R$8,Table3[#Headers],0)+3)</f>
        <v>0</v>
      </c>
      <c r="I132" s="148" t="e">
        <f t="shared" si="18"/>
        <v>#DIV/0!</v>
      </c>
      <c r="J132" s="194"/>
      <c r="K132" s="283">
        <f>INDEX(Table3[],MATCH(A132,Table3[[#All],[Column18]],0)-1,MATCH($R$8,Table3[#Headers],0)+6)</f>
        <v>0</v>
      </c>
      <c r="L132" s="207" t="s">
        <v>3380</v>
      </c>
      <c r="M132" s="282">
        <f>INDEX(Table3[],MATCH(A132,Table3[[#All],[Column18]],0)-1,MATCH($R$8,Table3[#Headers],0)+8)</f>
        <v>0</v>
      </c>
      <c r="N132" s="139">
        <f t="shared" si="20"/>
        <v>0</v>
      </c>
      <c r="O132" s="139"/>
    </row>
    <row r="133" spans="1:15" x14ac:dyDescent="0.25">
      <c r="A133" s="70" t="s">
        <v>3918</v>
      </c>
      <c r="B133" s="69">
        <v>26</v>
      </c>
      <c r="C133" s="69">
        <f>B133/12</f>
        <v>2.17</v>
      </c>
      <c r="D133" s="69">
        <f t="shared" si="19"/>
        <v>26</v>
      </c>
      <c r="E133" s="271">
        <f>HLOOKUP(Overview!$R$8,Table3[#All],124,FALSE)</f>
        <v>0</v>
      </c>
      <c r="F133" s="69">
        <f>E133/12</f>
        <v>0</v>
      </c>
      <c r="G133" s="237"/>
      <c r="H133" s="272">
        <f>INDEX(Table3[],MATCH(A133,Table3[[#All],[Column18]],0)-1,MATCH($R$8,Table3[#Headers],0)+3)</f>
        <v>0</v>
      </c>
      <c r="I133" s="148" t="e">
        <f t="shared" si="18"/>
        <v>#DIV/0!</v>
      </c>
      <c r="J133" s="194"/>
      <c r="K133" s="283">
        <f>INDEX(Table3[],MATCH(A133,Table3[[#All],[Column18]],0)-1,MATCH($R$8,Table3[#Headers],0)+6)</f>
        <v>0</v>
      </c>
      <c r="L133" s="207" t="s">
        <v>3380</v>
      </c>
      <c r="M133" s="282">
        <f>INDEX(Table3[],MATCH(A133,Table3[[#All],[Column18]],0)-1,MATCH($R$8,Table3[#Headers],0)+8)</f>
        <v>0</v>
      </c>
      <c r="N133" s="139">
        <f t="shared" si="20"/>
        <v>0</v>
      </c>
      <c r="O133" s="139"/>
    </row>
    <row r="134" spans="1:15" x14ac:dyDescent="0.25">
      <c r="A134" s="70" t="s">
        <v>3969</v>
      </c>
      <c r="B134" s="69">
        <v>26</v>
      </c>
      <c r="C134" s="69">
        <f>B134/12</f>
        <v>2.17</v>
      </c>
      <c r="D134" s="69">
        <f t="shared" si="19"/>
        <v>26</v>
      </c>
      <c r="E134" s="271">
        <f>HLOOKUP(Overview!$R$8,Table3[#All],125,FALSE)</f>
        <v>0</v>
      </c>
      <c r="F134" s="69">
        <f>E134/12</f>
        <v>0</v>
      </c>
      <c r="G134" s="237"/>
      <c r="H134" s="272">
        <f>INDEX(Table3[],MATCH(A134,Table3[[#All],[Column18]],0)-1,MATCH($R$8,Table3[#Headers],0)+3)</f>
        <v>0</v>
      </c>
      <c r="I134" s="148" t="e">
        <f t="shared" si="18"/>
        <v>#DIV/0!</v>
      </c>
      <c r="J134" s="194"/>
      <c r="K134" s="283">
        <f>INDEX(Table3[],MATCH(A134,Table3[[#All],[Column18]],0)-1,MATCH($R$8,Table3[#Headers],0)+6)</f>
        <v>0</v>
      </c>
      <c r="L134" s="207" t="s">
        <v>3380</v>
      </c>
      <c r="M134" s="282">
        <f>INDEX(Table3[],MATCH(A134,Table3[[#All],[Column18]],0)-1,MATCH($R$8,Table3[#Headers],0)+8)</f>
        <v>0</v>
      </c>
      <c r="N134" s="139">
        <f t="shared" si="20"/>
        <v>0</v>
      </c>
      <c r="O134" s="139"/>
    </row>
    <row r="135" spans="1:15" x14ac:dyDescent="0.25">
      <c r="A135" s="70" t="s">
        <v>1246</v>
      </c>
      <c r="B135" s="69">
        <v>28</v>
      </c>
      <c r="C135" s="69">
        <f>B135/12</f>
        <v>2.33</v>
      </c>
      <c r="D135" s="69">
        <f t="shared" si="19"/>
        <v>28</v>
      </c>
      <c r="E135" s="271">
        <f>HLOOKUP(Overview!$R$8,Table3[#All],126,FALSE)</f>
        <v>0</v>
      </c>
      <c r="F135" s="69">
        <f>E135/12</f>
        <v>0</v>
      </c>
      <c r="G135" s="237"/>
      <c r="H135" s="272">
        <f>INDEX(Table3[],MATCH(A135,Table3[[#All],[Column18]],0)-1,MATCH($R$8,Table3[#Headers],0)+3)</f>
        <v>0</v>
      </c>
      <c r="I135" s="148" t="e">
        <f t="shared" si="18"/>
        <v>#DIV/0!</v>
      </c>
      <c r="J135" s="194"/>
      <c r="K135" s="283">
        <f>INDEX(Table3[],MATCH(A135,Table3[[#All],[Column18]],0)-1,MATCH($R$8,Table3[#Headers],0)+6)</f>
        <v>0</v>
      </c>
      <c r="L135" s="207" t="s">
        <v>3380</v>
      </c>
      <c r="M135" s="282">
        <f>INDEX(Table3[],MATCH(A135,Table3[[#All],[Column18]],0)-1,MATCH($R$8,Table3[#Headers],0)+8)</f>
        <v>0</v>
      </c>
      <c r="N135" s="139">
        <f t="shared" si="20"/>
        <v>0</v>
      </c>
      <c r="O135" s="139"/>
    </row>
    <row r="136" spans="1:15" ht="5.0999999999999996" customHeight="1" x14ac:dyDescent="0.25">
      <c r="A136" s="213">
        <v>0</v>
      </c>
      <c r="B136" s="71"/>
      <c r="C136" s="71"/>
      <c r="D136" s="71"/>
      <c r="E136" s="71"/>
      <c r="F136" s="71"/>
      <c r="G136" s="56"/>
      <c r="H136" s="108"/>
      <c r="I136" s="202"/>
      <c r="J136" s="134"/>
      <c r="K136" s="283"/>
      <c r="L136" s="193"/>
      <c r="M136" s="282"/>
      <c r="N136" s="139">
        <f>N137</f>
        <v>0</v>
      </c>
      <c r="O136" s="140"/>
    </row>
    <row r="137" spans="1:15" ht="15.75" x14ac:dyDescent="0.25">
      <c r="A137" s="68" t="s">
        <v>911</v>
      </c>
      <c r="B137" s="71"/>
      <c r="C137" s="71"/>
      <c r="D137" s="71"/>
      <c r="E137" s="71"/>
      <c r="F137" s="71"/>
      <c r="G137" s="56"/>
      <c r="H137" s="108"/>
      <c r="I137" s="203"/>
      <c r="J137" s="134"/>
      <c r="K137" s="283"/>
      <c r="L137" s="193"/>
      <c r="M137" s="282"/>
      <c r="N137" s="139">
        <f>AVERAGE(N138:N142)</f>
        <v>0</v>
      </c>
      <c r="O137" s="140"/>
    </row>
    <row r="138" spans="1:15" x14ac:dyDescent="0.25">
      <c r="A138" s="70" t="s">
        <v>1158</v>
      </c>
      <c r="B138" s="69">
        <v>24</v>
      </c>
      <c r="C138" s="69">
        <f>B138/12</f>
        <v>2</v>
      </c>
      <c r="D138" s="69">
        <f>SUM(B138-E138)</f>
        <v>24</v>
      </c>
      <c r="E138" s="271">
        <f>HLOOKUP(Overview!$R$8,Table3[#All],129,FALSE)</f>
        <v>0</v>
      </c>
      <c r="F138" s="69">
        <f>E138/12</f>
        <v>0</v>
      </c>
      <c r="G138" s="72"/>
      <c r="H138" s="272">
        <f>INDEX(Table3[],MATCH(A138,Table3[[#All],[Column18]],0)-1,MATCH($R$8,Table3[#Headers],0)+3)</f>
        <v>0</v>
      </c>
      <c r="I138" s="148" t="e">
        <f>IF(K138&gt;0,((((((M138/K138)*($B$205)*K138)+(1-$B$205)*H138))/((K138*($B$205))+(1-$B$205)))-F138)/(((((M138/K138)*($B$205)*K138)+(1-$B$205)*H138))/((K138*($B$205))+(1-$B$205))),(H138-F138)/H138)</f>
        <v>#DIV/0!</v>
      </c>
      <c r="J138" s="194"/>
      <c r="K138" s="283">
        <f>INDEX(Table3[],MATCH(A138,Table3[[#All],[Column18]],0)-1,MATCH($R$8,Table3[#Headers],0)+6)</f>
        <v>0</v>
      </c>
      <c r="L138" s="207" t="s">
        <v>3380</v>
      </c>
      <c r="M138" s="282">
        <f>INDEX(Table3[],MATCH(A138,Table3[[#All],[Column18]],0)-1,MATCH($R$8,Table3[#Headers],0)+8)</f>
        <v>0</v>
      </c>
      <c r="N138" s="139">
        <f>E138</f>
        <v>0</v>
      </c>
      <c r="O138" s="139"/>
    </row>
    <row r="139" spans="1:15" x14ac:dyDescent="0.25">
      <c r="A139" s="70" t="s">
        <v>3209</v>
      </c>
      <c r="B139" s="69">
        <v>36</v>
      </c>
      <c r="C139" s="69">
        <f>B139/24</f>
        <v>1.5</v>
      </c>
      <c r="D139" s="69">
        <f>SUM(B139-E139)</f>
        <v>36</v>
      </c>
      <c r="E139" s="271">
        <f>HLOOKUP(Overview!$R$8,Table3[#All],130,FALSE)</f>
        <v>0</v>
      </c>
      <c r="F139" s="69">
        <f>E139/24</f>
        <v>0</v>
      </c>
      <c r="G139" s="237"/>
      <c r="H139" s="272">
        <f>INDEX(Table3[],MATCH(A139,Table3[[#All],[Column18]],0)-1,MATCH($R$8,Table3[#Headers],0)+3)</f>
        <v>0</v>
      </c>
      <c r="I139" s="148" t="e">
        <f>IF(K139&gt;0,((((((M139/K139)*($B$205)*K139)+(1-$B$205)*H139))/((K139*($B$205))+(1-$B$205)))-F139)/(((((M139/K139)*($B$205)*K139)+(1-$B$205)*H139))/((K139*($B$205))+(1-$B$205))),(H139-F139)/H139)</f>
        <v>#DIV/0!</v>
      </c>
      <c r="J139" s="193"/>
      <c r="K139" s="283">
        <f>INDEX(Table3[],MATCH(A139,Table3[[#All],[Column18]],0)-1,MATCH($R$8,Table3[#Headers],0)+6)</f>
        <v>0</v>
      </c>
      <c r="L139" s="207" t="s">
        <v>3380</v>
      </c>
      <c r="M139" s="282">
        <f>INDEX(Table3[],MATCH(A139,Table3[[#All],[Column18]],0)-1,MATCH($R$8,Table3[#Headers],0)+8)</f>
        <v>0</v>
      </c>
      <c r="N139" s="139">
        <f>E139</f>
        <v>0</v>
      </c>
      <c r="O139" s="139"/>
    </row>
    <row r="140" spans="1:15" x14ac:dyDescent="0.25">
      <c r="A140" s="70" t="s">
        <v>3709</v>
      </c>
      <c r="B140" s="69">
        <v>24</v>
      </c>
      <c r="C140" s="69">
        <f>B140/12</f>
        <v>2</v>
      </c>
      <c r="D140" s="69">
        <f>SUM(B140-E140)</f>
        <v>24</v>
      </c>
      <c r="E140" s="271">
        <f>HLOOKUP(Overview!$R$8,Table3[#All],131,FALSE)</f>
        <v>0</v>
      </c>
      <c r="F140" s="69">
        <f>E140/12</f>
        <v>0</v>
      </c>
      <c r="G140" s="72"/>
      <c r="H140" s="272">
        <f>INDEX(Table3[],MATCH(A140,Table3[[#All],[Column18]],0)-1,MATCH($R$8,Table3[#Headers],0)+3)</f>
        <v>0</v>
      </c>
      <c r="I140" s="148" t="e">
        <f>IF(K140&gt;0,((((((M140/K140)*($B$205)*K140)+(1-$B$205)*H140))/((K140*($B$205))+(1-$B$205)))-F140)/(((((M140/K140)*($B$205)*K140)+(1-$B$205)*H140))/((K140*($B$205))+(1-$B$205))),(H140-F140)/H140)</f>
        <v>#DIV/0!</v>
      </c>
      <c r="J140" s="194"/>
      <c r="K140" s="283">
        <f>INDEX(Table3[],MATCH(A140,Table3[[#All],[Column18]],0)-1,MATCH($R$8,Table3[#Headers],0)+6)</f>
        <v>0</v>
      </c>
      <c r="L140" s="207" t="s">
        <v>3380</v>
      </c>
      <c r="M140" s="282">
        <f>INDEX(Table3[],MATCH(A140,Table3[[#All],[Column18]],0)-1,MATCH($R$8,Table3[#Headers],0)+8)</f>
        <v>0</v>
      </c>
      <c r="N140" s="139">
        <f>E140</f>
        <v>0</v>
      </c>
      <c r="O140" s="139"/>
    </row>
    <row r="141" spans="1:15" x14ac:dyDescent="0.25">
      <c r="A141" s="70" t="s">
        <v>1209</v>
      </c>
      <c r="B141" s="69">
        <v>26</v>
      </c>
      <c r="C141" s="69">
        <f>B141/12</f>
        <v>2.17</v>
      </c>
      <c r="D141" s="69">
        <f>SUM(B141-E141)</f>
        <v>26</v>
      </c>
      <c r="E141" s="271">
        <f>HLOOKUP(Overview!$R$8,Table3[#All],132,FALSE)</f>
        <v>0</v>
      </c>
      <c r="F141" s="69">
        <f>E141/12</f>
        <v>0</v>
      </c>
      <c r="G141" s="72"/>
      <c r="H141" s="272">
        <f>INDEX(Table3[],MATCH(A141,Table3[[#All],[Column18]],0)-1,MATCH($R$8,Table3[#Headers],0)+3)</f>
        <v>0</v>
      </c>
      <c r="I141" s="148" t="e">
        <f>IF(K141&gt;0,((((((M141/K141)*($B$205)*K141)+(1-$B$205)*H141))/((K141*($B$205))+(1-$B$205)))-F141)/(((((M141/K141)*($B$205)*K141)+(1-$B$205)*H141))/((K141*($B$205))+(1-$B$205))),(H141-F141)/H141)</f>
        <v>#DIV/0!</v>
      </c>
      <c r="J141" s="194"/>
      <c r="K141" s="283">
        <f>INDEX(Table3[],MATCH(A141,Table3[[#All],[Column18]],0)-1,MATCH($R$8,Table3[#Headers],0)+6)</f>
        <v>0</v>
      </c>
      <c r="L141" s="207" t="s">
        <v>3380</v>
      </c>
      <c r="M141" s="282">
        <f>INDEX(Table3[],MATCH(A141,Table3[[#All],[Column18]],0)-1,MATCH($R$8,Table3[#Headers],0)+8)</f>
        <v>0</v>
      </c>
      <c r="N141" s="139">
        <f>E141</f>
        <v>0</v>
      </c>
      <c r="O141" s="139"/>
    </row>
    <row r="142" spans="1:15" x14ac:dyDescent="0.25">
      <c r="A142" s="70" t="s">
        <v>4077</v>
      </c>
      <c r="B142" s="69">
        <v>36</v>
      </c>
      <c r="C142" s="69">
        <f>B142/12</f>
        <v>3</v>
      </c>
      <c r="D142" s="69">
        <f>SUM(B142-E142)</f>
        <v>36</v>
      </c>
      <c r="E142" s="271">
        <f>HLOOKUP(Overview!$R$8,Table3[#All],133,FALSE)</f>
        <v>0</v>
      </c>
      <c r="F142" s="69">
        <f>E142/12</f>
        <v>0</v>
      </c>
      <c r="G142" s="72"/>
      <c r="H142" s="272">
        <f>INDEX(Table3[],MATCH(A142,Table3[[#All],[Column18]],0)-1,MATCH($R$8,Table3[#Headers],0)+3)</f>
        <v>0</v>
      </c>
      <c r="I142" s="148" t="e">
        <f>IF(K142&gt;0,((((((M142/K142)*($B$205)*K142)+(1-$B$205)*H142))/((K142*($B$205))+(1-$B$205)))-F142)/(((((M142/K142)*($B$205)*K142)+(1-$B$205)*H142))/((K142*($B$205))+(1-$B$205))),(H142-F142)/H142)</f>
        <v>#DIV/0!</v>
      </c>
      <c r="J142" s="194"/>
      <c r="K142" s="283">
        <f>INDEX(Table3[],MATCH(A142,Table3[[#All],[Column18]],0)-1,MATCH($R$8,Table3[#Headers],0)+6)</f>
        <v>0</v>
      </c>
      <c r="L142" s="207" t="s">
        <v>3380</v>
      </c>
      <c r="M142" s="282">
        <f>INDEX(Table3[],MATCH(A142,Table3[[#All],[Column18]],0)-1,MATCH($R$8,Table3[#Headers],0)+8)</f>
        <v>0</v>
      </c>
      <c r="N142" s="139">
        <f>E142</f>
        <v>0</v>
      </c>
      <c r="O142" s="139"/>
    </row>
    <row r="143" spans="1:15" ht="5.0999999999999996" customHeight="1" x14ac:dyDescent="0.25">
      <c r="A143" s="213">
        <v>0</v>
      </c>
      <c r="B143" s="71"/>
      <c r="C143" s="71"/>
      <c r="D143" s="71"/>
      <c r="E143" s="71"/>
      <c r="F143" s="71"/>
      <c r="G143" s="56"/>
      <c r="H143" s="108"/>
      <c r="I143" s="202"/>
      <c r="J143" s="134"/>
      <c r="K143" s="283"/>
      <c r="L143" s="193"/>
      <c r="M143" s="282"/>
      <c r="N143" s="139">
        <f>N144</f>
        <v>0</v>
      </c>
      <c r="O143" s="140"/>
    </row>
    <row r="144" spans="1:15" ht="15.75" x14ac:dyDescent="0.25">
      <c r="A144" s="68" t="s">
        <v>3483</v>
      </c>
      <c r="B144" s="71"/>
      <c r="C144" s="71"/>
      <c r="D144" s="71"/>
      <c r="E144" s="71"/>
      <c r="F144" s="71"/>
      <c r="G144" s="56"/>
      <c r="H144" s="108"/>
      <c r="I144" s="203"/>
      <c r="J144" s="134"/>
      <c r="K144" s="283"/>
      <c r="L144" s="193"/>
      <c r="M144" s="282"/>
      <c r="N144" s="139">
        <f>AVERAGE(N145:N150)</f>
        <v>0</v>
      </c>
      <c r="O144" s="140"/>
    </row>
    <row r="145" spans="1:15" x14ac:dyDescent="0.25">
      <c r="A145" s="70" t="s">
        <v>3211</v>
      </c>
      <c r="B145" s="69">
        <v>20</v>
      </c>
      <c r="C145" s="69">
        <f>B145/12</f>
        <v>1.67</v>
      </c>
      <c r="D145" s="69">
        <f>SUM(B145-E145)</f>
        <v>20</v>
      </c>
      <c r="E145" s="271">
        <f>HLOOKUP(Overview!$R$8,Table3[#All],136,FALSE)</f>
        <v>0</v>
      </c>
      <c r="F145" s="69">
        <f>E145/12</f>
        <v>0</v>
      </c>
      <c r="G145" s="56"/>
      <c r="H145" s="272">
        <f>INDEX(Table3[],MATCH(A145,Table3[[#All],[Column18]],0)-1,MATCH($R$8,Table3[#Headers],0)+3)</f>
        <v>0</v>
      </c>
      <c r="I145" s="148" t="e">
        <f t="shared" ref="I145:I150" si="21">IF(K145&gt;0,((((((M145/K145)*($B$205)*K145)+(1-$B$205)*H145))/((K145*($B$205))+(1-$B$205)))-F145)/(((((M145/K145)*($B$205)*K145)+(1-$B$205)*H145))/((K145*($B$205))+(1-$B$205))),(H145-F145)/H145)</f>
        <v>#DIV/0!</v>
      </c>
      <c r="J145" s="193"/>
      <c r="K145" s="283">
        <f>INDEX(Table3[],MATCH(A145,Table3[[#All],[Column18]],0)-1,MATCH($R$8,Table3[#Headers],0)+6)</f>
        <v>0</v>
      </c>
      <c r="L145" s="207" t="s">
        <v>3380</v>
      </c>
      <c r="M145" s="282">
        <f>INDEX(Table3[],MATCH(A145,Table3[[#All],[Column18]],0)-1,MATCH($R$8,Table3[#Headers],0)+8)</f>
        <v>0</v>
      </c>
      <c r="N145" s="139">
        <f>E145</f>
        <v>0</v>
      </c>
      <c r="O145" s="139"/>
    </row>
    <row r="146" spans="1:15" x14ac:dyDescent="0.25">
      <c r="A146" s="70" t="s">
        <v>3210</v>
      </c>
      <c r="B146" s="69">
        <v>30</v>
      </c>
      <c r="C146" s="69">
        <f>B146/12</f>
        <v>2.5</v>
      </c>
      <c r="D146" s="69">
        <f>SUM(B146-E146)</f>
        <v>30</v>
      </c>
      <c r="E146" s="271">
        <f>HLOOKUP(Overview!$R$8,Table3[#All],137,FALSE)</f>
        <v>0</v>
      </c>
      <c r="F146" s="69">
        <f>E146/12</f>
        <v>0</v>
      </c>
      <c r="G146" s="56"/>
      <c r="H146" s="272">
        <f>INDEX(Table3[],MATCH(A146,Table3[[#All],[Column18]],0)-1,MATCH($R$8,Table3[#Headers],0)+3)</f>
        <v>0</v>
      </c>
      <c r="I146" s="148" t="e">
        <f t="shared" si="21"/>
        <v>#DIV/0!</v>
      </c>
      <c r="J146" s="193"/>
      <c r="K146" s="283">
        <f>INDEX(Table3[],MATCH(A146,Table3[[#All],[Column18]],0)-1,MATCH($R$8,Table3[#Headers],0)+6)</f>
        <v>0</v>
      </c>
      <c r="L146" s="207" t="s">
        <v>3380</v>
      </c>
      <c r="M146" s="282">
        <f>INDEX(Table3[],MATCH(A146,Table3[[#All],[Column18]],0)-1,MATCH($R$8,Table3[#Headers],0)+8)</f>
        <v>0</v>
      </c>
      <c r="N146" s="139">
        <f>E146</f>
        <v>0</v>
      </c>
      <c r="O146" s="139"/>
    </row>
    <row r="147" spans="1:15" x14ac:dyDescent="0.25">
      <c r="A147" s="70" t="s">
        <v>3241</v>
      </c>
      <c r="B147" s="69">
        <v>52</v>
      </c>
      <c r="C147" s="69">
        <f>B147/12</f>
        <v>4.33</v>
      </c>
      <c r="D147" s="69">
        <f>SUM(B147-E147)</f>
        <v>52</v>
      </c>
      <c r="E147" s="271">
        <f>HLOOKUP(Overview!$R$8,Table3[#All],138,FALSE)</f>
        <v>0</v>
      </c>
      <c r="F147" s="69">
        <f>E147/12</f>
        <v>0</v>
      </c>
      <c r="G147" s="56"/>
      <c r="H147" s="272">
        <f>INDEX(Table3[],MATCH(A147,Table3[[#All],[Column18]],0)-1,MATCH($R$8,Table3[#Headers],0)+3)</f>
        <v>0</v>
      </c>
      <c r="I147" s="148" t="e">
        <f t="shared" si="21"/>
        <v>#DIV/0!</v>
      </c>
      <c r="J147" s="193"/>
      <c r="K147" s="283">
        <f>INDEX(Table3[],MATCH(A147,Table3[[#All],[Column18]],0)-1,MATCH($R$8,Table3[#Headers],0)+6)</f>
        <v>0</v>
      </c>
      <c r="L147" s="207" t="s">
        <v>3380</v>
      </c>
      <c r="M147" s="282">
        <f>INDEX(Table3[],MATCH(A147,Table3[[#All],[Column18]],0)-1,MATCH($R$8,Table3[#Headers],0)+8)</f>
        <v>0</v>
      </c>
      <c r="N147" s="139">
        <f>E147</f>
        <v>0</v>
      </c>
      <c r="O147" s="139"/>
    </row>
    <row r="148" spans="1:15" x14ac:dyDescent="0.25">
      <c r="A148" s="70" t="s">
        <v>3212</v>
      </c>
      <c r="B148" s="69">
        <v>50</v>
      </c>
      <c r="C148" s="69">
        <f>B148/6</f>
        <v>8.33</v>
      </c>
      <c r="D148" s="69">
        <f>SUM(B148-E148)</f>
        <v>50</v>
      </c>
      <c r="E148" s="271">
        <f>HLOOKUP(Overview!$R$8,Table3[#All],139,FALSE)</f>
        <v>0</v>
      </c>
      <c r="F148" s="69">
        <f>E148/6</f>
        <v>0</v>
      </c>
      <c r="G148" s="237"/>
      <c r="H148" s="272">
        <f>INDEX(Table3[],MATCH(A148,Table3[[#All],[Column18]],0)-1,MATCH($R$8,Table3[#Headers],0)+3)</f>
        <v>0</v>
      </c>
      <c r="I148" s="148" t="e">
        <f t="shared" si="21"/>
        <v>#DIV/0!</v>
      </c>
      <c r="J148" s="193"/>
      <c r="K148" s="283">
        <f>INDEX(Table3[],MATCH(A148,Table3[[#All],[Column18]],0)-1,MATCH($R$8,Table3[#Headers],0)+6)</f>
        <v>0</v>
      </c>
      <c r="L148" s="207" t="s">
        <v>3380</v>
      </c>
      <c r="M148" s="282">
        <f>INDEX(Table3[],MATCH(A148,Table3[[#All],[Column18]],0)-1,MATCH($R$8,Table3[#Headers],0)+8)</f>
        <v>0</v>
      </c>
      <c r="N148" s="139">
        <f>E148</f>
        <v>0</v>
      </c>
      <c r="O148" s="139"/>
    </row>
    <row r="149" spans="1:15" x14ac:dyDescent="0.25">
      <c r="A149" s="70" t="s">
        <v>1182</v>
      </c>
      <c r="B149" s="69">
        <v>30</v>
      </c>
      <c r="C149" s="69">
        <f>B149/12</f>
        <v>2.5</v>
      </c>
      <c r="D149" s="69">
        <f t="shared" ref="D149:D157" si="22">SUM(B149-E149)</f>
        <v>30</v>
      </c>
      <c r="E149" s="271">
        <f>HLOOKUP(Overview!$R$8,Table3[#All],140,FALSE)</f>
        <v>0</v>
      </c>
      <c r="F149" s="69">
        <f>E149/12</f>
        <v>0</v>
      </c>
      <c r="G149" s="237"/>
      <c r="H149" s="272">
        <f>INDEX(Table3[],MATCH(A149,Table3[[#All],[Column18]],0)-1,MATCH($R$8,Table3[#Headers],0)+3)</f>
        <v>0</v>
      </c>
      <c r="I149" s="148" t="e">
        <f t="shared" si="21"/>
        <v>#DIV/0!</v>
      </c>
      <c r="J149" s="194"/>
      <c r="K149" s="283">
        <f>INDEX(Table3[],MATCH(A149,Table3[[#All],[Column18]],0)-1,MATCH($R$8,Table3[#Headers],0)+6)</f>
        <v>0</v>
      </c>
      <c r="L149" s="207" t="s">
        <v>3380</v>
      </c>
      <c r="M149" s="282">
        <f>INDEX(Table3[],MATCH(A149,Table3[[#All],[Column18]],0)-1,MATCH($R$8,Table3[#Headers],0)+8)</f>
        <v>0</v>
      </c>
      <c r="N149" s="139">
        <f t="shared" ref="N149:N154" si="23">E149</f>
        <v>0</v>
      </c>
      <c r="O149" s="139"/>
    </row>
    <row r="150" spans="1:15" x14ac:dyDescent="0.25">
      <c r="A150" s="70" t="s">
        <v>1183</v>
      </c>
      <c r="B150" s="69">
        <v>20</v>
      </c>
      <c r="C150" s="69">
        <f>B150/12</f>
        <v>1.67</v>
      </c>
      <c r="D150" s="69">
        <f t="shared" si="22"/>
        <v>20</v>
      </c>
      <c r="E150" s="271">
        <f>HLOOKUP(Overview!$R$8,Table3[#All],141,FALSE)</f>
        <v>0</v>
      </c>
      <c r="F150" s="69">
        <f>E150/12</f>
        <v>0</v>
      </c>
      <c r="G150" s="237"/>
      <c r="H150" s="272">
        <f>INDEX(Table3[],MATCH(A150,Table3[[#All],[Column18]],0)-1,MATCH($R$8,Table3[#Headers],0)+3)</f>
        <v>0</v>
      </c>
      <c r="I150" s="148" t="e">
        <f t="shared" si="21"/>
        <v>#DIV/0!</v>
      </c>
      <c r="J150" s="194"/>
      <c r="K150" s="283">
        <f>INDEX(Table3[],MATCH(A150,Table3[[#All],[Column18]],0)-1,MATCH($R$8,Table3[#Headers],0)+6)</f>
        <v>0</v>
      </c>
      <c r="L150" s="207" t="s">
        <v>3380</v>
      </c>
      <c r="M150" s="282">
        <f>INDEX(Table3[],MATCH(A150,Table3[[#All],[Column18]],0)-1,MATCH($R$8,Table3[#Headers],0)+8)</f>
        <v>0</v>
      </c>
      <c r="N150" s="139">
        <f t="shared" si="23"/>
        <v>0</v>
      </c>
      <c r="O150" s="139"/>
    </row>
    <row r="151" spans="1:15" ht="5.0999999999999996" customHeight="1" x14ac:dyDescent="0.25">
      <c r="A151" s="213">
        <v>0</v>
      </c>
      <c r="B151" s="71"/>
      <c r="C151" s="71"/>
      <c r="D151" s="71"/>
      <c r="E151" s="71"/>
      <c r="F151" s="71"/>
      <c r="G151" s="56"/>
      <c r="H151" s="108"/>
      <c r="I151" s="202"/>
      <c r="J151" s="134"/>
      <c r="K151" s="283"/>
      <c r="L151" s="193"/>
      <c r="M151" s="282"/>
      <c r="N151" s="139">
        <f>N152</f>
        <v>0</v>
      </c>
      <c r="O151" s="140"/>
    </row>
    <row r="152" spans="1:15" ht="15.75" x14ac:dyDescent="0.25">
      <c r="A152" s="68" t="s">
        <v>3482</v>
      </c>
      <c r="B152" s="71"/>
      <c r="C152" s="71"/>
      <c r="D152" s="71"/>
      <c r="E152" s="71"/>
      <c r="F152" s="71"/>
      <c r="G152" s="56"/>
      <c r="H152" s="108"/>
      <c r="I152" s="203"/>
      <c r="J152" s="134"/>
      <c r="K152" s="283"/>
      <c r="L152" s="193"/>
      <c r="M152" s="282"/>
      <c r="N152" s="139">
        <f>AVERAGE(N153:N157)</f>
        <v>0</v>
      </c>
      <c r="O152" s="140"/>
    </row>
    <row r="153" spans="1:15" x14ac:dyDescent="0.25">
      <c r="A153" s="70" t="s">
        <v>956</v>
      </c>
      <c r="B153" s="69">
        <v>12</v>
      </c>
      <c r="C153" s="69">
        <f>B153/12</f>
        <v>1</v>
      </c>
      <c r="D153" s="69">
        <f t="shared" si="22"/>
        <v>12</v>
      </c>
      <c r="E153" s="271">
        <f>HLOOKUP(Overview!$R$8,Table3[#All],144,FALSE)</f>
        <v>0</v>
      </c>
      <c r="F153" s="69">
        <f>E153/12</f>
        <v>0</v>
      </c>
      <c r="G153" s="72"/>
      <c r="H153" s="272">
        <f>INDEX(Table3[],MATCH(A153,Table3[[#All],[Column18]],0)-1,MATCH($R$8,Table3[#Headers],0)+3)</f>
        <v>0</v>
      </c>
      <c r="I153" s="148" t="e">
        <f>IF(K153&gt;0,((((((M153/K153)*($B$205)*K153)+(1-$B$205)*H153))/((K153*($B$205))+(1-$B$205)))-F153)/(((((M153/K153)*($B$205)*K153)+(1-$B$205)*H153))/((K153*($B$205))+(1-$B$205))),(H153-F153)/H153)</f>
        <v>#DIV/0!</v>
      </c>
      <c r="J153" s="193"/>
      <c r="K153" s="283">
        <f>INDEX(Table3[],MATCH(A153,Table3[[#All],[Column18]],0)-1,MATCH($R$8,Table3[#Headers],0)+6)</f>
        <v>0</v>
      </c>
      <c r="L153" s="207" t="s">
        <v>3380</v>
      </c>
      <c r="M153" s="282">
        <f>INDEX(Table3[],MATCH(A153,Table3[[#All],[Column18]],0)-1,MATCH($R$8,Table3[#Headers],0)+8)</f>
        <v>0</v>
      </c>
      <c r="N153" s="139">
        <f t="shared" si="23"/>
        <v>0</v>
      </c>
      <c r="O153" s="139"/>
    </row>
    <row r="154" spans="1:15" x14ac:dyDescent="0.25">
      <c r="A154" s="70" t="s">
        <v>3242</v>
      </c>
      <c r="B154" s="69">
        <v>15</v>
      </c>
      <c r="C154" s="69">
        <f>B154/12</f>
        <v>1.25</v>
      </c>
      <c r="D154" s="69">
        <f t="shared" si="22"/>
        <v>15</v>
      </c>
      <c r="E154" s="271">
        <f>HLOOKUP(Overview!$R$8,Table3[#All],145,FALSE)</f>
        <v>0</v>
      </c>
      <c r="F154" s="69">
        <f>E154/12</f>
        <v>0</v>
      </c>
      <c r="G154" s="72"/>
      <c r="H154" s="272">
        <f>INDEX(Table3[],MATCH(A154,Table3[[#All],[Column18]],0)-1,MATCH($R$8,Table3[#Headers],0)+3)</f>
        <v>0</v>
      </c>
      <c r="I154" s="148" t="e">
        <f>IF(K154&gt;0,((((((M154/K154)*($B$205)*K154)+(1-$B$205)*H154))/((K154*($B$205))+(1-$B$205)))-F154)/(((((M154/K154)*($B$205)*K154)+(1-$B$205)*H154))/((K154*($B$205))+(1-$B$205))),(H154-F154)/H154)</f>
        <v>#DIV/0!</v>
      </c>
      <c r="J154" s="193"/>
      <c r="K154" s="283">
        <f>INDEX(Table3[],MATCH(A154,Table3[[#All],[Column18]],0)-1,MATCH($R$8,Table3[#Headers],0)+6)</f>
        <v>0</v>
      </c>
      <c r="L154" s="207" t="s">
        <v>3380</v>
      </c>
      <c r="M154" s="282">
        <f>INDEX(Table3[],MATCH(A154,Table3[[#All],[Column18]],0)-1,MATCH($R$8,Table3[#Headers],0)+8)</f>
        <v>0</v>
      </c>
      <c r="N154" s="139">
        <f t="shared" si="23"/>
        <v>0</v>
      </c>
      <c r="O154" s="139"/>
    </row>
    <row r="155" spans="1:15" x14ac:dyDescent="0.25">
      <c r="A155" s="106" t="s">
        <v>3243</v>
      </c>
      <c r="B155" s="69">
        <v>20</v>
      </c>
      <c r="C155" s="69">
        <f>B155/6</f>
        <v>3.33</v>
      </c>
      <c r="D155" s="69">
        <f t="shared" si="22"/>
        <v>20</v>
      </c>
      <c r="E155" s="271">
        <f>HLOOKUP(Overview!$R$8,Table3[#All],146,FALSE)</f>
        <v>0</v>
      </c>
      <c r="F155" s="69">
        <f>E155/6</f>
        <v>0</v>
      </c>
      <c r="G155" s="56"/>
      <c r="H155" s="272">
        <f>INDEX(Table3[],MATCH(A155,Table3[[#All],[Column18]],0)-1,MATCH($R$8,Table3[#Headers],0)+3)</f>
        <v>0</v>
      </c>
      <c r="I155" s="148" t="e">
        <f>IF(K155&gt;0,((((((M155/K155)*($B$205)*K155)+(1-$B$205)*H155))/((K155*($B$205))+(1-$B$205)))-F155)/(((((M155/K155)*($B$205)*K155)+(1-$B$205)*H155))/((K155*($B$205))+(1-$B$205))),(H155-F155)/H155)</f>
        <v>#DIV/0!</v>
      </c>
      <c r="J155" s="193"/>
      <c r="K155" s="283">
        <f>INDEX(Table3[],MATCH(A155,Table3[[#All],[Column18]],0)-1,MATCH($R$8,Table3[#Headers],0)+6)</f>
        <v>0</v>
      </c>
      <c r="L155" s="207" t="s">
        <v>3380</v>
      </c>
      <c r="M155" s="282">
        <f>INDEX(Table3[],MATCH(A155,Table3[[#All],[Column18]],0)-1,MATCH($R$8,Table3[#Headers],0)+8)</f>
        <v>0</v>
      </c>
      <c r="N155" s="139">
        <f>E155</f>
        <v>0</v>
      </c>
      <c r="O155" s="139"/>
    </row>
    <row r="156" spans="1:15" x14ac:dyDescent="0.25">
      <c r="A156" s="106" t="s">
        <v>3218</v>
      </c>
      <c r="B156" s="69">
        <v>24</v>
      </c>
      <c r="C156" s="69">
        <f>B156/24</f>
        <v>1</v>
      </c>
      <c r="D156" s="69">
        <f t="shared" si="22"/>
        <v>24</v>
      </c>
      <c r="E156" s="271">
        <f>HLOOKUP(Overview!$R$8,Table3[#All],147,FALSE)</f>
        <v>0</v>
      </c>
      <c r="F156" s="69">
        <f>E156/24</f>
        <v>0</v>
      </c>
      <c r="G156" s="56"/>
      <c r="H156" s="272">
        <f>INDEX(Table3[],MATCH(A156,Table3[[#All],[Column18]],0)-1,MATCH($R$8,Table3[#Headers],0)+3)</f>
        <v>0</v>
      </c>
      <c r="I156" s="148" t="e">
        <f>IF(K156&gt;0,((((((M156/K156)*($B$205)*K156)+(1-$B$205)*H156))/((K156*($B$205))+(1-$B$205)))-F156)/(((((M156/K156)*($B$205)*K156)+(1-$B$205)*H156))/((K156*($B$205))+(1-$B$205))),(H156-F156)/H156)</f>
        <v>#DIV/0!</v>
      </c>
      <c r="J156" s="193"/>
      <c r="K156" s="283">
        <f>INDEX(Table3[],MATCH(A156,Table3[[#All],[Column18]],0)-1,MATCH($R$8,Table3[#Headers],0)+6)</f>
        <v>0</v>
      </c>
      <c r="L156" s="207" t="s">
        <v>3380</v>
      </c>
      <c r="M156" s="282">
        <f>INDEX(Table3[],MATCH(A156,Table3[[#All],[Column18]],0)-1,MATCH($R$8,Table3[#Headers],0)+8)</f>
        <v>0</v>
      </c>
      <c r="N156" s="139">
        <f>E156</f>
        <v>0</v>
      </c>
      <c r="O156" s="139"/>
    </row>
    <row r="157" spans="1:15" x14ac:dyDescent="0.25">
      <c r="A157" s="106" t="s">
        <v>3219</v>
      </c>
      <c r="B157" s="69">
        <v>24</v>
      </c>
      <c r="C157" s="69">
        <f>B157/12</f>
        <v>2</v>
      </c>
      <c r="D157" s="69">
        <f t="shared" si="22"/>
        <v>24</v>
      </c>
      <c r="E157" s="271">
        <f>HLOOKUP(Overview!$R$8,Table3[#All],148,FALSE)</f>
        <v>0</v>
      </c>
      <c r="F157" s="69">
        <f>E157/12</f>
        <v>0</v>
      </c>
      <c r="G157" s="56"/>
      <c r="H157" s="272">
        <f>INDEX(Table3[],MATCH(A157,Table3[[#All],[Column18]],0)-1,MATCH($R$8,Table3[#Headers],0)+3)</f>
        <v>0</v>
      </c>
      <c r="I157" s="148" t="e">
        <f>IF(K157&gt;0,((((((M157/K157)*($B$205)*K157)+(1-$B$205)*H157))/((K157*($B$205))+(1-$B$205)))-F157)/(((((M157/K157)*($B$205)*K157)+(1-$B$205)*H157))/((K157*($B$205))+(1-$B$205))),(H157-F157)/H157)</f>
        <v>#DIV/0!</v>
      </c>
      <c r="J157" s="193"/>
      <c r="K157" s="283">
        <f>INDEX(Table3[],MATCH(A157,Table3[[#All],[Column18]],0)-1,MATCH($R$8,Table3[#Headers],0)+6)</f>
        <v>0</v>
      </c>
      <c r="L157" s="207" t="s">
        <v>3380</v>
      </c>
      <c r="M157" s="282">
        <f>INDEX(Table3[],MATCH(A157,Table3[[#All],[Column18]],0)-1,MATCH($R$8,Table3[#Headers],0)+8)</f>
        <v>0</v>
      </c>
      <c r="N157" s="139">
        <f>E157</f>
        <v>0</v>
      </c>
      <c r="O157" s="139"/>
    </row>
    <row r="158" spans="1:15" ht="5.0999999999999996" customHeight="1" x14ac:dyDescent="0.25">
      <c r="A158" s="213">
        <v>0</v>
      </c>
      <c r="B158" s="71"/>
      <c r="C158" s="71"/>
      <c r="D158" s="71"/>
      <c r="E158" s="71"/>
      <c r="F158" s="71"/>
      <c r="G158" s="56"/>
      <c r="H158" s="108"/>
      <c r="I158" s="202"/>
      <c r="J158" s="134"/>
      <c r="K158" s="283"/>
      <c r="L158" s="193"/>
      <c r="M158" s="282"/>
      <c r="N158" s="139">
        <f>N159</f>
        <v>0</v>
      </c>
      <c r="O158" s="140"/>
    </row>
    <row r="159" spans="1:15" ht="15.75" x14ac:dyDescent="0.25">
      <c r="A159" s="68" t="s">
        <v>3485</v>
      </c>
      <c r="B159" s="71"/>
      <c r="C159" s="71"/>
      <c r="D159" s="71"/>
      <c r="E159" s="71"/>
      <c r="F159" s="71"/>
      <c r="G159" s="56"/>
      <c r="H159" s="108"/>
      <c r="I159" s="203"/>
      <c r="J159" s="134"/>
      <c r="K159" s="283"/>
      <c r="L159" s="193"/>
      <c r="M159" s="282"/>
      <c r="N159" s="139">
        <f>AVERAGE(N160:N167)</f>
        <v>0</v>
      </c>
      <c r="O159" s="140"/>
    </row>
    <row r="160" spans="1:15" x14ac:dyDescent="0.25">
      <c r="A160" s="70" t="s">
        <v>3506</v>
      </c>
      <c r="B160" s="69">
        <v>24</v>
      </c>
      <c r="C160" s="69">
        <f>B160/12</f>
        <v>2</v>
      </c>
      <c r="D160" s="69">
        <f t="shared" ref="D160:D167" si="24">SUM(B160-E160)</f>
        <v>24</v>
      </c>
      <c r="E160" s="271">
        <f>HLOOKUP(Overview!$R$8,Table3[#All],151,FALSE)</f>
        <v>0</v>
      </c>
      <c r="F160" s="69">
        <f>E160/12</f>
        <v>0</v>
      </c>
      <c r="G160" s="72"/>
      <c r="H160" s="272">
        <f>INDEX(Table3[],MATCH(A160,Table3[[#All],[Column18]],0)-1,MATCH($R$8,Table3[#Headers],0)+3)</f>
        <v>0</v>
      </c>
      <c r="I160" s="148" t="e">
        <f t="shared" ref="I160:I167" si="25">IF(K160&gt;0,((((((M160/K160)*($B$205)*K160)+(1-$B$205)*H160))/((K160*($B$205))+(1-$B$205)))-F160)/(((((M160/K160)*($B$205)*K160)+(1-$B$205)*H160))/((K160*($B$205))+(1-$B$205))),(H160-F160)/H160)</f>
        <v>#DIV/0!</v>
      </c>
      <c r="J160" s="193"/>
      <c r="K160" s="283">
        <f>INDEX(Table3[],MATCH(A160,Table3[[#All],[Column18]],0)-1,MATCH($R$8,Table3[#Headers],0)+6)</f>
        <v>0</v>
      </c>
      <c r="L160" s="207" t="s">
        <v>3380</v>
      </c>
      <c r="M160" s="282">
        <f>INDEX(Table3[],MATCH(A160,Table3[[#All],[Column18]],0)-1,MATCH($R$8,Table3[#Headers],0)+8)</f>
        <v>0</v>
      </c>
      <c r="N160" s="139">
        <f t="shared" ref="N160:N167" si="26">E160</f>
        <v>0</v>
      </c>
      <c r="O160" s="139"/>
    </row>
    <row r="161" spans="1:15" x14ac:dyDescent="0.25">
      <c r="A161" s="70" t="s">
        <v>3507</v>
      </c>
      <c r="B161" s="69">
        <v>24</v>
      </c>
      <c r="C161" s="69">
        <f>B161/12</f>
        <v>2</v>
      </c>
      <c r="D161" s="69">
        <f t="shared" si="24"/>
        <v>24</v>
      </c>
      <c r="E161" s="271">
        <f>HLOOKUP(Overview!$R$8,Table3[#All],152,FALSE)</f>
        <v>0</v>
      </c>
      <c r="F161" s="69">
        <f>E161/12</f>
        <v>0</v>
      </c>
      <c r="G161" s="72"/>
      <c r="H161" s="272">
        <f>INDEX(Table3[],MATCH(A161,Table3[[#All],[Column18]],0)-1,MATCH($R$8,Table3[#Headers],0)+3)</f>
        <v>0</v>
      </c>
      <c r="I161" s="148" t="e">
        <f t="shared" si="25"/>
        <v>#DIV/0!</v>
      </c>
      <c r="J161" s="193"/>
      <c r="K161" s="283">
        <f>INDEX(Table3[],MATCH(A161,Table3[[#All],[Column18]],0)-1,MATCH($R$8,Table3[#Headers],0)+6)</f>
        <v>0</v>
      </c>
      <c r="L161" s="207" t="s">
        <v>3380</v>
      </c>
      <c r="M161" s="282">
        <f>INDEX(Table3[],MATCH(A161,Table3[[#All],[Column18]],0)-1,MATCH($R$8,Table3[#Headers],0)+8)</f>
        <v>0</v>
      </c>
      <c r="N161" s="139">
        <f t="shared" si="26"/>
        <v>0</v>
      </c>
      <c r="O161" s="139"/>
    </row>
    <row r="162" spans="1:15" x14ac:dyDescent="0.25">
      <c r="A162" s="70" t="s">
        <v>915</v>
      </c>
      <c r="B162" s="69">
        <v>36</v>
      </c>
      <c r="C162" s="69">
        <f>B162/24</f>
        <v>1.5</v>
      </c>
      <c r="D162" s="69">
        <f t="shared" si="24"/>
        <v>36</v>
      </c>
      <c r="E162" s="271">
        <f>HLOOKUP(Overview!$R$8,Table3[#All],153,FALSE)</f>
        <v>0</v>
      </c>
      <c r="F162" s="69">
        <f>E162/24</f>
        <v>0</v>
      </c>
      <c r="G162" s="72"/>
      <c r="H162" s="272">
        <f>INDEX(Table3[],MATCH(A162,Table3[[#All],[Column18]],0)-1,MATCH($R$8,Table3[#Headers],0)+3)</f>
        <v>0</v>
      </c>
      <c r="I162" s="148" t="e">
        <f t="shared" si="25"/>
        <v>#DIV/0!</v>
      </c>
      <c r="J162" s="193"/>
      <c r="K162" s="283">
        <f>INDEX(Table3[],MATCH(A162,Table3[[#All],[Column18]],0)-1,MATCH($R$8,Table3[#Headers],0)+6)</f>
        <v>0</v>
      </c>
      <c r="L162" s="207" t="s">
        <v>3380</v>
      </c>
      <c r="M162" s="282">
        <f>INDEX(Table3[],MATCH(A162,Table3[[#All],[Column18]],0)-1,MATCH($R$8,Table3[#Headers],0)+8)</f>
        <v>0</v>
      </c>
      <c r="N162" s="139">
        <f t="shared" si="26"/>
        <v>0</v>
      </c>
      <c r="O162" s="139"/>
    </row>
    <row r="163" spans="1:15" x14ac:dyDescent="0.25">
      <c r="A163" s="70" t="s">
        <v>1050</v>
      </c>
      <c r="B163" s="69">
        <v>40</v>
      </c>
      <c r="C163" s="69">
        <f>B163/24</f>
        <v>1.67</v>
      </c>
      <c r="D163" s="69">
        <f t="shared" si="24"/>
        <v>40</v>
      </c>
      <c r="E163" s="271">
        <f>HLOOKUP(Overview!$R$8,Table3[#All],154,FALSE)</f>
        <v>0</v>
      </c>
      <c r="F163" s="69">
        <f>E163/24</f>
        <v>0</v>
      </c>
      <c r="G163" s="72"/>
      <c r="H163" s="272">
        <f>INDEX(Table3[],MATCH(A163,Table3[[#All],[Column18]],0)-1,MATCH($R$8,Table3[#Headers],0)+3)</f>
        <v>0</v>
      </c>
      <c r="I163" s="148" t="e">
        <f t="shared" si="25"/>
        <v>#DIV/0!</v>
      </c>
      <c r="J163" s="193"/>
      <c r="K163" s="283">
        <f>INDEX(Table3[],MATCH(A163,Table3[[#All],[Column18]],0)-1,MATCH($R$8,Table3[#Headers],0)+6)</f>
        <v>0</v>
      </c>
      <c r="L163" s="207" t="s">
        <v>3380</v>
      </c>
      <c r="M163" s="282">
        <f>INDEX(Table3[],MATCH(A163,Table3[[#All],[Column18]],0)-1,MATCH($R$8,Table3[#Headers],0)+8)</f>
        <v>0</v>
      </c>
      <c r="N163" s="139">
        <f t="shared" si="26"/>
        <v>0</v>
      </c>
      <c r="O163" s="139"/>
    </row>
    <row r="164" spans="1:15" x14ac:dyDescent="0.25">
      <c r="A164" s="70" t="s">
        <v>916</v>
      </c>
      <c r="B164" s="69">
        <v>24</v>
      </c>
      <c r="C164" s="69">
        <f>B164/12</f>
        <v>2</v>
      </c>
      <c r="D164" s="69">
        <f t="shared" si="24"/>
        <v>24</v>
      </c>
      <c r="E164" s="271">
        <f>HLOOKUP(Overview!$R$8,Table3[#All],155,FALSE)</f>
        <v>0</v>
      </c>
      <c r="F164" s="69">
        <f>E164/12</f>
        <v>0</v>
      </c>
      <c r="G164" s="72"/>
      <c r="H164" s="272">
        <f>INDEX(Table3[],MATCH(A164,Table3[[#All],[Column18]],0)-1,MATCH($R$8,Table3[#Headers],0)+3)</f>
        <v>0</v>
      </c>
      <c r="I164" s="148" t="e">
        <f t="shared" si="25"/>
        <v>#DIV/0!</v>
      </c>
      <c r="J164" s="193"/>
      <c r="K164" s="283">
        <f>INDEX(Table3[],MATCH(A164,Table3[[#All],[Column18]],0)-1,MATCH($R$8,Table3[#Headers],0)+6)</f>
        <v>0</v>
      </c>
      <c r="L164" s="207" t="s">
        <v>3380</v>
      </c>
      <c r="M164" s="282">
        <f>INDEX(Table3[],MATCH(A164,Table3[[#All],[Column18]],0)-1,MATCH($R$8,Table3[#Headers],0)+8)</f>
        <v>0</v>
      </c>
      <c r="N164" s="139">
        <f t="shared" si="26"/>
        <v>0</v>
      </c>
      <c r="O164" s="139"/>
    </row>
    <row r="165" spans="1:15" x14ac:dyDescent="0.25">
      <c r="A165" s="70" t="s">
        <v>3247</v>
      </c>
      <c r="B165" s="69">
        <v>24</v>
      </c>
      <c r="C165" s="69">
        <f>B165/12</f>
        <v>2</v>
      </c>
      <c r="D165" s="69">
        <f t="shared" si="24"/>
        <v>24</v>
      </c>
      <c r="E165" s="271">
        <f>HLOOKUP(Overview!$R$8,Table3[#All],156,FALSE)</f>
        <v>0</v>
      </c>
      <c r="F165" s="69">
        <f>E165/12</f>
        <v>0</v>
      </c>
      <c r="G165" s="72"/>
      <c r="H165" s="272">
        <f>INDEX(Table3[],MATCH(A165,Table3[[#All],[Column18]],0)-1,MATCH($R$8,Table3[#Headers],0)+3)</f>
        <v>0</v>
      </c>
      <c r="I165" s="148" t="e">
        <f t="shared" si="25"/>
        <v>#DIV/0!</v>
      </c>
      <c r="J165" s="193"/>
      <c r="K165" s="283">
        <f>INDEX(Table3[],MATCH(A165,Table3[[#All],[Column18]],0)-1,MATCH($R$8,Table3[#Headers],0)+6)</f>
        <v>0</v>
      </c>
      <c r="L165" s="207" t="s">
        <v>3380</v>
      </c>
      <c r="M165" s="282">
        <f>INDEX(Table3[],MATCH(A165,Table3[[#All],[Column18]],0)-1,MATCH($R$8,Table3[#Headers],0)+8)</f>
        <v>0</v>
      </c>
      <c r="N165" s="139">
        <f t="shared" si="26"/>
        <v>0</v>
      </c>
      <c r="O165" s="139"/>
    </row>
    <row r="166" spans="1:15" x14ac:dyDescent="0.25">
      <c r="A166" s="70" t="s">
        <v>918</v>
      </c>
      <c r="B166" s="69">
        <v>24</v>
      </c>
      <c r="C166" s="69">
        <f>B166/4</f>
        <v>6</v>
      </c>
      <c r="D166" s="69">
        <f t="shared" si="24"/>
        <v>24</v>
      </c>
      <c r="E166" s="271">
        <f>HLOOKUP(Overview!$R$8,Table3[#All],157,FALSE)</f>
        <v>0</v>
      </c>
      <c r="F166" s="69">
        <f>E166/4</f>
        <v>0</v>
      </c>
      <c r="G166" s="72"/>
      <c r="H166" s="272">
        <f>INDEX(Table3[],MATCH(A166,Table3[[#All],[Column18]],0)-1,MATCH($R$8,Table3[#Headers],0)+3)</f>
        <v>0</v>
      </c>
      <c r="I166" s="148" t="e">
        <f t="shared" si="25"/>
        <v>#DIV/0!</v>
      </c>
      <c r="J166" s="193"/>
      <c r="K166" s="283">
        <f>INDEX(Table3[],MATCH(A166,Table3[[#All],[Column18]],0)-1,MATCH($R$8,Table3[#Headers],0)+6)</f>
        <v>0</v>
      </c>
      <c r="L166" s="207" t="s">
        <v>3380</v>
      </c>
      <c r="M166" s="282">
        <f>INDEX(Table3[],MATCH(A166,Table3[[#All],[Column18]],0)-1,MATCH($R$8,Table3[#Headers],0)+8)</f>
        <v>0</v>
      </c>
      <c r="N166" s="139">
        <f t="shared" si="26"/>
        <v>0</v>
      </c>
      <c r="O166" s="139"/>
    </row>
    <row r="167" spans="1:15" x14ac:dyDescent="0.25">
      <c r="A167" s="111" t="s">
        <v>917</v>
      </c>
      <c r="B167" s="112">
        <v>24</v>
      </c>
      <c r="C167" s="69">
        <f>B167/2</f>
        <v>12</v>
      </c>
      <c r="D167" s="112">
        <f t="shared" si="24"/>
        <v>24</v>
      </c>
      <c r="E167" s="271">
        <f>HLOOKUP(Overview!$R$8,Table3[#All],158,FALSE)</f>
        <v>0</v>
      </c>
      <c r="F167" s="112">
        <f>E167/2</f>
        <v>0</v>
      </c>
      <c r="G167" s="72"/>
      <c r="H167" s="272">
        <f>INDEX(Table3[],MATCH(A167,Table3[[#All],[Column18]],0)-1,MATCH($R$8,Table3[#Headers],0)+3)</f>
        <v>0</v>
      </c>
      <c r="I167" s="148" t="e">
        <f t="shared" si="25"/>
        <v>#DIV/0!</v>
      </c>
      <c r="J167" s="193"/>
      <c r="K167" s="283">
        <f>INDEX(Table3[],MATCH(A167,Table3[[#All],[Column18]],0)-1,MATCH($R$8,Table3[#Headers],0)+6)</f>
        <v>0</v>
      </c>
      <c r="L167" s="207" t="s">
        <v>3380</v>
      </c>
      <c r="M167" s="282">
        <f>INDEX(Table3[],MATCH(A167,Table3[[#All],[Column18]],0)-1,MATCH($R$8,Table3[#Headers],0)+8)</f>
        <v>0</v>
      </c>
      <c r="N167" s="139">
        <f t="shared" si="26"/>
        <v>0</v>
      </c>
      <c r="O167" s="139"/>
    </row>
    <row r="168" spans="1:15" ht="5.0999999999999996" customHeight="1" x14ac:dyDescent="0.25">
      <c r="A168" s="213">
        <v>0</v>
      </c>
      <c r="B168" s="71"/>
      <c r="C168" s="71"/>
      <c r="D168" s="71"/>
      <c r="E168" s="71"/>
      <c r="F168" s="71"/>
      <c r="G168" s="56"/>
      <c r="H168" s="108"/>
      <c r="I168" s="202"/>
      <c r="J168" s="134"/>
      <c r="K168" s="283"/>
      <c r="L168" s="193"/>
      <c r="M168" s="282"/>
      <c r="N168" s="139">
        <f>N169</f>
        <v>0</v>
      </c>
      <c r="O168" s="140"/>
    </row>
    <row r="169" spans="1:15" ht="15.75" x14ac:dyDescent="0.25">
      <c r="A169" s="68" t="s">
        <v>3481</v>
      </c>
      <c r="B169" s="71"/>
      <c r="C169" s="71"/>
      <c r="D169" s="71"/>
      <c r="E169" s="71"/>
      <c r="F169" s="71"/>
      <c r="G169" s="56"/>
      <c r="H169" s="108"/>
      <c r="I169" s="203"/>
      <c r="J169" s="134"/>
      <c r="K169" s="283"/>
      <c r="L169" s="193"/>
      <c r="M169" s="282"/>
      <c r="N169" s="139">
        <f>AVERAGE(N170:N202)</f>
        <v>0</v>
      </c>
      <c r="O169" s="140"/>
    </row>
    <row r="170" spans="1:15" x14ac:dyDescent="0.25">
      <c r="A170" s="70" t="s">
        <v>3261</v>
      </c>
      <c r="B170" s="69">
        <v>14</v>
      </c>
      <c r="C170" s="69">
        <f>B170/4</f>
        <v>3.5</v>
      </c>
      <c r="D170" s="69">
        <f>SUM(B170-E170)</f>
        <v>14</v>
      </c>
      <c r="E170" s="271">
        <f>HLOOKUP(Overview!$R$8,Table3[#All],161,FALSE)</f>
        <v>0</v>
      </c>
      <c r="F170" s="69">
        <f>E170/4</f>
        <v>0</v>
      </c>
      <c r="G170" s="72"/>
      <c r="H170" s="272">
        <f>INDEX(Table3[],MATCH(A170,Table3[[#All],[Column18]],0)-1,MATCH($R$8,Table3[#Headers],0)+3)</f>
        <v>0</v>
      </c>
      <c r="I170" s="148" t="e">
        <f t="shared" ref="I170:I202" si="27">IF(K170&gt;0,((((((M170/K170)*($B$205)*K170)+(1-$B$205)*H170))/((K170*($B$205))+(1-$B$205)))-F170)/(((((M170/K170)*($B$205)*K170)+(1-$B$205)*H170))/((K170*($B$205))+(1-$B$205))),(H170-F170)/H170)</f>
        <v>#DIV/0!</v>
      </c>
      <c r="J170" s="193"/>
      <c r="K170" s="283">
        <f>INDEX(Table3[],MATCH(A170,Table3[[#All],[Column18]],0)-1,MATCH($R$8,Table3[#Headers],0)+6)</f>
        <v>0</v>
      </c>
      <c r="L170" s="207" t="s">
        <v>3380</v>
      </c>
      <c r="M170" s="282">
        <f>INDEX(Table3[],MATCH(A170,Table3[[#All],[Column18]],0)-1,MATCH($R$8,Table3[#Headers],0)+8)</f>
        <v>0</v>
      </c>
      <c r="N170" s="139">
        <f t="shared" ref="N170:N180" si="28">E170</f>
        <v>0</v>
      </c>
      <c r="O170" s="139"/>
    </row>
    <row r="171" spans="1:15" x14ac:dyDescent="0.25">
      <c r="A171" s="70" t="s">
        <v>3216</v>
      </c>
      <c r="B171" s="69">
        <v>18</v>
      </c>
      <c r="C171" s="69">
        <f>B171/24</f>
        <v>0.75</v>
      </c>
      <c r="D171" s="69">
        <f t="shared" ref="D171:D191" si="29">SUM(B171-E171)</f>
        <v>18</v>
      </c>
      <c r="E171" s="271">
        <f>HLOOKUP(Overview!$R$8,Table3[#All],162,FALSE)</f>
        <v>0</v>
      </c>
      <c r="F171" s="69">
        <f>E171/24</f>
        <v>0</v>
      </c>
      <c r="G171" s="72"/>
      <c r="H171" s="272">
        <f>INDEX(Table3[],MATCH(A171,Table3[[#All],[Column18]],0)-1,MATCH($R$8,Table3[#Headers],0)+3)</f>
        <v>0</v>
      </c>
      <c r="I171" s="148" t="e">
        <f t="shared" si="27"/>
        <v>#DIV/0!</v>
      </c>
      <c r="J171" s="193"/>
      <c r="K171" s="283">
        <f>INDEX(Table3[],MATCH(A171,Table3[[#All],[Column18]],0)-1,MATCH($R$8,Table3[#Headers],0)+6)</f>
        <v>0</v>
      </c>
      <c r="L171" s="207" t="s">
        <v>3380</v>
      </c>
      <c r="M171" s="282">
        <f>INDEX(Table3[],MATCH(A171,Table3[[#All],[Column18]],0)-1,MATCH($R$8,Table3[#Headers],0)+8)</f>
        <v>0</v>
      </c>
      <c r="N171" s="139">
        <f t="shared" si="28"/>
        <v>0</v>
      </c>
      <c r="O171" s="139"/>
    </row>
    <row r="172" spans="1:15" x14ac:dyDescent="0.25">
      <c r="A172" s="70" t="s">
        <v>914</v>
      </c>
      <c r="B172" s="69">
        <v>36</v>
      </c>
      <c r="C172" s="69">
        <f>B172/24</f>
        <v>1.5</v>
      </c>
      <c r="D172" s="69">
        <f t="shared" si="29"/>
        <v>36</v>
      </c>
      <c r="E172" s="271">
        <f>HLOOKUP(Overview!$R$8,Table3[#All],163,FALSE)</f>
        <v>0</v>
      </c>
      <c r="F172" s="69">
        <f>E172/24</f>
        <v>0</v>
      </c>
      <c r="G172" s="72"/>
      <c r="H172" s="272">
        <f>INDEX(Table3[],MATCH(A172,Table3[[#All],[Column18]],0)-1,MATCH($R$8,Table3[#Headers],0)+3)</f>
        <v>0</v>
      </c>
      <c r="I172" s="148" t="e">
        <f t="shared" si="27"/>
        <v>#DIV/0!</v>
      </c>
      <c r="J172" s="193"/>
      <c r="K172" s="283">
        <f>INDEX(Table3[],MATCH(A172,Table3[[#All],[Column18]],0)-1,MATCH($R$8,Table3[#Headers],0)+6)</f>
        <v>0</v>
      </c>
      <c r="L172" s="207" t="s">
        <v>3380</v>
      </c>
      <c r="M172" s="282">
        <f>INDEX(Table3[],MATCH(A172,Table3[[#All],[Column18]],0)-1,MATCH($R$8,Table3[#Headers],0)+8)</f>
        <v>0</v>
      </c>
      <c r="N172" s="139">
        <f t="shared" si="28"/>
        <v>0</v>
      </c>
      <c r="O172" s="139"/>
    </row>
    <row r="173" spans="1:15" x14ac:dyDescent="0.25">
      <c r="A173" s="70" t="s">
        <v>3217</v>
      </c>
      <c r="B173" s="69">
        <v>36</v>
      </c>
      <c r="C173" s="69">
        <f>B173/24</f>
        <v>1.5</v>
      </c>
      <c r="D173" s="69">
        <f t="shared" si="29"/>
        <v>36</v>
      </c>
      <c r="E173" s="271">
        <f>HLOOKUP(Overview!$R$8,Table3[#All],164,FALSE)</f>
        <v>0</v>
      </c>
      <c r="F173" s="69">
        <f>E173/24</f>
        <v>0</v>
      </c>
      <c r="G173" s="72"/>
      <c r="H173" s="272">
        <f>INDEX(Table3[],MATCH(A173,Table3[[#All],[Column18]],0)-1,MATCH($R$8,Table3[#Headers],0)+3)</f>
        <v>0</v>
      </c>
      <c r="I173" s="148" t="e">
        <f t="shared" si="27"/>
        <v>#DIV/0!</v>
      </c>
      <c r="J173" s="193"/>
      <c r="K173" s="283">
        <f>INDEX(Table3[],MATCH(A173,Table3[[#All],[Column18]],0)-1,MATCH($R$8,Table3[#Headers],0)+6)</f>
        <v>0</v>
      </c>
      <c r="L173" s="207" t="s">
        <v>3380</v>
      </c>
      <c r="M173" s="282">
        <f>INDEX(Table3[],MATCH(A173,Table3[[#All],[Column18]],0)-1,MATCH($R$8,Table3[#Headers],0)+8)</f>
        <v>0</v>
      </c>
      <c r="N173" s="139">
        <f t="shared" si="28"/>
        <v>0</v>
      </c>
      <c r="O173" s="139"/>
    </row>
    <row r="174" spans="1:15" x14ac:dyDescent="0.25">
      <c r="A174" s="70" t="s">
        <v>3248</v>
      </c>
      <c r="B174" s="69">
        <v>24</v>
      </c>
      <c r="C174" s="69">
        <f>B174/15</f>
        <v>1.6</v>
      </c>
      <c r="D174" s="69">
        <f t="shared" si="29"/>
        <v>24</v>
      </c>
      <c r="E174" s="271">
        <f>HLOOKUP(Overview!$R$8,Table3[#All],165,FALSE)</f>
        <v>0</v>
      </c>
      <c r="F174" s="69">
        <f>E174/15</f>
        <v>0</v>
      </c>
      <c r="G174" s="72"/>
      <c r="H174" s="272">
        <f>INDEX(Table3[],MATCH(A174,Table3[[#All],[Column18]],0)-1,MATCH($R$8,Table3[#Headers],0)+3)</f>
        <v>0</v>
      </c>
      <c r="I174" s="148" t="e">
        <f t="shared" si="27"/>
        <v>#DIV/0!</v>
      </c>
      <c r="J174" s="193"/>
      <c r="K174" s="283">
        <f>INDEX(Table3[],MATCH(A174,Table3[[#All],[Column18]],0)-1,MATCH($R$8,Table3[#Headers],0)+6)</f>
        <v>0</v>
      </c>
      <c r="L174" s="207" t="s">
        <v>3380</v>
      </c>
      <c r="M174" s="282">
        <f>INDEX(Table3[],MATCH(A174,Table3[[#All],[Column18]],0)-1,MATCH($R$8,Table3[#Headers],0)+8)</f>
        <v>0</v>
      </c>
      <c r="N174" s="139">
        <f t="shared" si="28"/>
        <v>0</v>
      </c>
      <c r="O174" s="139"/>
    </row>
    <row r="175" spans="1:15" x14ac:dyDescent="0.25">
      <c r="A175" s="70" t="s">
        <v>3249</v>
      </c>
      <c r="B175" s="69">
        <v>24</v>
      </c>
      <c r="C175" s="69">
        <f>B175/12</f>
        <v>2</v>
      </c>
      <c r="D175" s="69">
        <f t="shared" si="29"/>
        <v>24</v>
      </c>
      <c r="E175" s="271">
        <f>HLOOKUP(Overview!$R$8,Table3[#All],166,FALSE)</f>
        <v>0</v>
      </c>
      <c r="F175" s="69">
        <f>E175/12</f>
        <v>0</v>
      </c>
      <c r="G175" s="72"/>
      <c r="H175" s="272">
        <f>INDEX(Table3[],MATCH(A175,Table3[[#All],[Column18]],0)-1,MATCH($R$8,Table3[#Headers],0)+3)</f>
        <v>0</v>
      </c>
      <c r="I175" s="148" t="e">
        <f t="shared" si="27"/>
        <v>#DIV/0!</v>
      </c>
      <c r="J175" s="193"/>
      <c r="K175" s="283">
        <f>INDEX(Table3[],MATCH(A175,Table3[[#All],[Column18]],0)-1,MATCH($R$8,Table3[#Headers],0)+6)</f>
        <v>0</v>
      </c>
      <c r="L175" s="207" t="s">
        <v>3380</v>
      </c>
      <c r="M175" s="282">
        <f>INDEX(Table3[],MATCH(A175,Table3[[#All],[Column18]],0)-1,MATCH($R$8,Table3[#Headers],0)+8)</f>
        <v>0</v>
      </c>
      <c r="N175" s="139">
        <f t="shared" si="28"/>
        <v>0</v>
      </c>
      <c r="O175" s="139"/>
    </row>
    <row r="176" spans="1:15" x14ac:dyDescent="0.25">
      <c r="A176" s="70" t="s">
        <v>3263</v>
      </c>
      <c r="B176" s="69">
        <v>24</v>
      </c>
      <c r="C176" s="69">
        <f>B176/12</f>
        <v>2</v>
      </c>
      <c r="D176" s="69">
        <f t="shared" si="29"/>
        <v>24</v>
      </c>
      <c r="E176" s="271">
        <f>HLOOKUP(Overview!$R$8,Table3[#All],167,FALSE)</f>
        <v>0</v>
      </c>
      <c r="F176" s="69">
        <f>E176/12</f>
        <v>0</v>
      </c>
      <c r="G176" s="72"/>
      <c r="H176" s="272">
        <f>INDEX(Table3[],MATCH(A176,Table3[[#All],[Column18]],0)-1,MATCH($R$8,Table3[#Headers],0)+3)</f>
        <v>0</v>
      </c>
      <c r="I176" s="148" t="e">
        <f t="shared" si="27"/>
        <v>#DIV/0!</v>
      </c>
      <c r="J176" s="193"/>
      <c r="K176" s="283">
        <f>INDEX(Table3[],MATCH(A176,Table3[[#All],[Column18]],0)-1,MATCH($R$8,Table3[#Headers],0)+6)</f>
        <v>0</v>
      </c>
      <c r="L176" s="207" t="s">
        <v>3380</v>
      </c>
      <c r="M176" s="282">
        <f>INDEX(Table3[],MATCH(A176,Table3[[#All],[Column18]],0)-1,MATCH($R$8,Table3[#Headers],0)+8)</f>
        <v>0</v>
      </c>
      <c r="N176" s="139">
        <f t="shared" si="28"/>
        <v>0</v>
      </c>
      <c r="O176" s="139"/>
    </row>
    <row r="177" spans="1:15" x14ac:dyDescent="0.25">
      <c r="A177" s="70" t="s">
        <v>3260</v>
      </c>
      <c r="B177" s="69">
        <v>24</v>
      </c>
      <c r="C177" s="69">
        <f>B177/12</f>
        <v>2</v>
      </c>
      <c r="D177" s="69">
        <f t="shared" si="29"/>
        <v>24</v>
      </c>
      <c r="E177" s="271">
        <f>HLOOKUP(Overview!$R$8,Table3[#All],168,FALSE)</f>
        <v>0</v>
      </c>
      <c r="F177" s="69">
        <f>E177/12</f>
        <v>0</v>
      </c>
      <c r="G177" s="72"/>
      <c r="H177" s="272">
        <f>INDEX(Table3[],MATCH(A177,Table3[[#All],[Column18]],0)-1,MATCH($R$8,Table3[#Headers],0)+3)</f>
        <v>0</v>
      </c>
      <c r="I177" s="148" t="e">
        <f t="shared" si="27"/>
        <v>#DIV/0!</v>
      </c>
      <c r="J177" s="193"/>
      <c r="K177" s="283">
        <f>INDEX(Table3[],MATCH(A177,Table3[[#All],[Column18]],0)-1,MATCH($R$8,Table3[#Headers],0)+6)</f>
        <v>0</v>
      </c>
      <c r="L177" s="207" t="s">
        <v>3380</v>
      </c>
      <c r="M177" s="282">
        <f>INDEX(Table3[],MATCH(A177,Table3[[#All],[Column18]],0)-1,MATCH($R$8,Table3[#Headers],0)+8)</f>
        <v>0</v>
      </c>
      <c r="N177" s="139">
        <f t="shared" si="28"/>
        <v>0</v>
      </c>
      <c r="O177" s="139"/>
    </row>
    <row r="178" spans="1:15" x14ac:dyDescent="0.25">
      <c r="A178" s="106" t="s">
        <v>3250</v>
      </c>
      <c r="B178" s="69">
        <v>24</v>
      </c>
      <c r="C178" s="69">
        <f>B178/4</f>
        <v>6</v>
      </c>
      <c r="D178" s="69">
        <f>SUM(B178-E178)</f>
        <v>24</v>
      </c>
      <c r="E178" s="271">
        <f>HLOOKUP(Overview!$R$8,Table3[#All],169,FALSE)</f>
        <v>0</v>
      </c>
      <c r="F178" s="69">
        <f>E178/4</f>
        <v>0</v>
      </c>
      <c r="G178" s="56"/>
      <c r="H178" s="272">
        <f>INDEX(Table3[],MATCH(A178,Table3[[#All],[Column18]],0)-1,MATCH($R$8,Table3[#Headers],0)+3)</f>
        <v>0</v>
      </c>
      <c r="I178" s="148" t="e">
        <f t="shared" si="27"/>
        <v>#DIV/0!</v>
      </c>
      <c r="J178" s="193"/>
      <c r="K178" s="283">
        <f>INDEX(Table3[],MATCH(A178,Table3[[#All],[Column18]],0)-1,MATCH($R$8,Table3[#Headers],0)+6)</f>
        <v>0</v>
      </c>
      <c r="L178" s="207" t="s">
        <v>3380</v>
      </c>
      <c r="M178" s="282">
        <f>INDEX(Table3[],MATCH(A178,Table3[[#All],[Column18]],0)-1,MATCH($R$8,Table3[#Headers],0)+8)</f>
        <v>0</v>
      </c>
      <c r="N178" s="139">
        <f t="shared" si="28"/>
        <v>0</v>
      </c>
      <c r="O178" s="139"/>
    </row>
    <row r="179" spans="1:15" x14ac:dyDescent="0.25">
      <c r="A179" s="106" t="s">
        <v>3251</v>
      </c>
      <c r="B179" s="69">
        <v>24</v>
      </c>
      <c r="C179" s="69">
        <f>B179</f>
        <v>24</v>
      </c>
      <c r="D179" s="69">
        <f>SUM(B179-E179)</f>
        <v>24</v>
      </c>
      <c r="E179" s="271">
        <f>HLOOKUP(Overview!$R$8,Table3[#All],170,FALSE)</f>
        <v>0</v>
      </c>
      <c r="F179" s="69">
        <f>E179</f>
        <v>0</v>
      </c>
      <c r="G179" s="56"/>
      <c r="H179" s="272">
        <f>INDEX(Table3[],MATCH(A179,Table3[[#All],[Column18]],0)-1,MATCH($R$8,Table3[#Headers],0)+3)</f>
        <v>0</v>
      </c>
      <c r="I179" s="148" t="e">
        <f t="shared" si="27"/>
        <v>#DIV/0!</v>
      </c>
      <c r="J179" s="193"/>
      <c r="K179" s="283">
        <f>INDEX(Table3[],MATCH(A179,Table3[[#All],[Column18]],0)-1,MATCH($R$8,Table3[#Headers],0)+6)</f>
        <v>0</v>
      </c>
      <c r="L179" s="207" t="s">
        <v>3380</v>
      </c>
      <c r="M179" s="282">
        <f>INDEX(Table3[],MATCH(A179,Table3[[#All],[Column18]],0)-1,MATCH($R$8,Table3[#Headers],0)+8)</f>
        <v>0</v>
      </c>
      <c r="N179" s="139">
        <f t="shared" si="28"/>
        <v>0</v>
      </c>
      <c r="O179" s="139"/>
    </row>
    <row r="180" spans="1:15" x14ac:dyDescent="0.25">
      <c r="A180" s="70" t="s">
        <v>3220</v>
      </c>
      <c r="B180" s="69">
        <v>10</v>
      </c>
      <c r="C180" s="69">
        <f>B180</f>
        <v>10</v>
      </c>
      <c r="D180" s="69">
        <f t="shared" si="29"/>
        <v>10</v>
      </c>
      <c r="E180" s="271">
        <f>HLOOKUP(Overview!$R$8,Table3[#All],171,FALSE)</f>
        <v>0</v>
      </c>
      <c r="F180" s="69">
        <f>E180</f>
        <v>0</v>
      </c>
      <c r="G180" s="72"/>
      <c r="H180" s="272">
        <f>INDEX(Table3[],MATCH(A180,Table3[[#All],[Column18]],0)-1,MATCH($R$8,Table3[#Headers],0)+3)</f>
        <v>0</v>
      </c>
      <c r="I180" s="148" t="e">
        <f t="shared" si="27"/>
        <v>#DIV/0!</v>
      </c>
      <c r="J180" s="193"/>
      <c r="K180" s="283">
        <f>INDEX(Table3[],MATCH(A180,Table3[[#All],[Column18]],0)-1,MATCH($R$8,Table3[#Headers],0)+6)</f>
        <v>0</v>
      </c>
      <c r="L180" s="207" t="s">
        <v>3380</v>
      </c>
      <c r="M180" s="282">
        <f>INDEX(Table3[],MATCH(A180,Table3[[#All],[Column18]],0)-1,MATCH($R$8,Table3[#Headers],0)+8)</f>
        <v>0</v>
      </c>
      <c r="N180" s="139">
        <f t="shared" si="28"/>
        <v>0</v>
      </c>
      <c r="O180" s="139"/>
    </row>
    <row r="181" spans="1:15" x14ac:dyDescent="0.25">
      <c r="A181" s="70" t="s">
        <v>3221</v>
      </c>
      <c r="B181" s="69">
        <v>24</v>
      </c>
      <c r="C181" s="69">
        <f>B181</f>
        <v>24</v>
      </c>
      <c r="D181" s="69">
        <f t="shared" si="29"/>
        <v>24</v>
      </c>
      <c r="E181" s="271">
        <f>HLOOKUP(Overview!$R$8,Table3[#All],172,FALSE)</f>
        <v>0</v>
      </c>
      <c r="F181" s="69">
        <f>E181</f>
        <v>0</v>
      </c>
      <c r="G181" s="72"/>
      <c r="H181" s="272">
        <f>INDEX(Table3[],MATCH(A181,Table3[[#All],[Column18]],0)-1,MATCH($R$8,Table3[#Headers],0)+3)</f>
        <v>0</v>
      </c>
      <c r="I181" s="148" t="e">
        <f t="shared" si="27"/>
        <v>#DIV/0!</v>
      </c>
      <c r="J181" s="193"/>
      <c r="K181" s="283">
        <f>INDEX(Table3[],MATCH(A181,Table3[[#All],[Column18]],0)-1,MATCH($R$8,Table3[#Headers],0)+6)</f>
        <v>0</v>
      </c>
      <c r="L181" s="207" t="s">
        <v>3380</v>
      </c>
      <c r="M181" s="282">
        <f>INDEX(Table3[],MATCH(A181,Table3[[#All],[Column18]],0)-1,MATCH($R$8,Table3[#Headers],0)+8)</f>
        <v>0</v>
      </c>
      <c r="N181" s="139">
        <f t="shared" ref="N181:N191" si="30">E181</f>
        <v>0</v>
      </c>
      <c r="O181" s="139"/>
    </row>
    <row r="182" spans="1:15" x14ac:dyDescent="0.25">
      <c r="A182" s="70" t="s">
        <v>3222</v>
      </c>
      <c r="B182" s="69">
        <v>24</v>
      </c>
      <c r="C182" s="69">
        <f>B182/24</f>
        <v>1</v>
      </c>
      <c r="D182" s="69">
        <f t="shared" si="29"/>
        <v>24</v>
      </c>
      <c r="E182" s="271">
        <f>HLOOKUP(Overview!$R$8,Table3[#All],173,FALSE)</f>
        <v>0</v>
      </c>
      <c r="F182" s="69">
        <f>E182/24</f>
        <v>0</v>
      </c>
      <c r="G182" s="72"/>
      <c r="H182" s="272">
        <f>INDEX(Table3[],MATCH(A182,Table3[[#All],[Column18]],0)-1,MATCH($R$8,Table3[#Headers],0)+3)</f>
        <v>0</v>
      </c>
      <c r="I182" s="148" t="e">
        <f t="shared" si="27"/>
        <v>#DIV/0!</v>
      </c>
      <c r="J182" s="193"/>
      <c r="K182" s="283">
        <f>INDEX(Table3[],MATCH(A182,Table3[[#All],[Column18]],0)-1,MATCH($R$8,Table3[#Headers],0)+6)</f>
        <v>0</v>
      </c>
      <c r="L182" s="207" t="s">
        <v>3380</v>
      </c>
      <c r="M182" s="282">
        <f>INDEX(Table3[],MATCH(A182,Table3[[#All],[Column18]],0)-1,MATCH($R$8,Table3[#Headers],0)+8)</f>
        <v>0</v>
      </c>
      <c r="N182" s="139">
        <f t="shared" si="30"/>
        <v>0</v>
      </c>
      <c r="O182" s="139"/>
    </row>
    <row r="183" spans="1:15" x14ac:dyDescent="0.25">
      <c r="A183" s="70" t="s">
        <v>3223</v>
      </c>
      <c r="B183" s="69">
        <v>24</v>
      </c>
      <c r="C183" s="69">
        <f>B183/24</f>
        <v>1</v>
      </c>
      <c r="D183" s="69">
        <f t="shared" si="29"/>
        <v>24</v>
      </c>
      <c r="E183" s="271">
        <f>HLOOKUP(Overview!$R$8,Table3[#All],174,FALSE)</f>
        <v>0</v>
      </c>
      <c r="F183" s="69">
        <f>E183/24</f>
        <v>0</v>
      </c>
      <c r="G183" s="72"/>
      <c r="H183" s="272">
        <f>INDEX(Table3[],MATCH(A183,Table3[[#All],[Column18]],0)-1,MATCH($R$8,Table3[#Headers],0)+3)</f>
        <v>0</v>
      </c>
      <c r="I183" s="148" t="e">
        <f t="shared" si="27"/>
        <v>#DIV/0!</v>
      </c>
      <c r="J183" s="193"/>
      <c r="K183" s="283">
        <f>INDEX(Table3[],MATCH(A183,Table3[[#All],[Column18]],0)-1,MATCH($R$8,Table3[#Headers],0)+6)</f>
        <v>0</v>
      </c>
      <c r="L183" s="207" t="s">
        <v>3380</v>
      </c>
      <c r="M183" s="282">
        <f>INDEX(Table3[],MATCH(A183,Table3[[#All],[Column18]],0)-1,MATCH($R$8,Table3[#Headers],0)+8)</f>
        <v>0</v>
      </c>
      <c r="N183" s="139">
        <f>E183</f>
        <v>0</v>
      </c>
      <c r="O183" s="139"/>
    </row>
    <row r="184" spans="1:15" x14ac:dyDescent="0.25">
      <c r="A184" s="70" t="s">
        <v>3225</v>
      </c>
      <c r="B184" s="69">
        <v>30</v>
      </c>
      <c r="C184" s="69">
        <f>B184/28</f>
        <v>1.07</v>
      </c>
      <c r="D184" s="69">
        <f t="shared" si="29"/>
        <v>30</v>
      </c>
      <c r="E184" s="271">
        <f>HLOOKUP(Overview!$R$8,Table3[#All],175,FALSE)</f>
        <v>0</v>
      </c>
      <c r="F184" s="69">
        <f>E184/28</f>
        <v>0</v>
      </c>
      <c r="G184" s="72"/>
      <c r="H184" s="272">
        <f>INDEX(Table3[],MATCH(A184,Table3[[#All],[Column18]],0)-1,MATCH($R$8,Table3[#Headers],0)+3)</f>
        <v>0</v>
      </c>
      <c r="I184" s="148" t="e">
        <f t="shared" si="27"/>
        <v>#DIV/0!</v>
      </c>
      <c r="J184" s="193"/>
      <c r="K184" s="283">
        <f>INDEX(Table3[],MATCH(A184,Table3[[#All],[Column18]],0)-1,MATCH($R$8,Table3[#Headers],0)+6)</f>
        <v>0</v>
      </c>
      <c r="L184" s="207" t="s">
        <v>3380</v>
      </c>
      <c r="M184" s="282">
        <f>INDEX(Table3[],MATCH(A184,Table3[[#All],[Column18]],0)-1,MATCH($R$8,Table3[#Headers],0)+8)</f>
        <v>0</v>
      </c>
      <c r="N184" s="139">
        <f>E184</f>
        <v>0</v>
      </c>
      <c r="O184" s="139"/>
    </row>
    <row r="185" spans="1:15" x14ac:dyDescent="0.25">
      <c r="A185" s="70" t="s">
        <v>3226</v>
      </c>
      <c r="B185" s="69">
        <v>30</v>
      </c>
      <c r="C185" s="69">
        <f>B185/28</f>
        <v>1.07</v>
      </c>
      <c r="D185" s="69">
        <f t="shared" si="29"/>
        <v>30</v>
      </c>
      <c r="E185" s="271">
        <f>HLOOKUP(Overview!$R$8,Table3[#All],176,FALSE)</f>
        <v>0</v>
      </c>
      <c r="F185" s="69">
        <f>E185/28</f>
        <v>0</v>
      </c>
      <c r="G185" s="72"/>
      <c r="H185" s="272">
        <f>INDEX(Table3[],MATCH(A185,Table3[[#All],[Column18]],0)-1,MATCH($R$8,Table3[#Headers],0)+3)</f>
        <v>0</v>
      </c>
      <c r="I185" s="148" t="e">
        <f t="shared" si="27"/>
        <v>#DIV/0!</v>
      </c>
      <c r="J185" s="193"/>
      <c r="K185" s="283">
        <f>INDEX(Table3[],MATCH(A185,Table3[[#All],[Column18]],0)-1,MATCH($R$8,Table3[#Headers],0)+6)</f>
        <v>0</v>
      </c>
      <c r="L185" s="207" t="s">
        <v>3380</v>
      </c>
      <c r="M185" s="282">
        <f>INDEX(Table3[],MATCH(A185,Table3[[#All],[Column18]],0)-1,MATCH($R$8,Table3[#Headers],0)+8)</f>
        <v>0</v>
      </c>
      <c r="N185" s="139">
        <f t="shared" si="30"/>
        <v>0</v>
      </c>
      <c r="O185" s="139"/>
    </row>
    <row r="186" spans="1:15" x14ac:dyDescent="0.25">
      <c r="A186" s="70" t="s">
        <v>3227</v>
      </c>
      <c r="B186" s="69">
        <v>24</v>
      </c>
      <c r="C186" s="69">
        <f>B186/18</f>
        <v>1.33</v>
      </c>
      <c r="D186" s="69">
        <f t="shared" si="29"/>
        <v>24</v>
      </c>
      <c r="E186" s="271">
        <f>HLOOKUP(Overview!$R$8,Table3[#All],177,FALSE)</f>
        <v>0</v>
      </c>
      <c r="F186" s="69">
        <f>E186/18</f>
        <v>0</v>
      </c>
      <c r="G186" s="72"/>
      <c r="H186" s="272">
        <f>INDEX(Table3[],MATCH(A186,Table3[[#All],[Column18]],0)-1,MATCH($R$8,Table3[#Headers],0)+3)</f>
        <v>0</v>
      </c>
      <c r="I186" s="148" t="e">
        <f t="shared" si="27"/>
        <v>#DIV/0!</v>
      </c>
      <c r="J186" s="193"/>
      <c r="K186" s="283">
        <f>INDEX(Table3[],MATCH(A186,Table3[[#All],[Column18]],0)-1,MATCH($R$8,Table3[#Headers],0)+6)</f>
        <v>0</v>
      </c>
      <c r="L186" s="207" t="s">
        <v>3380</v>
      </c>
      <c r="M186" s="282">
        <f>INDEX(Table3[],MATCH(A186,Table3[[#All],[Column18]],0)-1,MATCH($R$8,Table3[#Headers],0)+8)</f>
        <v>0</v>
      </c>
      <c r="N186" s="139">
        <f>E186</f>
        <v>0</v>
      </c>
      <c r="O186" s="139"/>
    </row>
    <row r="187" spans="1:15" x14ac:dyDescent="0.25">
      <c r="A187" s="70" t="s">
        <v>3228</v>
      </c>
      <c r="B187" s="69">
        <v>24</v>
      </c>
      <c r="C187" s="69">
        <f>B187/18</f>
        <v>1.33</v>
      </c>
      <c r="D187" s="69">
        <f t="shared" si="29"/>
        <v>24</v>
      </c>
      <c r="E187" s="271">
        <f>HLOOKUP(Overview!$R$8,Table3[#All],178,FALSE)</f>
        <v>0</v>
      </c>
      <c r="F187" s="69">
        <f>E187/18</f>
        <v>0</v>
      </c>
      <c r="G187" s="72"/>
      <c r="H187" s="272">
        <f>INDEX(Table3[],MATCH(A187,Table3[[#All],[Column18]],0)-1,MATCH($R$8,Table3[#Headers],0)+3)</f>
        <v>0</v>
      </c>
      <c r="I187" s="148" t="e">
        <f t="shared" si="27"/>
        <v>#DIV/0!</v>
      </c>
      <c r="J187" s="193"/>
      <c r="K187" s="283">
        <f>INDEX(Table3[],MATCH(A187,Table3[[#All],[Column18]],0)-1,MATCH($R$8,Table3[#Headers],0)+6)</f>
        <v>0</v>
      </c>
      <c r="L187" s="207" t="s">
        <v>3380</v>
      </c>
      <c r="M187" s="282">
        <f>INDEX(Table3[],MATCH(A187,Table3[[#All],[Column18]],0)-1,MATCH($R$8,Table3[#Headers],0)+8)</f>
        <v>0</v>
      </c>
      <c r="N187" s="139">
        <f t="shared" si="30"/>
        <v>0</v>
      </c>
      <c r="O187" s="139"/>
    </row>
    <row r="188" spans="1:15" x14ac:dyDescent="0.25">
      <c r="A188" s="70" t="s">
        <v>3837</v>
      </c>
      <c r="B188" s="69">
        <v>24</v>
      </c>
      <c r="C188" s="69">
        <f>B188/12</f>
        <v>2</v>
      </c>
      <c r="D188" s="69">
        <f>SUM(B188-E188)</f>
        <v>24</v>
      </c>
      <c r="E188" s="271">
        <f>HLOOKUP(Overview!$R$8,Table3[#All],179,FALSE)</f>
        <v>0</v>
      </c>
      <c r="F188" s="69">
        <f>E188/12</f>
        <v>0</v>
      </c>
      <c r="G188" s="72"/>
      <c r="H188" s="272">
        <f>INDEX(Table3[],MATCH(A188,Table3[[#All],[Column18]],0)-1,MATCH($R$8,Table3[#Headers],0)+3)</f>
        <v>0</v>
      </c>
      <c r="I188" s="148" t="e">
        <f t="shared" si="27"/>
        <v>#DIV/0!</v>
      </c>
      <c r="J188" s="193"/>
      <c r="K188" s="283">
        <f>INDEX(Table3[],MATCH(A188,Table3[[#All],[Column18]],0)-1,MATCH($R$8,Table3[#Headers],0)+6)</f>
        <v>0</v>
      </c>
      <c r="L188" s="207" t="s">
        <v>3380</v>
      </c>
      <c r="M188" s="282">
        <f>INDEX(Table3[],MATCH(A188,Table3[[#All],[Column18]],0)-1,MATCH($R$8,Table3[#Headers],0)+8)</f>
        <v>0</v>
      </c>
      <c r="N188" s="139">
        <f>E188</f>
        <v>0</v>
      </c>
      <c r="O188" s="139"/>
    </row>
    <row r="189" spans="1:15" x14ac:dyDescent="0.25">
      <c r="A189" s="70" t="s">
        <v>3838</v>
      </c>
      <c r="B189" s="69">
        <v>24</v>
      </c>
      <c r="C189" s="69">
        <f>B189/12</f>
        <v>2</v>
      </c>
      <c r="D189" s="69">
        <f>SUM(B189-E189)</f>
        <v>24</v>
      </c>
      <c r="E189" s="271">
        <f>HLOOKUP(Overview!$R$8,Table3[#All],180,FALSE)</f>
        <v>0</v>
      </c>
      <c r="F189" s="69">
        <f>E189/12</f>
        <v>0</v>
      </c>
      <c r="G189" s="72"/>
      <c r="H189" s="272">
        <f>INDEX(Table3[],MATCH(A189,Table3[[#All],[Column18]],0)-1,MATCH($R$8,Table3[#Headers],0)+3)</f>
        <v>0</v>
      </c>
      <c r="I189" s="148" t="e">
        <f t="shared" si="27"/>
        <v>#DIV/0!</v>
      </c>
      <c r="J189" s="193"/>
      <c r="K189" s="283">
        <f>INDEX(Table3[],MATCH(A189,Table3[[#All],[Column18]],0)-1,MATCH($R$8,Table3[#Headers],0)+6)</f>
        <v>0</v>
      </c>
      <c r="L189" s="207" t="s">
        <v>3380</v>
      </c>
      <c r="M189" s="282">
        <f>INDEX(Table3[],MATCH(A189,Table3[[#All],[Column18]],0)-1,MATCH($R$8,Table3[#Headers],0)+8)</f>
        <v>0</v>
      </c>
      <c r="N189" s="139">
        <f>E189</f>
        <v>0</v>
      </c>
      <c r="O189" s="139"/>
    </row>
    <row r="190" spans="1:15" x14ac:dyDescent="0.25">
      <c r="A190" s="70" t="s">
        <v>3235</v>
      </c>
      <c r="B190" s="69">
        <v>20</v>
      </c>
      <c r="C190" s="69">
        <f>B190/24</f>
        <v>0.83</v>
      </c>
      <c r="D190" s="69">
        <f t="shared" si="29"/>
        <v>20</v>
      </c>
      <c r="E190" s="271">
        <f>HLOOKUP(Overview!$R$8,Table3[#All],181,FALSE)</f>
        <v>0</v>
      </c>
      <c r="F190" s="69">
        <f>E190/24</f>
        <v>0</v>
      </c>
      <c r="G190" s="72"/>
      <c r="H190" s="272">
        <f>INDEX(Table3[],MATCH(A190,Table3[[#All],[Column18]],0)-1,MATCH($R$8,Table3[#Headers],0)+3)</f>
        <v>0</v>
      </c>
      <c r="I190" s="148" t="e">
        <f t="shared" si="27"/>
        <v>#DIV/0!</v>
      </c>
      <c r="J190" s="193"/>
      <c r="K190" s="283">
        <f>INDEX(Table3[],MATCH(A190,Table3[[#All],[Column18]],0)-1,MATCH($R$8,Table3[#Headers],0)+6)</f>
        <v>0</v>
      </c>
      <c r="L190" s="207" t="s">
        <v>3380</v>
      </c>
      <c r="M190" s="282">
        <f>INDEX(Table3[],MATCH(A190,Table3[[#All],[Column18]],0)-1,MATCH($R$8,Table3[#Headers],0)+8)</f>
        <v>0</v>
      </c>
      <c r="N190" s="139">
        <f>E190</f>
        <v>0</v>
      </c>
      <c r="O190" s="139"/>
    </row>
    <row r="191" spans="1:15" x14ac:dyDescent="0.25">
      <c r="A191" s="70" t="s">
        <v>3238</v>
      </c>
      <c r="B191" s="69">
        <v>20</v>
      </c>
      <c r="C191" s="69">
        <f>B191/6</f>
        <v>3.33</v>
      </c>
      <c r="D191" s="69">
        <f t="shared" si="29"/>
        <v>20</v>
      </c>
      <c r="E191" s="271">
        <f>HLOOKUP(Overview!$R$8,Table3[#All],182,FALSE)</f>
        <v>0</v>
      </c>
      <c r="F191" s="69">
        <f>E191/6</f>
        <v>0</v>
      </c>
      <c r="G191" s="72"/>
      <c r="H191" s="272">
        <f>INDEX(Table3[],MATCH(A191,Table3[[#All],[Column18]],0)-1,MATCH($R$8,Table3[#Headers],0)+3)</f>
        <v>0</v>
      </c>
      <c r="I191" s="148" t="e">
        <f t="shared" si="27"/>
        <v>#DIV/0!</v>
      </c>
      <c r="J191" s="193"/>
      <c r="K191" s="283">
        <f>INDEX(Table3[],MATCH(A191,Table3[[#All],[Column18]],0)-1,MATCH($R$8,Table3[#Headers],0)+6)</f>
        <v>0</v>
      </c>
      <c r="L191" s="207" t="s">
        <v>3380</v>
      </c>
      <c r="M191" s="282">
        <f>INDEX(Table3[],MATCH(A191,Table3[[#All],[Column18]],0)-1,MATCH($R$8,Table3[#Headers],0)+8)</f>
        <v>0</v>
      </c>
      <c r="N191" s="139">
        <f t="shared" si="30"/>
        <v>0</v>
      </c>
      <c r="O191" s="139"/>
    </row>
    <row r="192" spans="1:15" x14ac:dyDescent="0.25">
      <c r="A192" s="70" t="s">
        <v>3256</v>
      </c>
      <c r="B192" s="69">
        <v>24</v>
      </c>
      <c r="C192" s="69">
        <f>B192/24</f>
        <v>1</v>
      </c>
      <c r="D192" s="69">
        <f t="shared" ref="D192:D202" si="31">SUM(B192-E192)</f>
        <v>24</v>
      </c>
      <c r="E192" s="271">
        <f>HLOOKUP(Overview!$R$8,Table3[#All],183,FALSE)</f>
        <v>0</v>
      </c>
      <c r="F192" s="69">
        <f>E192/24</f>
        <v>0</v>
      </c>
      <c r="G192" s="72"/>
      <c r="H192" s="272">
        <f>INDEX(Table3[],MATCH(A192,Table3[[#All],[Column18]],0)-1,MATCH($R$8,Table3[#Headers],0)+3)</f>
        <v>0</v>
      </c>
      <c r="I192" s="148" t="e">
        <f t="shared" si="27"/>
        <v>#DIV/0!</v>
      </c>
      <c r="J192" s="193"/>
      <c r="K192" s="283">
        <f>INDEX(Table3[],MATCH(A192,Table3[[#All],[Column18]],0)-1,MATCH($R$8,Table3[#Headers],0)+6)</f>
        <v>0</v>
      </c>
      <c r="L192" s="207" t="s">
        <v>3380</v>
      </c>
      <c r="M192" s="282">
        <f>INDEX(Table3[],MATCH(A192,Table3[[#All],[Column18]],0)-1,MATCH($R$8,Table3[#Headers],0)+8)</f>
        <v>0</v>
      </c>
      <c r="N192" s="139">
        <f t="shared" ref="N192:N202" si="32">E192</f>
        <v>0</v>
      </c>
      <c r="O192" s="139"/>
    </row>
    <row r="193" spans="1:16" x14ac:dyDescent="0.25">
      <c r="A193" s="70" t="s">
        <v>1047</v>
      </c>
      <c r="B193" s="69">
        <v>24</v>
      </c>
      <c r="C193" s="69">
        <f>B193/24</f>
        <v>1</v>
      </c>
      <c r="D193" s="69">
        <f t="shared" si="31"/>
        <v>24</v>
      </c>
      <c r="E193" s="271">
        <f>HLOOKUP(Overview!$R$8,Table3[#All],184,FALSE)</f>
        <v>0</v>
      </c>
      <c r="F193" s="69">
        <f>E193/24</f>
        <v>0</v>
      </c>
      <c r="G193" s="72"/>
      <c r="H193" s="272">
        <f>INDEX(Table3[],MATCH(A193,Table3[[#All],[Column18]],0)-1,MATCH($R$8,Table3[#Headers],0)+3)</f>
        <v>0</v>
      </c>
      <c r="I193" s="148" t="e">
        <f t="shared" si="27"/>
        <v>#DIV/0!</v>
      </c>
      <c r="J193" s="194"/>
      <c r="K193" s="283">
        <f>INDEX(Table3[],MATCH(A193,Table3[[#All],[Column18]],0)-1,MATCH($R$8,Table3[#Headers],0)+6)</f>
        <v>0</v>
      </c>
      <c r="L193" s="207" t="s">
        <v>3380</v>
      </c>
      <c r="M193" s="282">
        <f>INDEX(Table3[],MATCH(A193,Table3[[#All],[Column18]],0)-1,MATCH($R$8,Table3[#Headers],0)+8)</f>
        <v>0</v>
      </c>
      <c r="N193" s="139">
        <f t="shared" si="32"/>
        <v>0</v>
      </c>
      <c r="O193" s="139"/>
    </row>
    <row r="194" spans="1:16" x14ac:dyDescent="0.25">
      <c r="A194" s="70" t="s">
        <v>4081</v>
      </c>
      <c r="B194" s="69">
        <v>24</v>
      </c>
      <c r="C194" s="69">
        <f>B194/24</f>
        <v>1</v>
      </c>
      <c r="D194" s="69">
        <f t="shared" si="31"/>
        <v>24</v>
      </c>
      <c r="E194" s="271">
        <f>HLOOKUP(Overview!$R$8,Table3[#All],185,FALSE)</f>
        <v>0</v>
      </c>
      <c r="F194" s="69">
        <f>E194/24</f>
        <v>0</v>
      </c>
      <c r="G194" s="72"/>
      <c r="H194" s="272">
        <f>INDEX(Table3[],MATCH(A194,Table3[[#All],[Column18]],0)-1,MATCH($R$8,Table3[#Headers],0)+3)</f>
        <v>0</v>
      </c>
      <c r="I194" s="148" t="e">
        <f t="shared" si="27"/>
        <v>#DIV/0!</v>
      </c>
      <c r="J194" s="194"/>
      <c r="K194" s="283">
        <f>INDEX(Table3[],MATCH(A194,Table3[[#All],[Column18]],0)-1,MATCH($R$8,Table3[#Headers],0)+6)</f>
        <v>0</v>
      </c>
      <c r="L194" s="207" t="s">
        <v>3380</v>
      </c>
      <c r="M194" s="282">
        <f>INDEX(Table3[],MATCH(A194,Table3[[#All],[Column18]],0)-1,MATCH($R$8,Table3[#Headers],0)+8)</f>
        <v>0</v>
      </c>
      <c r="N194" s="139">
        <f t="shared" si="32"/>
        <v>0</v>
      </c>
      <c r="O194" s="139"/>
    </row>
    <row r="195" spans="1:16" x14ac:dyDescent="0.25">
      <c r="A195" s="70" t="s">
        <v>1051</v>
      </c>
      <c r="B195" s="69">
        <v>21</v>
      </c>
      <c r="C195" s="69">
        <f>B195/12</f>
        <v>1.75</v>
      </c>
      <c r="D195" s="69">
        <f t="shared" si="31"/>
        <v>21</v>
      </c>
      <c r="E195" s="271">
        <f>HLOOKUP(Overview!$R$8,Table3[#All],186,FALSE)</f>
        <v>0</v>
      </c>
      <c r="F195" s="69">
        <f>E195/12</f>
        <v>0</v>
      </c>
      <c r="G195" s="72"/>
      <c r="H195" s="272">
        <f>INDEX(Table3[],MATCH(A195,Table3[[#All],[Column18]],0)-1,MATCH($R$8,Table3[#Headers],0)+3)</f>
        <v>0</v>
      </c>
      <c r="I195" s="148" t="e">
        <f t="shared" si="27"/>
        <v>#DIV/0!</v>
      </c>
      <c r="J195" s="194"/>
      <c r="K195" s="283">
        <f>INDEX(Table3[],MATCH(A195,Table3[[#All],[Column18]],0)-1,MATCH($R$8,Table3[#Headers],0)+6)</f>
        <v>0</v>
      </c>
      <c r="L195" s="207" t="s">
        <v>3380</v>
      </c>
      <c r="M195" s="282">
        <f>INDEX(Table3[],MATCH(A195,Table3[[#All],[Column18]],0)-1,MATCH($R$8,Table3[#Headers],0)+8)</f>
        <v>0</v>
      </c>
      <c r="N195" s="139">
        <f t="shared" si="32"/>
        <v>0</v>
      </c>
      <c r="O195" s="139"/>
    </row>
    <row r="196" spans="1:16" x14ac:dyDescent="0.25">
      <c r="A196" s="70" t="s">
        <v>3252</v>
      </c>
      <c r="B196" s="69">
        <v>24</v>
      </c>
      <c r="C196" s="69">
        <f>B196/12</f>
        <v>2</v>
      </c>
      <c r="D196" s="69">
        <f t="shared" si="31"/>
        <v>24</v>
      </c>
      <c r="E196" s="271">
        <f>HLOOKUP(Overview!$R$8,Table3[#All],187,FALSE)</f>
        <v>0</v>
      </c>
      <c r="F196" s="69">
        <f>E196/12</f>
        <v>0</v>
      </c>
      <c r="G196" s="72"/>
      <c r="H196" s="272">
        <f>INDEX(Table3[],MATCH(A196,Table3[[#All],[Column18]],0)-1,MATCH($R$8,Table3[#Headers],0)+3)</f>
        <v>0</v>
      </c>
      <c r="I196" s="148" t="e">
        <f t="shared" si="27"/>
        <v>#DIV/0!</v>
      </c>
      <c r="J196" s="194"/>
      <c r="K196" s="283">
        <f>INDEX(Table3[],MATCH(A196,Table3[[#All],[Column18]],0)-1,MATCH($R$8,Table3[#Headers],0)+6)</f>
        <v>0</v>
      </c>
      <c r="L196" s="207" t="s">
        <v>3380</v>
      </c>
      <c r="M196" s="282">
        <f>INDEX(Table3[],MATCH(A196,Table3[[#All],[Column18]],0)-1,MATCH($R$8,Table3[#Headers],0)+8)</f>
        <v>0</v>
      </c>
      <c r="N196" s="139">
        <f t="shared" si="32"/>
        <v>0</v>
      </c>
      <c r="O196" s="139"/>
    </row>
    <row r="197" spans="1:16" x14ac:dyDescent="0.25">
      <c r="A197" s="70" t="s">
        <v>3253</v>
      </c>
      <c r="B197" s="69">
        <v>24</v>
      </c>
      <c r="C197" s="69">
        <f>B197/12</f>
        <v>2</v>
      </c>
      <c r="D197" s="69">
        <f t="shared" si="31"/>
        <v>24</v>
      </c>
      <c r="E197" s="271">
        <f>HLOOKUP(Overview!$R$8,Table3[#All],188,FALSE)</f>
        <v>0</v>
      </c>
      <c r="F197" s="69">
        <f>E197/12</f>
        <v>0</v>
      </c>
      <c r="G197" s="72"/>
      <c r="H197" s="272">
        <f>INDEX(Table3[],MATCH(A197,Table3[[#All],[Column18]],0)-1,MATCH($R$8,Table3[#Headers],0)+3)</f>
        <v>0</v>
      </c>
      <c r="I197" s="148" t="e">
        <f t="shared" si="27"/>
        <v>#DIV/0!</v>
      </c>
      <c r="J197" s="194"/>
      <c r="K197" s="283">
        <f>INDEX(Table3[],MATCH(A197,Table3[[#All],[Column18]],0)-1,MATCH($R$8,Table3[#Headers],0)+6)</f>
        <v>0</v>
      </c>
      <c r="L197" s="207" t="s">
        <v>3380</v>
      </c>
      <c r="M197" s="282">
        <f>INDEX(Table3[],MATCH(A197,Table3[[#All],[Column18]],0)-1,MATCH($R$8,Table3[#Headers],0)+8)</f>
        <v>0</v>
      </c>
      <c r="N197" s="139">
        <f t="shared" si="32"/>
        <v>0</v>
      </c>
      <c r="O197" s="139"/>
    </row>
    <row r="198" spans="1:16" x14ac:dyDescent="0.25">
      <c r="A198" s="70" t="s">
        <v>1048</v>
      </c>
      <c r="B198" s="69">
        <v>24</v>
      </c>
      <c r="C198" s="69">
        <f>B198/2</f>
        <v>12</v>
      </c>
      <c r="D198" s="69">
        <f t="shared" si="31"/>
        <v>24</v>
      </c>
      <c r="E198" s="271">
        <f>HLOOKUP(Overview!$R$8,Table3[#All],189,FALSE)</f>
        <v>0</v>
      </c>
      <c r="F198" s="69">
        <f>E198/2</f>
        <v>0</v>
      </c>
      <c r="G198" s="72"/>
      <c r="H198" s="272">
        <f>INDEX(Table3[],MATCH(A198,Table3[[#All],[Column18]],0)-1,MATCH($R$8,Table3[#Headers],0)+3)</f>
        <v>0</v>
      </c>
      <c r="I198" s="148" t="e">
        <f t="shared" si="27"/>
        <v>#DIV/0!</v>
      </c>
      <c r="J198" s="194"/>
      <c r="K198" s="283">
        <f>INDEX(Table3[],MATCH(A198,Table3[[#All],[Column18]],0)-1,MATCH($R$8,Table3[#Headers],0)+6)</f>
        <v>0</v>
      </c>
      <c r="L198" s="207" t="s">
        <v>3380</v>
      </c>
      <c r="M198" s="282">
        <f>INDEX(Table3[],MATCH(A198,Table3[[#All],[Column18]],0)-1,MATCH($R$8,Table3[#Headers],0)+8)</f>
        <v>0</v>
      </c>
      <c r="N198" s="139">
        <f t="shared" si="32"/>
        <v>0</v>
      </c>
      <c r="O198" s="139"/>
    </row>
    <row r="199" spans="1:16" x14ac:dyDescent="0.25">
      <c r="A199" s="70" t="s">
        <v>1049</v>
      </c>
      <c r="B199" s="69">
        <v>24</v>
      </c>
      <c r="C199" s="69">
        <f>B199/4</f>
        <v>6</v>
      </c>
      <c r="D199" s="69">
        <f t="shared" si="31"/>
        <v>24</v>
      </c>
      <c r="E199" s="271">
        <f>HLOOKUP(Overview!$R$8,Table3[#All],190,FALSE)</f>
        <v>0</v>
      </c>
      <c r="F199" s="69">
        <f>E199/4</f>
        <v>0</v>
      </c>
      <c r="G199" s="72"/>
      <c r="H199" s="272">
        <f>INDEX(Table3[],MATCH(A199,Table3[[#All],[Column18]],0)-1,MATCH($R$8,Table3[#Headers],0)+3)</f>
        <v>0</v>
      </c>
      <c r="I199" s="148" t="e">
        <f t="shared" si="27"/>
        <v>#DIV/0!</v>
      </c>
      <c r="J199" s="194"/>
      <c r="K199" s="283">
        <f>INDEX(Table3[],MATCH(A199,Table3[[#All],[Column18]],0)-1,MATCH($R$8,Table3[#Headers],0)+6)</f>
        <v>0</v>
      </c>
      <c r="L199" s="207" t="s">
        <v>3380</v>
      </c>
      <c r="M199" s="282">
        <f>INDEX(Table3[],MATCH(A199,Table3[[#All],[Column18]],0)-1,MATCH($R$8,Table3[#Headers],0)+8)</f>
        <v>0</v>
      </c>
      <c r="N199" s="139">
        <f t="shared" si="32"/>
        <v>0</v>
      </c>
      <c r="O199" s="139"/>
    </row>
    <row r="200" spans="1:16" x14ac:dyDescent="0.25">
      <c r="A200" s="70" t="s">
        <v>4080</v>
      </c>
      <c r="B200" s="69">
        <v>24</v>
      </c>
      <c r="C200" s="69">
        <f>B200/4</f>
        <v>6</v>
      </c>
      <c r="D200" s="69">
        <f t="shared" si="31"/>
        <v>24</v>
      </c>
      <c r="E200" s="271">
        <f>HLOOKUP(Overview!$R$8,Table3[#All],191,FALSE)</f>
        <v>0</v>
      </c>
      <c r="F200" s="69">
        <f>E200/4</f>
        <v>0</v>
      </c>
      <c r="G200" s="72"/>
      <c r="H200" s="272">
        <f>INDEX(Table3[],MATCH(A200,Table3[[#All],[Column18]],0)-1,MATCH($R$8,Table3[#Headers],0)+3)</f>
        <v>0</v>
      </c>
      <c r="I200" s="148" t="e">
        <f t="shared" si="27"/>
        <v>#DIV/0!</v>
      </c>
      <c r="J200" s="194"/>
      <c r="K200" s="283">
        <f>INDEX(Table3[],MATCH(A200,Table3[[#All],[Column18]],0)-1,MATCH($R$8,Table3[#Headers],0)+6)</f>
        <v>0</v>
      </c>
      <c r="L200" s="207" t="s">
        <v>3380</v>
      </c>
      <c r="M200" s="282">
        <f>INDEX(Table3[],MATCH(A200,Table3[[#All],[Column18]],0)-1,MATCH($R$8,Table3[#Headers],0)+8)</f>
        <v>0</v>
      </c>
      <c r="N200" s="139">
        <f t="shared" si="32"/>
        <v>0</v>
      </c>
      <c r="O200" s="139"/>
      <c r="P200" s="168"/>
    </row>
    <row r="201" spans="1:16" x14ac:dyDescent="0.25">
      <c r="A201" s="70" t="s">
        <v>3254</v>
      </c>
      <c r="B201" s="69">
        <v>24</v>
      </c>
      <c r="C201" s="69">
        <f>B201/2</f>
        <v>12</v>
      </c>
      <c r="D201" s="69">
        <f t="shared" si="31"/>
        <v>24</v>
      </c>
      <c r="E201" s="271">
        <f>HLOOKUP(Overview!$R$8,Table3[#All],192,FALSE)</f>
        <v>0</v>
      </c>
      <c r="F201" s="69">
        <f>E201/2</f>
        <v>0</v>
      </c>
      <c r="G201" s="72"/>
      <c r="H201" s="272">
        <f>INDEX(Table3[],MATCH(A201,Table3[[#All],[Column18]],0)-1,MATCH($R$8,Table3[#Headers],0)+3)</f>
        <v>0</v>
      </c>
      <c r="I201" s="148" t="e">
        <f t="shared" si="27"/>
        <v>#DIV/0!</v>
      </c>
      <c r="J201" s="194"/>
      <c r="K201" s="283">
        <f>INDEX(Table3[],MATCH(A201,Table3[[#All],[Column18]],0)-1,MATCH($R$8,Table3[#Headers],0)+6)</f>
        <v>0</v>
      </c>
      <c r="L201" s="207" t="s">
        <v>3380</v>
      </c>
      <c r="M201" s="282">
        <f>INDEX(Table3[],MATCH(A201,Table3[[#All],[Column18]],0)-1,MATCH($R$8,Table3[#Headers],0)+8)</f>
        <v>0</v>
      </c>
      <c r="N201" s="139">
        <f t="shared" si="32"/>
        <v>0</v>
      </c>
      <c r="O201" s="139"/>
    </row>
    <row r="202" spans="1:16" x14ac:dyDescent="0.25">
      <c r="A202" s="70" t="s">
        <v>3255</v>
      </c>
      <c r="B202" s="69">
        <v>24</v>
      </c>
      <c r="C202" s="69">
        <f>B202/2</f>
        <v>12</v>
      </c>
      <c r="D202" s="69">
        <f t="shared" si="31"/>
        <v>24</v>
      </c>
      <c r="E202" s="271">
        <f>HLOOKUP(Overview!$R$8,Table3[#All],193,FALSE)</f>
        <v>0</v>
      </c>
      <c r="F202" s="69">
        <f>E202/2</f>
        <v>0</v>
      </c>
      <c r="G202" s="72"/>
      <c r="H202" s="272">
        <f>INDEX(Table3[],MATCH(A202,Table3[[#All],[Column18]],0)-1,MATCH($R$8,Table3[#Headers],0)+3)</f>
        <v>0</v>
      </c>
      <c r="I202" s="148" t="e">
        <f t="shared" si="27"/>
        <v>#DIV/0!</v>
      </c>
      <c r="J202" s="194"/>
      <c r="K202" s="283">
        <f>INDEX(Table3[],MATCH(A202,Table3[[#All],[Column18]],0)-1,MATCH($R$8,Table3[#Headers],0)+6)</f>
        <v>0</v>
      </c>
      <c r="L202" s="207" t="s">
        <v>3380</v>
      </c>
      <c r="M202" s="282">
        <f>INDEX(Table3[],MATCH(A202,Table3[[#All],[Column18]],0)-1,MATCH($R$8,Table3[#Headers],0)+8)</f>
        <v>0</v>
      </c>
      <c r="N202" s="139">
        <f t="shared" si="32"/>
        <v>0</v>
      </c>
      <c r="O202" s="139"/>
    </row>
    <row r="203" spans="1:16" ht="8.1" customHeight="1" x14ac:dyDescent="0.25">
      <c r="A203" s="213">
        <v>0</v>
      </c>
      <c r="B203" s="144"/>
      <c r="C203" s="144"/>
      <c r="D203" s="144"/>
      <c r="E203" s="144"/>
      <c r="F203" s="144"/>
      <c r="G203" s="136"/>
      <c r="H203" s="137"/>
      <c r="I203" s="138"/>
      <c r="J203" s="138"/>
      <c r="K203" s="198"/>
      <c r="L203" s="138"/>
      <c r="N203" s="139">
        <v>0</v>
      </c>
    </row>
    <row r="204" spans="1:16" ht="8.1" customHeight="1" x14ac:dyDescent="0.25">
      <c r="A204" s="213">
        <v>0</v>
      </c>
      <c r="B204" s="144"/>
      <c r="C204" s="144"/>
      <c r="D204" s="144"/>
      <c r="E204" s="144"/>
      <c r="F204" s="144"/>
      <c r="G204" s="136"/>
      <c r="H204" s="137"/>
      <c r="I204" s="138"/>
      <c r="J204" s="138"/>
      <c r="K204" s="198"/>
      <c r="L204" s="138"/>
      <c r="N204" s="139">
        <v>1</v>
      </c>
      <c r="O204" s="215"/>
    </row>
    <row r="205" spans="1:16" x14ac:dyDescent="0.25">
      <c r="A205" s="204" t="s">
        <v>3383</v>
      </c>
      <c r="B205" s="255">
        <v>0.25</v>
      </c>
      <c r="C205" s="73"/>
      <c r="D205" s="76"/>
      <c r="E205" s="75"/>
      <c r="F205" s="77"/>
      <c r="N205" s="139">
        <f>O205</f>
        <v>0</v>
      </c>
      <c r="O205" s="215">
        <f>SUM($M11:$M202)</f>
        <v>0</v>
      </c>
    </row>
    <row r="206" spans="1:16" x14ac:dyDescent="0.25">
      <c r="A206" s="206" t="s">
        <v>919</v>
      </c>
      <c r="B206" s="74"/>
      <c r="C206" s="74"/>
      <c r="D206" s="74"/>
      <c r="E206" s="294"/>
      <c r="F206" s="294"/>
      <c r="G206" s="109"/>
      <c r="H206" s="110"/>
      <c r="I206" s="135"/>
      <c r="J206" s="135"/>
      <c r="K206" s="199"/>
      <c r="L206" s="135"/>
      <c r="N206" s="139">
        <v>1</v>
      </c>
      <c r="O206" s="140">
        <f>IF(O205&gt;0,13,9)</f>
        <v>9</v>
      </c>
    </row>
    <row r="207" spans="1:16" x14ac:dyDescent="0.25">
      <c r="A207" s="214"/>
      <c r="B207" s="76"/>
      <c r="C207" s="75"/>
      <c r="D207" s="76"/>
      <c r="E207" s="75"/>
      <c r="F207" s="77"/>
      <c r="N207" s="140"/>
    </row>
    <row r="208" spans="1:16" x14ac:dyDescent="0.25">
      <c r="A208" s="214"/>
      <c r="B208" s="76"/>
      <c r="C208" s="75"/>
      <c r="D208" s="76"/>
      <c r="E208" s="75"/>
      <c r="F208" s="77"/>
      <c r="N208" s="113"/>
    </row>
    <row r="209" spans="1:14" x14ac:dyDescent="0.25">
      <c r="A209" s="214"/>
      <c r="B209" s="76"/>
      <c r="C209" s="75"/>
      <c r="D209" s="76"/>
      <c r="E209" s="75"/>
      <c r="F209" s="77"/>
      <c r="N209" s="113"/>
    </row>
    <row r="210" spans="1:14" x14ac:dyDescent="0.25">
      <c r="A210" s="214"/>
      <c r="B210" s="76"/>
      <c r="C210" s="75"/>
      <c r="D210" s="76"/>
      <c r="E210" s="75"/>
      <c r="F210" s="77"/>
    </row>
    <row r="211" spans="1:14" x14ac:dyDescent="0.25">
      <c r="A211" s="214"/>
      <c r="B211" s="78"/>
      <c r="C211" s="78"/>
      <c r="D211" s="78"/>
      <c r="E211" s="78"/>
      <c r="F211" s="78"/>
    </row>
    <row r="212" spans="1:14" x14ac:dyDescent="0.25">
      <c r="A212" s="214"/>
      <c r="B212" s="78"/>
      <c r="C212" s="78"/>
      <c r="D212" s="78"/>
      <c r="E212" s="78"/>
      <c r="F212" s="78"/>
    </row>
    <row r="213" spans="1:14" x14ac:dyDescent="0.25">
      <c r="A213" s="72"/>
      <c r="B213" s="72"/>
      <c r="C213" s="72"/>
      <c r="D213" s="72"/>
      <c r="E213" s="72"/>
      <c r="F213" s="72"/>
    </row>
    <row r="214" spans="1:14" x14ac:dyDescent="0.25">
      <c r="A214" s="72"/>
      <c r="B214" s="72"/>
      <c r="C214" s="72"/>
      <c r="D214" s="72"/>
      <c r="E214" s="72"/>
      <c r="F214" s="72"/>
    </row>
    <row r="215" spans="1:14" x14ac:dyDescent="0.25">
      <c r="A215" s="72"/>
      <c r="B215" s="72"/>
      <c r="C215" s="72"/>
      <c r="D215" s="72"/>
      <c r="E215" s="72"/>
      <c r="F215" s="72"/>
    </row>
    <row r="216" spans="1:14" x14ac:dyDescent="0.25">
      <c r="A216" s="72"/>
      <c r="B216" s="72"/>
      <c r="C216" s="72"/>
      <c r="D216" s="72"/>
      <c r="E216" s="72"/>
      <c r="F216" s="72"/>
    </row>
    <row r="217" spans="1:14" x14ac:dyDescent="0.25">
      <c r="A217" s="72"/>
      <c r="B217" s="72"/>
      <c r="C217" s="72"/>
      <c r="D217" s="72"/>
      <c r="E217" s="72"/>
      <c r="F217" s="72"/>
    </row>
    <row r="218" spans="1:14" x14ac:dyDescent="0.25">
      <c r="A218" s="72"/>
      <c r="B218" s="72"/>
      <c r="C218" s="72"/>
      <c r="D218" s="72"/>
      <c r="E218" s="72"/>
      <c r="F218" s="72"/>
    </row>
    <row r="219" spans="1:14" x14ac:dyDescent="0.25">
      <c r="A219" s="72"/>
      <c r="B219" s="72"/>
      <c r="C219" s="72"/>
      <c r="D219" s="72"/>
      <c r="E219" s="72"/>
      <c r="F219" s="72"/>
    </row>
  </sheetData>
  <autoFilter ref="N8:N206"/>
  <mergeCells count="8">
    <mergeCell ref="E206:F206"/>
    <mergeCell ref="A1:A4"/>
    <mergeCell ref="B1:F1"/>
    <mergeCell ref="B2:F2"/>
    <mergeCell ref="B3:F3"/>
    <mergeCell ref="B4:C4"/>
    <mergeCell ref="B7:C7"/>
    <mergeCell ref="E7:F7"/>
  </mergeCells>
  <conditionalFormatting sqref="I7 L8">
    <cfRule type="expression" dxfId="1238" priority="453">
      <formula>COUNTA($M$11:$M$202)&gt;0</formula>
    </cfRule>
  </conditionalFormatting>
  <conditionalFormatting sqref="K8">
    <cfRule type="expression" dxfId="1237" priority="455">
      <formula>NOT(ISBLANK($M$14:$M$202))</formula>
    </cfRule>
  </conditionalFormatting>
  <conditionalFormatting sqref="P8">
    <cfRule type="expression" dxfId="1236" priority="24">
      <formula>COUNTA($M$11:$M$202)&gt;0</formula>
    </cfRule>
  </conditionalFormatting>
  <conditionalFormatting sqref="R7">
    <cfRule type="expression" dxfId="1235" priority="22">
      <formula>COUNTA($M$11:$M$202)&gt;0</formula>
    </cfRule>
  </conditionalFormatting>
  <conditionalFormatting sqref="K12:K39">
    <cfRule type="expression" dxfId="1234" priority="17">
      <formula>K12&gt;0</formula>
    </cfRule>
  </conditionalFormatting>
  <conditionalFormatting sqref="K42:K45">
    <cfRule type="expression" dxfId="1233" priority="16">
      <formula>K42&gt;0</formula>
    </cfRule>
  </conditionalFormatting>
  <conditionalFormatting sqref="K48:K68">
    <cfRule type="expression" dxfId="1232" priority="15">
      <formula>K48&gt;0</formula>
    </cfRule>
  </conditionalFormatting>
  <conditionalFormatting sqref="K71:K78">
    <cfRule type="expression" dxfId="1231" priority="14">
      <formula>K71&gt;0</formula>
    </cfRule>
  </conditionalFormatting>
  <conditionalFormatting sqref="K81:K116">
    <cfRule type="expression" dxfId="1230" priority="13">
      <formula>K81&gt;0</formula>
    </cfRule>
  </conditionalFormatting>
  <conditionalFormatting sqref="K119:K124">
    <cfRule type="expression" dxfId="1229" priority="12">
      <formula>K119&gt;0</formula>
    </cfRule>
  </conditionalFormatting>
  <conditionalFormatting sqref="K127:K135">
    <cfRule type="expression" dxfId="1228" priority="11">
      <formula>K127&gt;0</formula>
    </cfRule>
  </conditionalFormatting>
  <conditionalFormatting sqref="K138:K142">
    <cfRule type="expression" dxfId="1227" priority="10">
      <formula>K138&gt;0</formula>
    </cfRule>
  </conditionalFormatting>
  <conditionalFormatting sqref="K145:K150">
    <cfRule type="expression" dxfId="1226" priority="9">
      <formula>K145&gt;0</formula>
    </cfRule>
  </conditionalFormatting>
  <conditionalFormatting sqref="K153:K157">
    <cfRule type="expression" dxfId="1225" priority="8">
      <formula>K153&gt;0</formula>
    </cfRule>
  </conditionalFormatting>
  <conditionalFormatting sqref="K160:K167">
    <cfRule type="expression" dxfId="1224" priority="7">
      <formula>K160&gt;0</formula>
    </cfRule>
  </conditionalFormatting>
  <conditionalFormatting sqref="K170:K202">
    <cfRule type="expression" dxfId="1223" priority="6">
      <formula>K170&gt;0</formula>
    </cfRule>
  </conditionalFormatting>
  <conditionalFormatting sqref="K11:K39 K42:K45 K48:K68 K71:K78 K81:K116 K119:K124 K127:K135 K145:K150 K153:K157 K160:K167 K170:K202 K138:K142">
    <cfRule type="expression" dxfId="1222" priority="5">
      <formula>K11=0</formula>
    </cfRule>
    <cfRule type="expression" dxfId="1221" priority="18">
      <formula>K11&gt;0</formula>
    </cfRule>
  </conditionalFormatting>
  <conditionalFormatting sqref="L11:L39 L42:L45 L48:L68 L71:L78 L81:L116 L119:L124 L127:L135 L138:L142 L145:L150 L153:L157 L160:L167 L170:L202">
    <cfRule type="expression" dxfId="1220" priority="3">
      <formula>L11=0</formula>
    </cfRule>
    <cfRule type="expression" dxfId="1219" priority="4">
      <formula>K11&gt;0</formula>
    </cfRule>
  </conditionalFormatting>
  <conditionalFormatting sqref="M11:M39 M42:M45 M48:M68 M71:M78 M81:M116 M119:M124 M127:M135 M145:M150 M153:M157 M160:M167 M170:M202 M138:M142">
    <cfRule type="expression" dxfId="1218" priority="1">
      <formula>M11=0</formula>
    </cfRule>
    <cfRule type="expression" dxfId="1217" priority="2">
      <formula>M11&gt;0</formula>
    </cfRule>
  </conditionalFormatting>
  <dataValidations count="1">
    <dataValidation type="list" allowBlank="1" showInputMessage="1" showErrorMessage="1" sqref="R8">
      <formula1>Promo_Plans</formula1>
    </dataValidation>
  </dataValidations>
  <pageMargins left="0.7" right="0.7" top="0.75" bottom="0.75" header="0.3" footer="0.3"/>
  <pageSetup scale="6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'Facility Data'!$B$1:$AI$1</xm:f>
          </x14:formula1>
          <xm:sqref>P8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Y1360"/>
  <sheetViews>
    <sheetView workbookViewId="0">
      <selection activeCell="D11" sqref="D11"/>
    </sheetView>
  </sheetViews>
  <sheetFormatPr defaultRowHeight="15" x14ac:dyDescent="0.25"/>
  <cols>
    <col min="1" max="1" width="10.5703125" style="7" customWidth="1"/>
    <col min="2" max="2" width="40.7109375" style="7" customWidth="1"/>
    <col min="3" max="3" width="15.5703125" style="6" customWidth="1"/>
    <col min="4" max="4" width="40.7109375" style="6" bestFit="1" customWidth="1"/>
    <col min="5" max="5" width="8.7109375" style="6" customWidth="1"/>
    <col min="6" max="6" width="5.7109375" style="5" customWidth="1"/>
    <col min="7" max="12" width="10.7109375" customWidth="1"/>
    <col min="13" max="13" width="8.7109375" style="113" customWidth="1"/>
    <col min="14" max="14" width="9.7109375" style="113" customWidth="1"/>
    <col min="15" max="15" width="8.7109375" customWidth="1"/>
    <col min="16" max="16" width="7.7109375" customWidth="1"/>
    <col min="17" max="20" width="7.7109375" style="151" customWidth="1"/>
    <col min="21" max="21" width="13.28515625" customWidth="1"/>
  </cols>
  <sheetData>
    <row r="1" spans="1:25" s="1" customFormat="1" ht="44.25" customHeight="1" thickBot="1" x14ac:dyDescent="0.25">
      <c r="A1" s="103"/>
      <c r="B1" s="103"/>
      <c r="C1" s="104"/>
      <c r="D1" s="262" t="s">
        <v>4818</v>
      </c>
      <c r="E1" s="305" t="str">
        <f>Overview!B1</f>
        <v>Texas</v>
      </c>
      <c r="F1" s="305"/>
      <c r="G1" s="305"/>
      <c r="H1" s="305"/>
      <c r="I1" s="303" t="str">
        <f>Overview!B2</f>
        <v>Reset Pricing</v>
      </c>
      <c r="J1" s="303"/>
      <c r="K1" s="303"/>
      <c r="L1" s="304"/>
      <c r="O1" s="143"/>
      <c r="P1" s="143" t="s">
        <v>2428</v>
      </c>
      <c r="Q1" s="143" t="s">
        <v>2429</v>
      </c>
      <c r="R1" s="143" t="s">
        <v>2428</v>
      </c>
      <c r="S1" s="143" t="s">
        <v>2429</v>
      </c>
      <c r="T1" s="143"/>
      <c r="V1" s="2"/>
      <c r="X1" s="3"/>
      <c r="Y1" s="3"/>
    </row>
    <row r="2" spans="1:25" s="4" customFormat="1" ht="23.25" customHeight="1" thickBot="1" x14ac:dyDescent="0.25">
      <c r="A2" s="17" t="s">
        <v>3353</v>
      </c>
      <c r="B2" s="18" t="s">
        <v>756</v>
      </c>
      <c r="C2" s="18" t="s">
        <v>2</v>
      </c>
      <c r="D2" s="18" t="s">
        <v>0</v>
      </c>
      <c r="E2" s="19" t="s">
        <v>1</v>
      </c>
      <c r="F2" s="20" t="s">
        <v>770</v>
      </c>
      <c r="G2" s="20" t="s">
        <v>3</v>
      </c>
      <c r="H2" s="20" t="s">
        <v>4</v>
      </c>
      <c r="I2" s="20" t="s">
        <v>5</v>
      </c>
      <c r="J2" s="20" t="s">
        <v>6</v>
      </c>
      <c r="K2" s="20" t="s">
        <v>7</v>
      </c>
      <c r="L2" s="21" t="s">
        <v>8</v>
      </c>
      <c r="M2" s="143" t="s">
        <v>931</v>
      </c>
      <c r="N2" s="143" t="s">
        <v>962</v>
      </c>
      <c r="O2" s="218" t="s">
        <v>2425</v>
      </c>
      <c r="P2" s="149" t="s">
        <v>2424</v>
      </c>
      <c r="Q2" s="150" t="s">
        <v>2424</v>
      </c>
      <c r="R2" s="150" t="s">
        <v>2427</v>
      </c>
      <c r="S2" s="150" t="s">
        <v>2427</v>
      </c>
      <c r="T2" s="150" t="s">
        <v>2426</v>
      </c>
      <c r="U2" s="150" t="s">
        <v>3425</v>
      </c>
    </row>
    <row r="3" spans="1:25" s="8" customFormat="1" ht="13.5" thickBot="1" x14ac:dyDescent="0.25">
      <c r="A3" s="300" t="s">
        <v>282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2"/>
      <c r="M3" s="179" t="s">
        <v>4361</v>
      </c>
      <c r="N3" s="179" t="s">
        <v>3735</v>
      </c>
      <c r="O3" s="141">
        <f>AVERAGE(O4:O20)</f>
        <v>0</v>
      </c>
      <c r="P3" s="181" t="b">
        <f>COUNTIF(P4:P20,TRUE)&gt;0</f>
        <v>1</v>
      </c>
      <c r="Q3" s="181" t="b">
        <f>COUNTIF(Q4:Q20,TRUE)&gt;0</f>
        <v>1</v>
      </c>
      <c r="R3" s="181" t="b">
        <f>COUNTIF(R4:R20,TRUE)&gt;0</f>
        <v>1</v>
      </c>
      <c r="S3" s="181" t="b">
        <f>COUNTIF(S4:S20,TRUE)&gt;0</f>
        <v>1</v>
      </c>
      <c r="T3" s="181" t="b">
        <f>COUNTIF(T4:T20,TRUE)&gt;0</f>
        <v>1</v>
      </c>
      <c r="U3" s="181"/>
    </row>
    <row r="4" spans="1:25" s="8" customFormat="1" ht="11.25" x14ac:dyDescent="0.2">
      <c r="A4" s="152">
        <v>10085419</v>
      </c>
      <c r="B4" s="10" t="s">
        <v>125</v>
      </c>
      <c r="C4" s="12" t="s">
        <v>126</v>
      </c>
      <c r="D4" s="11" t="s">
        <v>629</v>
      </c>
      <c r="E4" s="12" t="s">
        <v>771</v>
      </c>
      <c r="F4" s="13">
        <v>4</v>
      </c>
      <c r="G4" s="22">
        <f>Overview!$B$11</f>
        <v>14</v>
      </c>
      <c r="H4" s="23">
        <f t="shared" ref="H4:H20" si="0">G4-I4</f>
        <v>14</v>
      </c>
      <c r="I4" s="23">
        <f>Overview!$E$11</f>
        <v>0</v>
      </c>
      <c r="J4" s="52">
        <f t="shared" ref="J4:J20" si="1">I4/F4</f>
        <v>0</v>
      </c>
      <c r="K4" s="53">
        <f>Overview!$H$11</f>
        <v>0</v>
      </c>
      <c r="L4" s="54" t="e">
        <f t="shared" ref="L4:L20" si="2">(K4-J4)/K4</f>
        <v>#DIV/0!</v>
      </c>
      <c r="M4" s="179" t="s">
        <v>951</v>
      </c>
      <c r="N4" s="179" t="s">
        <v>3735</v>
      </c>
      <c r="O4" s="141">
        <f>I4</f>
        <v>0</v>
      </c>
      <c r="P4" s="181" t="b">
        <f>COUNTIF('Facility Data'!$A$1:$A$1500,"*"&amp;A4&amp;"*")&gt;0</f>
        <v>0</v>
      </c>
      <c r="Q4" s="181" t="b">
        <f>COUNTIF('Account Data'!$A$1:$A$1000,"*"&amp;A4&amp;"*")&gt;0</f>
        <v>1</v>
      </c>
      <c r="R4" s="182" t="b">
        <f t="shared" ref="R4:R20" si="3">IF(OR(P4=TRUE,T4=TRUE),TRUE,FALSE)</f>
        <v>0</v>
      </c>
      <c r="S4" s="182" t="b">
        <f t="shared" ref="S4:S20" si="4">IF(OR(Q4=TRUE,T4=TRUE),TRUE,FALSE)</f>
        <v>1</v>
      </c>
      <c r="T4" s="181" t="b">
        <f>COUNTIF('New Items'!$A$1:$A$175,A4)&gt;0</f>
        <v>0</v>
      </c>
      <c r="U4" s="181" t="b">
        <f>COUNTIF(Discontinued!$A$1:$A$150,A4)&gt;0</f>
        <v>0</v>
      </c>
    </row>
    <row r="5" spans="1:25" s="8" customFormat="1" ht="11.25" x14ac:dyDescent="0.2">
      <c r="A5" s="152">
        <v>10085420</v>
      </c>
      <c r="B5" s="10" t="s">
        <v>119</v>
      </c>
      <c r="C5" s="12" t="s">
        <v>120</v>
      </c>
      <c r="D5" s="11" t="s">
        <v>631</v>
      </c>
      <c r="E5" s="12" t="s">
        <v>771</v>
      </c>
      <c r="F5" s="13">
        <v>4</v>
      </c>
      <c r="G5" s="22">
        <f>Overview!$B$11</f>
        <v>14</v>
      </c>
      <c r="H5" s="23">
        <f>G5-I5</f>
        <v>14</v>
      </c>
      <c r="I5" s="23">
        <f>Overview!$E$11</f>
        <v>0</v>
      </c>
      <c r="J5" s="52">
        <f>I5/F5</f>
        <v>0</v>
      </c>
      <c r="K5" s="53">
        <f>Overview!$H$11</f>
        <v>0</v>
      </c>
      <c r="L5" s="54" t="e">
        <f>(K5-J5)/K5</f>
        <v>#DIV/0!</v>
      </c>
      <c r="M5" s="179" t="s">
        <v>951</v>
      </c>
      <c r="N5" s="179" t="s">
        <v>3735</v>
      </c>
      <c r="O5" s="141">
        <f>I5</f>
        <v>0</v>
      </c>
      <c r="P5" s="181" t="b">
        <f>COUNTIF('Facility Data'!$A$1:$A$1500,"*"&amp;A5&amp;"*")&gt;0</f>
        <v>0</v>
      </c>
      <c r="Q5" s="181" t="b">
        <f>COUNTIF('Account Data'!$A$1:$A$1000,"*"&amp;A5&amp;"*")&gt;0</f>
        <v>0</v>
      </c>
      <c r="R5" s="182" t="b">
        <f>IF(OR(P5=TRUE,T5=TRUE),TRUE,FALSE)</f>
        <v>0</v>
      </c>
      <c r="S5" s="182" t="b">
        <f>IF(OR(Q5=TRUE,T5=TRUE),TRUE,FALSE)</f>
        <v>0</v>
      </c>
      <c r="T5" s="181" t="b">
        <f>COUNTIF('New Items'!$A$1:$A$175,A5)&gt;0</f>
        <v>0</v>
      </c>
      <c r="U5" s="181" t="b">
        <f>COUNTIF(Discontinued!$A$1:$A$150,A5)&gt;0</f>
        <v>0</v>
      </c>
    </row>
    <row r="6" spans="1:25" s="8" customFormat="1" ht="11.25" x14ac:dyDescent="0.2">
      <c r="A6" s="152">
        <v>10137273</v>
      </c>
      <c r="B6" s="10" t="s">
        <v>4776</v>
      </c>
      <c r="C6" s="12" t="s">
        <v>4782</v>
      </c>
      <c r="D6" s="11" t="s">
        <v>3761</v>
      </c>
      <c r="E6" s="12" t="s">
        <v>771</v>
      </c>
      <c r="F6" s="13">
        <v>4</v>
      </c>
      <c r="G6" s="22">
        <f>Overview!$B$11</f>
        <v>14</v>
      </c>
      <c r="H6" s="23">
        <f t="shared" si="0"/>
        <v>14</v>
      </c>
      <c r="I6" s="23">
        <f>Overview!$E$11</f>
        <v>0</v>
      </c>
      <c r="J6" s="52">
        <f t="shared" si="1"/>
        <v>0</v>
      </c>
      <c r="K6" s="53">
        <f>Overview!$H$11</f>
        <v>0</v>
      </c>
      <c r="L6" s="54" t="e">
        <f t="shared" si="2"/>
        <v>#DIV/0!</v>
      </c>
      <c r="M6" s="179" t="s">
        <v>951</v>
      </c>
      <c r="N6" s="179" t="s">
        <v>3735</v>
      </c>
      <c r="O6" s="141">
        <f t="shared" ref="O6:O20" si="5">I6</f>
        <v>0</v>
      </c>
      <c r="P6" s="181" t="b">
        <f>COUNTIF('Facility Data'!$A$1:$A$1500,"*"&amp;A6&amp;"*")&gt;0</f>
        <v>0</v>
      </c>
      <c r="Q6" s="181" t="b">
        <f>COUNTIF('Account Data'!$A$1:$A$1000,"*"&amp;A6&amp;"*")&gt;0</f>
        <v>0</v>
      </c>
      <c r="R6" s="182" t="b">
        <f t="shared" si="3"/>
        <v>1</v>
      </c>
      <c r="S6" s="182" t="b">
        <f t="shared" si="4"/>
        <v>1</v>
      </c>
      <c r="T6" s="181" t="b">
        <f>COUNTIF('New Items'!$A$1:$A$175,A6)&gt;0</f>
        <v>1</v>
      </c>
      <c r="U6" s="181" t="b">
        <f>COUNTIF(Discontinued!$A$1:$A$150,A6)&gt;0</f>
        <v>0</v>
      </c>
    </row>
    <row r="7" spans="1:25" s="8" customFormat="1" ht="11.25" x14ac:dyDescent="0.2">
      <c r="A7" s="152">
        <v>10085412</v>
      </c>
      <c r="B7" s="10" t="s">
        <v>132</v>
      </c>
      <c r="C7" s="12" t="s">
        <v>131</v>
      </c>
      <c r="D7" s="11" t="s">
        <v>643</v>
      </c>
      <c r="E7" s="12" t="s">
        <v>771</v>
      </c>
      <c r="F7" s="13">
        <v>4</v>
      </c>
      <c r="G7" s="22">
        <f>Overview!$B$11</f>
        <v>14</v>
      </c>
      <c r="H7" s="23">
        <f t="shared" si="0"/>
        <v>14</v>
      </c>
      <c r="I7" s="23">
        <f>Overview!$E$11</f>
        <v>0</v>
      </c>
      <c r="J7" s="52">
        <f t="shared" si="1"/>
        <v>0</v>
      </c>
      <c r="K7" s="53">
        <f>Overview!$H$11</f>
        <v>0</v>
      </c>
      <c r="L7" s="54" t="e">
        <f t="shared" si="2"/>
        <v>#DIV/0!</v>
      </c>
      <c r="M7" s="179"/>
      <c r="N7" s="179" t="s">
        <v>3735</v>
      </c>
      <c r="O7" s="141">
        <f t="shared" si="5"/>
        <v>0</v>
      </c>
      <c r="P7" s="181" t="b">
        <f>COUNTIF('Facility Data'!$A$1:$A$1500,"*"&amp;A7&amp;"*")&gt;0</f>
        <v>1</v>
      </c>
      <c r="Q7" s="181" t="b">
        <f>COUNTIF('Account Data'!$A$1:$A$1000,"*"&amp;A7&amp;"*")&gt;0</f>
        <v>1</v>
      </c>
      <c r="R7" s="182" t="b">
        <f t="shared" si="3"/>
        <v>1</v>
      </c>
      <c r="S7" s="182" t="b">
        <f t="shared" si="4"/>
        <v>1</v>
      </c>
      <c r="T7" s="181" t="b">
        <f>COUNTIF('New Items'!$A$1:$A$175,A7)&gt;0</f>
        <v>0</v>
      </c>
      <c r="U7" s="181" t="b">
        <f>COUNTIF(Discontinued!$A$1:$A$150,A7)&gt;0</f>
        <v>0</v>
      </c>
    </row>
    <row r="8" spans="1:25" s="8" customFormat="1" ht="11.25" x14ac:dyDescent="0.2">
      <c r="A8" s="152">
        <v>10085413</v>
      </c>
      <c r="B8" s="10" t="s">
        <v>4732</v>
      </c>
      <c r="C8" s="12" t="s">
        <v>124</v>
      </c>
      <c r="D8" s="11" t="s">
        <v>4733</v>
      </c>
      <c r="E8" s="12" t="s">
        <v>771</v>
      </c>
      <c r="F8" s="13">
        <v>4</v>
      </c>
      <c r="G8" s="22">
        <f>Overview!$B$11</f>
        <v>14</v>
      </c>
      <c r="H8" s="23">
        <f>G8-I8</f>
        <v>14</v>
      </c>
      <c r="I8" s="23">
        <f>Overview!$E$11</f>
        <v>0</v>
      </c>
      <c r="J8" s="52">
        <f>I8/F8</f>
        <v>0</v>
      </c>
      <c r="K8" s="53">
        <f>Overview!$H$11</f>
        <v>0</v>
      </c>
      <c r="L8" s="54" t="e">
        <f>(K8-J8)/K8</f>
        <v>#DIV/0!</v>
      </c>
      <c r="M8" s="179"/>
      <c r="N8" s="179" t="s">
        <v>3735</v>
      </c>
      <c r="O8" s="141">
        <f>I8</f>
        <v>0</v>
      </c>
      <c r="P8" s="181" t="b">
        <f>COUNTIF('Facility Data'!$A$1:$A$1500,"*"&amp;A8&amp;"*")&gt;0</f>
        <v>1</v>
      </c>
      <c r="Q8" s="181" t="b">
        <f>COUNTIF('Account Data'!$A$1:$A$1000,"*"&amp;A8&amp;"*")&gt;0</f>
        <v>1</v>
      </c>
      <c r="R8" s="182" t="b">
        <f>IF(OR(P8=TRUE,T8=TRUE),TRUE,FALSE)</f>
        <v>1</v>
      </c>
      <c r="S8" s="182" t="b">
        <f>IF(OR(Q8=TRUE,T8=TRUE),TRUE,FALSE)</f>
        <v>1</v>
      </c>
      <c r="T8" s="181" t="b">
        <f>COUNTIF('New Items'!$A$1:$A$175,A8)&gt;0</f>
        <v>0</v>
      </c>
      <c r="U8" s="181" t="b">
        <f>COUNTIF(Discontinued!$A$1:$A$150,A8)&gt;0</f>
        <v>0</v>
      </c>
    </row>
    <row r="9" spans="1:25" s="8" customFormat="1" ht="11.25" x14ac:dyDescent="0.2">
      <c r="A9" s="152">
        <v>10085415</v>
      </c>
      <c r="B9" s="10" t="s">
        <v>130</v>
      </c>
      <c r="C9" s="12" t="s">
        <v>129</v>
      </c>
      <c r="D9" s="11" t="s">
        <v>645</v>
      </c>
      <c r="E9" s="12" t="s">
        <v>771</v>
      </c>
      <c r="F9" s="13">
        <v>4</v>
      </c>
      <c r="G9" s="22">
        <f>Overview!$B$11</f>
        <v>14</v>
      </c>
      <c r="H9" s="23">
        <f t="shared" si="0"/>
        <v>14</v>
      </c>
      <c r="I9" s="23">
        <f>Overview!$E$11</f>
        <v>0</v>
      </c>
      <c r="J9" s="52">
        <f t="shared" si="1"/>
        <v>0</v>
      </c>
      <c r="K9" s="53">
        <f>Overview!$H$11</f>
        <v>0</v>
      </c>
      <c r="L9" s="54" t="e">
        <f t="shared" si="2"/>
        <v>#DIV/0!</v>
      </c>
      <c r="M9" s="179" t="s">
        <v>4406</v>
      </c>
      <c r="N9" s="179" t="s">
        <v>3735</v>
      </c>
      <c r="O9" s="141">
        <f>I9</f>
        <v>0</v>
      </c>
      <c r="P9" s="181" t="b">
        <f>COUNTIF('Facility Data'!$A$1:$A$1500,"*"&amp;A9&amp;"*")&gt;0</f>
        <v>1</v>
      </c>
      <c r="Q9" s="181" t="b">
        <f>COUNTIF('Account Data'!$A$1:$A$1000,"*"&amp;A9&amp;"*")&gt;0</f>
        <v>1</v>
      </c>
      <c r="R9" s="182" t="b">
        <f t="shared" si="3"/>
        <v>1</v>
      </c>
      <c r="S9" s="182" t="b">
        <f t="shared" si="4"/>
        <v>1</v>
      </c>
      <c r="T9" s="181" t="b">
        <f>COUNTIF('New Items'!$A$1:$A$175,A9)&gt;0</f>
        <v>0</v>
      </c>
      <c r="U9" s="181" t="b">
        <f>COUNTIF(Discontinued!$A$1:$A$150,A9)&gt;0</f>
        <v>0</v>
      </c>
    </row>
    <row r="10" spans="1:25" s="8" customFormat="1" ht="11.25" x14ac:dyDescent="0.2">
      <c r="A10" s="152">
        <v>10085416</v>
      </c>
      <c r="B10" s="10" t="s">
        <v>4734</v>
      </c>
      <c r="C10" s="12" t="s">
        <v>1569</v>
      </c>
      <c r="D10" s="11" t="s">
        <v>4735</v>
      </c>
      <c r="E10" s="12" t="s">
        <v>771</v>
      </c>
      <c r="F10" s="13">
        <v>4</v>
      </c>
      <c r="G10" s="22">
        <f>Overview!$B$11</f>
        <v>14</v>
      </c>
      <c r="H10" s="23">
        <f>G10-I10</f>
        <v>14</v>
      </c>
      <c r="I10" s="23">
        <f>Overview!$E$11</f>
        <v>0</v>
      </c>
      <c r="J10" s="52">
        <f>I10/F10</f>
        <v>0</v>
      </c>
      <c r="K10" s="53">
        <f>Overview!$H$11</f>
        <v>0</v>
      </c>
      <c r="L10" s="54" t="e">
        <f>(K10-J10)/K10</f>
        <v>#DIV/0!</v>
      </c>
      <c r="M10" s="179" t="s">
        <v>4406</v>
      </c>
      <c r="N10" s="179" t="s">
        <v>3735</v>
      </c>
      <c r="O10" s="141">
        <f>I10</f>
        <v>0</v>
      </c>
      <c r="P10" s="181" t="b">
        <f>COUNTIF('Facility Data'!$A$1:$A$1500,"*"&amp;A10&amp;"*")&gt;0</f>
        <v>0</v>
      </c>
      <c r="Q10" s="181" t="b">
        <f>COUNTIF('Account Data'!$A$1:$A$1000,"*"&amp;A10&amp;"*")&gt;0</f>
        <v>0</v>
      </c>
      <c r="R10" s="182" t="b">
        <f>IF(OR(P10=TRUE,T10=TRUE),TRUE,FALSE)</f>
        <v>0</v>
      </c>
      <c r="S10" s="182" t="b">
        <f>IF(OR(Q10=TRUE,T10=TRUE),TRUE,FALSE)</f>
        <v>0</v>
      </c>
      <c r="T10" s="181" t="b">
        <f>COUNTIF('New Items'!$A$1:$A$175,A10)&gt;0</f>
        <v>0</v>
      </c>
      <c r="U10" s="181" t="b">
        <f>COUNTIF(Discontinued!$A$1:$A$150,A10)&gt;0</f>
        <v>0</v>
      </c>
    </row>
    <row r="11" spans="1:25" s="8" customFormat="1" ht="11.25" x14ac:dyDescent="0.2">
      <c r="A11" s="152">
        <v>10085423</v>
      </c>
      <c r="B11" s="10" t="s">
        <v>116</v>
      </c>
      <c r="C11" s="12" t="s">
        <v>115</v>
      </c>
      <c r="D11" s="11" t="s">
        <v>650</v>
      </c>
      <c r="E11" s="12" t="s">
        <v>771</v>
      </c>
      <c r="F11" s="13">
        <v>4</v>
      </c>
      <c r="G11" s="22">
        <f>Overview!$B$11</f>
        <v>14</v>
      </c>
      <c r="H11" s="23">
        <f>G11-I11</f>
        <v>14</v>
      </c>
      <c r="I11" s="23">
        <f>Overview!$E$11</f>
        <v>0</v>
      </c>
      <c r="J11" s="52">
        <f>I11/F11</f>
        <v>0</v>
      </c>
      <c r="K11" s="53">
        <f>Overview!$H$11</f>
        <v>0</v>
      </c>
      <c r="L11" s="54" t="e">
        <f>(K11-J11)/K11</f>
        <v>#DIV/0!</v>
      </c>
      <c r="M11" s="179" t="s">
        <v>4369</v>
      </c>
      <c r="N11" s="179" t="s">
        <v>3735</v>
      </c>
      <c r="O11" s="141">
        <f>I11</f>
        <v>0</v>
      </c>
      <c r="P11" s="181" t="b">
        <f>COUNTIF('Facility Data'!$A$1:$A$1500,"*"&amp;A11&amp;"*")&gt;0</f>
        <v>1</v>
      </c>
      <c r="Q11" s="181" t="b">
        <f>COUNTIF('Account Data'!$A$1:$A$1000,"*"&amp;A11&amp;"*")&gt;0</f>
        <v>1</v>
      </c>
      <c r="R11" s="182" t="b">
        <f>IF(OR(P11=TRUE,T11=TRUE),TRUE,FALSE)</f>
        <v>1</v>
      </c>
      <c r="S11" s="182" t="b">
        <f>IF(OR(Q11=TRUE,T11=TRUE),TRUE,FALSE)</f>
        <v>1</v>
      </c>
      <c r="T11" s="181" t="b">
        <f>COUNTIF('New Items'!$A$1:$A$175,A11)&gt;0</f>
        <v>0</v>
      </c>
      <c r="U11" s="181" t="b">
        <f>COUNTIF(Discontinued!$A$1:$A$150,A11)&gt;0</f>
        <v>0</v>
      </c>
    </row>
    <row r="12" spans="1:25" s="8" customFormat="1" ht="11.25" x14ac:dyDescent="0.2">
      <c r="A12" s="152">
        <v>10137583</v>
      </c>
      <c r="B12" s="10" t="s">
        <v>4777</v>
      </c>
      <c r="C12" s="12" t="s">
        <v>4778</v>
      </c>
      <c r="D12" s="11" t="s">
        <v>1054</v>
      </c>
      <c r="E12" s="12" t="s">
        <v>771</v>
      </c>
      <c r="F12" s="13">
        <v>4</v>
      </c>
      <c r="G12" s="22">
        <f>Overview!$B$11</f>
        <v>14</v>
      </c>
      <c r="H12" s="23">
        <f t="shared" si="0"/>
        <v>14</v>
      </c>
      <c r="I12" s="23">
        <f>Overview!$E$11</f>
        <v>0</v>
      </c>
      <c r="J12" s="52">
        <f t="shared" si="1"/>
        <v>0</v>
      </c>
      <c r="K12" s="53">
        <f>Overview!$H$11</f>
        <v>0</v>
      </c>
      <c r="L12" s="54" t="e">
        <f t="shared" si="2"/>
        <v>#DIV/0!</v>
      </c>
      <c r="M12" s="179" t="s">
        <v>4369</v>
      </c>
      <c r="N12" s="179" t="s">
        <v>3735</v>
      </c>
      <c r="O12" s="141">
        <f t="shared" si="5"/>
        <v>0</v>
      </c>
      <c r="P12" s="181" t="b">
        <f>COUNTIF('Facility Data'!$A$1:$A$1500,"*"&amp;A12&amp;"*")&gt;0</f>
        <v>0</v>
      </c>
      <c r="Q12" s="181" t="b">
        <f>COUNTIF('Account Data'!$A$1:$A$1000,"*"&amp;A12&amp;"*")&gt;0</f>
        <v>0</v>
      </c>
      <c r="R12" s="182" t="b">
        <f t="shared" si="3"/>
        <v>1</v>
      </c>
      <c r="S12" s="182" t="b">
        <f t="shared" si="4"/>
        <v>1</v>
      </c>
      <c r="T12" s="181" t="b">
        <f>COUNTIF('New Items'!$A$1:$A$175,A12)&gt;0</f>
        <v>1</v>
      </c>
      <c r="U12" s="181" t="b">
        <f>COUNTIF(Discontinued!$A$1:$A$150,A12)&gt;0</f>
        <v>0</v>
      </c>
    </row>
    <row r="13" spans="1:25" s="8" customFormat="1" ht="11.25" x14ac:dyDescent="0.2">
      <c r="A13" s="152">
        <v>10085417</v>
      </c>
      <c r="B13" s="10" t="s">
        <v>128</v>
      </c>
      <c r="C13" s="12" t="s">
        <v>127</v>
      </c>
      <c r="D13" s="11" t="s">
        <v>652</v>
      </c>
      <c r="E13" s="12" t="s">
        <v>771</v>
      </c>
      <c r="F13" s="13">
        <v>4</v>
      </c>
      <c r="G13" s="22">
        <f>Overview!$B$11</f>
        <v>14</v>
      </c>
      <c r="H13" s="23">
        <f t="shared" si="0"/>
        <v>14</v>
      </c>
      <c r="I13" s="23">
        <f>Overview!$E$11</f>
        <v>0</v>
      </c>
      <c r="J13" s="52">
        <f t="shared" si="1"/>
        <v>0</v>
      </c>
      <c r="K13" s="53">
        <f>Overview!$H$11</f>
        <v>0</v>
      </c>
      <c r="L13" s="54" t="e">
        <f t="shared" si="2"/>
        <v>#DIV/0!</v>
      </c>
      <c r="M13" s="179"/>
      <c r="N13" s="179" t="s">
        <v>3735</v>
      </c>
      <c r="O13" s="141">
        <f>I13</f>
        <v>0</v>
      </c>
      <c r="P13" s="181" t="b">
        <f>COUNTIF('Facility Data'!$A$1:$A$1500,"*"&amp;A13&amp;"*")&gt;0</f>
        <v>1</v>
      </c>
      <c r="Q13" s="181" t="b">
        <f>COUNTIF('Account Data'!$A$1:$A$1000,"*"&amp;A13&amp;"*")&gt;0</f>
        <v>1</v>
      </c>
      <c r="R13" s="182" t="b">
        <f t="shared" si="3"/>
        <v>1</v>
      </c>
      <c r="S13" s="182" t="b">
        <f t="shared" si="4"/>
        <v>1</v>
      </c>
      <c r="T13" s="181" t="b">
        <f>COUNTIF('New Items'!$A$1:$A$175,A13)&gt;0</f>
        <v>0</v>
      </c>
      <c r="U13" s="181" t="b">
        <f>COUNTIF(Discontinued!$A$1:$A$150,A13)&gt;0</f>
        <v>0</v>
      </c>
    </row>
    <row r="14" spans="1:25" s="8" customFormat="1" ht="11.25" x14ac:dyDescent="0.2">
      <c r="A14" s="152">
        <v>10086588</v>
      </c>
      <c r="B14" s="10" t="s">
        <v>4736</v>
      </c>
      <c r="C14" s="12" t="s">
        <v>122</v>
      </c>
      <c r="D14" s="11" t="s">
        <v>4737</v>
      </c>
      <c r="E14" s="12" t="s">
        <v>771</v>
      </c>
      <c r="F14" s="13">
        <v>4</v>
      </c>
      <c r="G14" s="22">
        <f>Overview!$B$11</f>
        <v>14</v>
      </c>
      <c r="H14" s="23">
        <f>G14-I14</f>
        <v>14</v>
      </c>
      <c r="I14" s="23">
        <f>Overview!$E$11</f>
        <v>0</v>
      </c>
      <c r="J14" s="52">
        <f>I14/F14</f>
        <v>0</v>
      </c>
      <c r="K14" s="53">
        <f>Overview!$H$11</f>
        <v>0</v>
      </c>
      <c r="L14" s="54" t="e">
        <f>(K14-J14)/K14</f>
        <v>#DIV/0!</v>
      </c>
      <c r="M14" s="179"/>
      <c r="N14" s="179" t="s">
        <v>3735</v>
      </c>
      <c r="O14" s="141">
        <f>I14</f>
        <v>0</v>
      </c>
      <c r="P14" s="181" t="b">
        <f>COUNTIF('Facility Data'!$A$1:$A$1500,"*"&amp;A14&amp;"*")&gt;0</f>
        <v>0</v>
      </c>
      <c r="Q14" s="181" t="b">
        <f>COUNTIF('Account Data'!$A$1:$A$1000,"*"&amp;A14&amp;"*")&gt;0</f>
        <v>0</v>
      </c>
      <c r="R14" s="182" t="b">
        <f>IF(OR(P14=TRUE,T14=TRUE),TRUE,FALSE)</f>
        <v>0</v>
      </c>
      <c r="S14" s="182" t="b">
        <f>IF(OR(Q14=TRUE,T14=TRUE),TRUE,FALSE)</f>
        <v>0</v>
      </c>
      <c r="T14" s="181" t="b">
        <f>COUNTIF('New Items'!$A$1:$A$175,A14)&gt;0</f>
        <v>0</v>
      </c>
      <c r="U14" s="181" t="b">
        <f>COUNTIF(Discontinued!$A$1:$A$150,A14)&gt;0</f>
        <v>0</v>
      </c>
    </row>
    <row r="15" spans="1:25" s="8" customFormat="1" ht="11.25" x14ac:dyDescent="0.2">
      <c r="A15" s="152">
        <v>10126464</v>
      </c>
      <c r="B15" s="10" t="s">
        <v>3956</v>
      </c>
      <c r="C15" s="12" t="s">
        <v>4450</v>
      </c>
      <c r="D15" s="11" t="s">
        <v>3773</v>
      </c>
      <c r="E15" s="12" t="s">
        <v>771</v>
      </c>
      <c r="F15" s="13">
        <v>4</v>
      </c>
      <c r="G15" s="22">
        <f>Overview!$B$11</f>
        <v>14</v>
      </c>
      <c r="H15" s="23">
        <f>G15-I15</f>
        <v>14</v>
      </c>
      <c r="I15" s="23">
        <f>Overview!$E$11</f>
        <v>0</v>
      </c>
      <c r="J15" s="52">
        <f>I15/F15</f>
        <v>0</v>
      </c>
      <c r="K15" s="53">
        <f>Overview!$H$11</f>
        <v>0</v>
      </c>
      <c r="L15" s="54" t="e">
        <f>(K15-J15)/K15</f>
        <v>#DIV/0!</v>
      </c>
      <c r="M15" s="179"/>
      <c r="N15" s="179" t="s">
        <v>3735</v>
      </c>
      <c r="O15" s="141">
        <f>I15</f>
        <v>0</v>
      </c>
      <c r="P15" s="181" t="b">
        <f>COUNTIF('Facility Data'!$A$1:$A$1500,"*"&amp;A15&amp;"*")&gt;0</f>
        <v>1</v>
      </c>
      <c r="Q15" s="181" t="b">
        <f>COUNTIF('Account Data'!$A$1:$A$1000,"*"&amp;A15&amp;"*")&gt;0</f>
        <v>0</v>
      </c>
      <c r="R15" s="182" t="b">
        <f t="shared" si="3"/>
        <v>1</v>
      </c>
      <c r="S15" s="182" t="b">
        <f>IF(OR(Q15=TRUE,T15=TRUE),TRUE,FALSE)</f>
        <v>0</v>
      </c>
      <c r="T15" s="181" t="b">
        <f>COUNTIF('New Items'!$A$1:$A$175,A15)&gt;0</f>
        <v>0</v>
      </c>
      <c r="U15" s="181" t="b">
        <f>COUNTIF(Discontinued!$A$1:$A$150,A15)&gt;0</f>
        <v>0</v>
      </c>
    </row>
    <row r="16" spans="1:25" s="8" customFormat="1" ht="11.25" x14ac:dyDescent="0.2">
      <c r="A16" s="152">
        <v>10085421</v>
      </c>
      <c r="B16" s="10" t="s">
        <v>2707</v>
      </c>
      <c r="C16" s="12" t="s">
        <v>2708</v>
      </c>
      <c r="D16" s="11" t="s">
        <v>4116</v>
      </c>
      <c r="E16" s="12" t="s">
        <v>771</v>
      </c>
      <c r="F16" s="13">
        <v>4</v>
      </c>
      <c r="G16" s="22">
        <f>Overview!$B$11</f>
        <v>14</v>
      </c>
      <c r="H16" s="23">
        <f t="shared" si="0"/>
        <v>14</v>
      </c>
      <c r="I16" s="23">
        <f>Overview!$E$11</f>
        <v>0</v>
      </c>
      <c r="J16" s="52">
        <f t="shared" si="1"/>
        <v>0</v>
      </c>
      <c r="K16" s="53">
        <f>Overview!$H$11</f>
        <v>0</v>
      </c>
      <c r="L16" s="54" t="e">
        <f t="shared" si="2"/>
        <v>#DIV/0!</v>
      </c>
      <c r="M16" s="179" t="s">
        <v>953</v>
      </c>
      <c r="N16" s="179" t="s">
        <v>3735</v>
      </c>
      <c r="O16" s="141">
        <f t="shared" si="5"/>
        <v>0</v>
      </c>
      <c r="P16" s="181" t="b">
        <f>COUNTIF('Facility Data'!$A$1:$A$1500,"*"&amp;A16&amp;"*")&gt;0</f>
        <v>0</v>
      </c>
      <c r="Q16" s="181" t="b">
        <f>COUNTIF('Account Data'!$A$1:$A$1000,"*"&amp;A16&amp;"*")&gt;0</f>
        <v>0</v>
      </c>
      <c r="R16" s="182" t="b">
        <f t="shared" si="3"/>
        <v>0</v>
      </c>
      <c r="S16" s="182" t="b">
        <f t="shared" si="4"/>
        <v>0</v>
      </c>
      <c r="T16" s="181" t="b">
        <f>COUNTIF('New Items'!$A$1:$A$175,A16)&gt;0</f>
        <v>0</v>
      </c>
      <c r="U16" s="181" t="b">
        <f>COUNTIF(Discontinued!$A$1:$A$150,A16)&gt;0</f>
        <v>0</v>
      </c>
    </row>
    <row r="17" spans="1:21" s="8" customFormat="1" ht="11.25" x14ac:dyDescent="0.2">
      <c r="A17" s="152">
        <v>10085422</v>
      </c>
      <c r="B17" s="10" t="s">
        <v>4779</v>
      </c>
      <c r="C17" s="12" t="s">
        <v>2709</v>
      </c>
      <c r="D17" s="11" t="s">
        <v>4780</v>
      </c>
      <c r="E17" s="12" t="s">
        <v>771</v>
      </c>
      <c r="F17" s="13">
        <v>4</v>
      </c>
      <c r="G17" s="22">
        <f>Overview!$B$11</f>
        <v>14</v>
      </c>
      <c r="H17" s="23">
        <f t="shared" si="0"/>
        <v>14</v>
      </c>
      <c r="I17" s="23">
        <f>Overview!$E$11</f>
        <v>0</v>
      </c>
      <c r="J17" s="52">
        <f t="shared" si="1"/>
        <v>0</v>
      </c>
      <c r="K17" s="53">
        <f>Overview!$H$11</f>
        <v>0</v>
      </c>
      <c r="L17" s="54" t="e">
        <f t="shared" si="2"/>
        <v>#DIV/0!</v>
      </c>
      <c r="M17" s="179" t="s">
        <v>953</v>
      </c>
      <c r="N17" s="179" t="s">
        <v>3735</v>
      </c>
      <c r="O17" s="141">
        <f t="shared" si="5"/>
        <v>0</v>
      </c>
      <c r="P17" s="181" t="b">
        <f>COUNTIF('Facility Data'!$A$1:$A$1500,"*"&amp;A17&amp;"*")&gt;0</f>
        <v>0</v>
      </c>
      <c r="Q17" s="181" t="b">
        <f>COUNTIF('Account Data'!$A$1:$A$1000,"*"&amp;A17&amp;"*")&gt;0</f>
        <v>0</v>
      </c>
      <c r="R17" s="182" t="b">
        <f t="shared" si="3"/>
        <v>0</v>
      </c>
      <c r="S17" s="182" t="b">
        <f t="shared" si="4"/>
        <v>0</v>
      </c>
      <c r="T17" s="181" t="b">
        <f>COUNTIF('New Items'!$A$1:$A$175,A17)&gt;0</f>
        <v>0</v>
      </c>
      <c r="U17" s="181" t="b">
        <f>COUNTIF(Discontinued!$A$1:$A$150,A17)&gt;0</f>
        <v>0</v>
      </c>
    </row>
    <row r="18" spans="1:21" s="8" customFormat="1" ht="11.25" x14ac:dyDescent="0.2">
      <c r="A18" s="152">
        <v>10085424</v>
      </c>
      <c r="B18" s="10" t="s">
        <v>118</v>
      </c>
      <c r="C18" s="12" t="s">
        <v>117</v>
      </c>
      <c r="D18" s="11" t="s">
        <v>636</v>
      </c>
      <c r="E18" s="12" t="s">
        <v>771</v>
      </c>
      <c r="F18" s="13">
        <v>4</v>
      </c>
      <c r="G18" s="22">
        <f>Overview!$B$11</f>
        <v>14</v>
      </c>
      <c r="H18" s="23">
        <f t="shared" si="0"/>
        <v>14</v>
      </c>
      <c r="I18" s="23">
        <f>Overview!$E$11</f>
        <v>0</v>
      </c>
      <c r="J18" s="52">
        <f t="shared" si="1"/>
        <v>0</v>
      </c>
      <c r="K18" s="53">
        <f>Overview!$H$11</f>
        <v>0</v>
      </c>
      <c r="L18" s="54" t="e">
        <f t="shared" si="2"/>
        <v>#DIV/0!</v>
      </c>
      <c r="M18" s="179" t="s">
        <v>4370</v>
      </c>
      <c r="N18" s="179" t="s">
        <v>3735</v>
      </c>
      <c r="O18" s="141">
        <f t="shared" si="5"/>
        <v>0</v>
      </c>
      <c r="P18" s="181" t="b">
        <f>COUNTIF('Facility Data'!$A$1:$A$1500,"*"&amp;A18&amp;"*")&gt;0</f>
        <v>1</v>
      </c>
      <c r="Q18" s="181" t="b">
        <f>COUNTIF('Account Data'!$A$1:$A$1000,"*"&amp;A18&amp;"*")&gt;0</f>
        <v>1</v>
      </c>
      <c r="R18" s="182" t="b">
        <f t="shared" si="3"/>
        <v>1</v>
      </c>
      <c r="S18" s="182" t="b">
        <f t="shared" si="4"/>
        <v>1</v>
      </c>
      <c r="T18" s="181" t="b">
        <f>COUNTIF('New Items'!$A$1:$A$175,A18)&gt;0</f>
        <v>0</v>
      </c>
      <c r="U18" s="181" t="b">
        <f>COUNTIF(Discontinued!$A$1:$A$150,A18)&gt;0</f>
        <v>0</v>
      </c>
    </row>
    <row r="19" spans="1:21" s="8" customFormat="1" ht="11.25" x14ac:dyDescent="0.2">
      <c r="A19" s="152">
        <v>10085703</v>
      </c>
      <c r="B19" s="10" t="s">
        <v>1419</v>
      </c>
      <c r="C19" s="12" t="s">
        <v>1420</v>
      </c>
      <c r="D19" s="11" t="s">
        <v>640</v>
      </c>
      <c r="E19" s="12" t="s">
        <v>771</v>
      </c>
      <c r="F19" s="13">
        <v>4</v>
      </c>
      <c r="G19" s="22">
        <f>Overview!$B$11</f>
        <v>14</v>
      </c>
      <c r="H19" s="23">
        <f t="shared" si="0"/>
        <v>14</v>
      </c>
      <c r="I19" s="23">
        <f>Overview!$E$11</f>
        <v>0</v>
      </c>
      <c r="J19" s="52">
        <f t="shared" si="1"/>
        <v>0</v>
      </c>
      <c r="K19" s="53">
        <f>Overview!$H$11</f>
        <v>0</v>
      </c>
      <c r="L19" s="54" t="e">
        <f t="shared" si="2"/>
        <v>#DIV/0!</v>
      </c>
      <c r="M19" s="179"/>
      <c r="N19" s="179" t="s">
        <v>3735</v>
      </c>
      <c r="O19" s="141">
        <f t="shared" si="5"/>
        <v>0</v>
      </c>
      <c r="P19" s="181" t="b">
        <f>COUNTIF('Facility Data'!$A$1:$A$1500,"*"&amp;A19&amp;"*")&gt;0</f>
        <v>1</v>
      </c>
      <c r="Q19" s="181" t="b">
        <f>COUNTIF('Account Data'!$A$1:$A$1000,"*"&amp;A19&amp;"*")&gt;0</f>
        <v>0</v>
      </c>
      <c r="R19" s="182" t="b">
        <f t="shared" si="3"/>
        <v>1</v>
      </c>
      <c r="S19" s="182" t="b">
        <f t="shared" si="4"/>
        <v>0</v>
      </c>
      <c r="T19" s="181" t="b">
        <f>COUNTIF('New Items'!$A$1:$A$175,A19)&gt;0</f>
        <v>0</v>
      </c>
      <c r="U19" s="181" t="b">
        <f>COUNTIF(Discontinued!$A$1:$A$150,A19)&gt;0</f>
        <v>0</v>
      </c>
    </row>
    <row r="20" spans="1:21" s="8" customFormat="1" ht="12" thickBot="1" x14ac:dyDescent="0.25">
      <c r="A20" s="152">
        <v>10085414</v>
      </c>
      <c r="B20" s="10" t="s">
        <v>1286</v>
      </c>
      <c r="C20" s="12" t="s">
        <v>1287</v>
      </c>
      <c r="D20" s="11" t="s">
        <v>660</v>
      </c>
      <c r="E20" s="12" t="s">
        <v>771</v>
      </c>
      <c r="F20" s="13">
        <v>4</v>
      </c>
      <c r="G20" s="22">
        <f>Overview!$B$11</f>
        <v>14</v>
      </c>
      <c r="H20" s="23">
        <f t="shared" si="0"/>
        <v>14</v>
      </c>
      <c r="I20" s="23">
        <f>Overview!$E$11</f>
        <v>0</v>
      </c>
      <c r="J20" s="52">
        <f t="shared" si="1"/>
        <v>0</v>
      </c>
      <c r="K20" s="53">
        <f>Overview!$H$11</f>
        <v>0</v>
      </c>
      <c r="L20" s="54" t="e">
        <f t="shared" si="2"/>
        <v>#DIV/0!</v>
      </c>
      <c r="M20" s="179"/>
      <c r="N20" s="179" t="s">
        <v>3735</v>
      </c>
      <c r="O20" s="141">
        <f t="shared" si="5"/>
        <v>0</v>
      </c>
      <c r="P20" s="181" t="b">
        <f>COUNTIF('Facility Data'!$A$1:$A$1500,"*"&amp;A20&amp;"*")&gt;0</f>
        <v>0</v>
      </c>
      <c r="Q20" s="181" t="b">
        <f>COUNTIF('Account Data'!$A$1:$A$1000,"*"&amp;A20&amp;"*")&gt;0</f>
        <v>0</v>
      </c>
      <c r="R20" s="182" t="b">
        <f t="shared" si="3"/>
        <v>0</v>
      </c>
      <c r="S20" s="182" t="b">
        <f t="shared" si="4"/>
        <v>0</v>
      </c>
      <c r="T20" s="181" t="b">
        <f>COUNTIF('New Items'!$A$1:$A$175,A20)&gt;0</f>
        <v>0</v>
      </c>
      <c r="U20" s="181" t="b">
        <f>COUNTIF(Discontinued!$A$1:$A$150,A20)&gt;0</f>
        <v>0</v>
      </c>
    </row>
    <row r="21" spans="1:21" s="8" customFormat="1" ht="13.5" thickBot="1" x14ac:dyDescent="0.25">
      <c r="A21" s="300" t="s">
        <v>3734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2"/>
      <c r="M21" s="179" t="s">
        <v>4361</v>
      </c>
      <c r="N21" s="179" t="s">
        <v>3736</v>
      </c>
      <c r="O21" s="141">
        <f>AVERAGE(O22:O33)</f>
        <v>0</v>
      </c>
      <c r="P21" s="181" t="b">
        <f>COUNTIF(P22:P33,TRUE)&gt;0</f>
        <v>1</v>
      </c>
      <c r="Q21" s="181" t="b">
        <f>COUNTIF(Q22:Q33,TRUE)&gt;0</f>
        <v>0</v>
      </c>
      <c r="R21" s="181" t="b">
        <f>COUNTIF(R22:R33,TRUE)&gt;0</f>
        <v>1</v>
      </c>
      <c r="S21" s="181" t="b">
        <f>COUNTIF(S22:S33,TRUE)&gt;0</f>
        <v>0</v>
      </c>
      <c r="T21" s="181" t="b">
        <f>COUNTIF(T22:T33,TRUE)&gt;0</f>
        <v>0</v>
      </c>
      <c r="U21" s="181"/>
    </row>
    <row r="22" spans="1:21" s="8" customFormat="1" ht="11.25" x14ac:dyDescent="0.2">
      <c r="A22" s="152">
        <v>10128313</v>
      </c>
      <c r="B22" s="10" t="s">
        <v>3737</v>
      </c>
      <c r="C22" s="12" t="s">
        <v>3901</v>
      </c>
      <c r="D22" s="11" t="s">
        <v>629</v>
      </c>
      <c r="E22" s="12" t="s">
        <v>771</v>
      </c>
      <c r="F22" s="13">
        <v>3</v>
      </c>
      <c r="G22" s="22">
        <f>Overview!$B$12</f>
        <v>14</v>
      </c>
      <c r="H22" s="23">
        <f t="shared" ref="H22:H33" si="6">G22-I22</f>
        <v>14</v>
      </c>
      <c r="I22" s="23">
        <f>Overview!$E$12</f>
        <v>0</v>
      </c>
      <c r="J22" s="52">
        <f t="shared" ref="J22:J33" si="7">I22/F22</f>
        <v>0</v>
      </c>
      <c r="K22" s="53">
        <f>Overview!$H$12</f>
        <v>0</v>
      </c>
      <c r="L22" s="54" t="e">
        <f t="shared" ref="L22:L33" si="8">(K22-J22)/K22</f>
        <v>#DIV/0!</v>
      </c>
      <c r="M22" s="179" t="s">
        <v>951</v>
      </c>
      <c r="N22" s="179" t="s">
        <v>3736</v>
      </c>
      <c r="O22" s="141">
        <f t="shared" ref="O22:O33" si="9">I22</f>
        <v>0</v>
      </c>
      <c r="P22" s="181" t="b">
        <f>COUNTIF('Facility Data'!$A$1:$A$1500,"*"&amp;A22&amp;"*")&gt;0</f>
        <v>0</v>
      </c>
      <c r="Q22" s="181" t="b">
        <f>COUNTIF('Account Data'!$A$1:$A$1000,"*"&amp;A22&amp;"*")&gt;0</f>
        <v>0</v>
      </c>
      <c r="R22" s="182" t="b">
        <f t="shared" ref="R22:R33" si="10">IF(OR(P22=TRUE,T22=TRUE),TRUE,FALSE)</f>
        <v>0</v>
      </c>
      <c r="S22" s="182" t="b">
        <f t="shared" ref="S22:S33" si="11">IF(OR(Q22=TRUE,T22=TRUE),TRUE,FALSE)</f>
        <v>0</v>
      </c>
      <c r="T22" s="181" t="b">
        <f>COUNTIF('New Items'!$A$1:$A$175,A22)&gt;0</f>
        <v>0</v>
      </c>
      <c r="U22" s="181" t="b">
        <f>COUNTIF(Discontinued!$A$1:$A$150,A22)&gt;0</f>
        <v>0</v>
      </c>
    </row>
    <row r="23" spans="1:21" s="8" customFormat="1" ht="11.25" x14ac:dyDescent="0.2">
      <c r="A23" s="152">
        <v>10130158</v>
      </c>
      <c r="B23" s="10" t="s">
        <v>4063</v>
      </c>
      <c r="C23" s="12" t="s">
        <v>3738</v>
      </c>
      <c r="D23" s="11" t="s">
        <v>631</v>
      </c>
      <c r="E23" s="12" t="s">
        <v>771</v>
      </c>
      <c r="F23" s="13">
        <v>3</v>
      </c>
      <c r="G23" s="22">
        <f>Overview!$B$12</f>
        <v>14</v>
      </c>
      <c r="H23" s="23">
        <f t="shared" si="6"/>
        <v>14</v>
      </c>
      <c r="I23" s="23">
        <f>Overview!$E$12</f>
        <v>0</v>
      </c>
      <c r="J23" s="52">
        <f t="shared" si="7"/>
        <v>0</v>
      </c>
      <c r="K23" s="53">
        <f>Overview!$H$12</f>
        <v>0</v>
      </c>
      <c r="L23" s="54" t="e">
        <f t="shared" si="8"/>
        <v>#DIV/0!</v>
      </c>
      <c r="M23" s="179" t="s">
        <v>951</v>
      </c>
      <c r="N23" s="179" t="s">
        <v>3736</v>
      </c>
      <c r="O23" s="141">
        <f t="shared" si="9"/>
        <v>0</v>
      </c>
      <c r="P23" s="181" t="b">
        <f>COUNTIF('Facility Data'!$A$1:$A$1500,"*"&amp;A23&amp;"*")&gt;0</f>
        <v>0</v>
      </c>
      <c r="Q23" s="181" t="b">
        <f>COUNTIF('Account Data'!$A$1:$A$1000,"*"&amp;A23&amp;"*")&gt;0</f>
        <v>0</v>
      </c>
      <c r="R23" s="182" t="b">
        <f t="shared" si="10"/>
        <v>0</v>
      </c>
      <c r="S23" s="182" t="b">
        <f t="shared" si="11"/>
        <v>0</v>
      </c>
      <c r="T23" s="181" t="b">
        <f>COUNTIF('New Items'!$A$1:$A$175,A23)&gt;0</f>
        <v>0</v>
      </c>
      <c r="U23" s="181" t="b">
        <f>COUNTIF(Discontinued!$A$1:$A$150,A23)&gt;0</f>
        <v>0</v>
      </c>
    </row>
    <row r="24" spans="1:21" s="8" customFormat="1" ht="11.25" x14ac:dyDescent="0.2">
      <c r="A24" s="152">
        <v>10128315</v>
      </c>
      <c r="B24" s="10" t="s">
        <v>3739</v>
      </c>
      <c r="C24" s="12" t="s">
        <v>3740</v>
      </c>
      <c r="D24" s="11" t="s">
        <v>643</v>
      </c>
      <c r="E24" s="12" t="s">
        <v>771</v>
      </c>
      <c r="F24" s="13">
        <v>3</v>
      </c>
      <c r="G24" s="22">
        <f>Overview!$B$12</f>
        <v>14</v>
      </c>
      <c r="H24" s="23">
        <f t="shared" si="6"/>
        <v>14</v>
      </c>
      <c r="I24" s="23">
        <f>Overview!$E$12</f>
        <v>0</v>
      </c>
      <c r="J24" s="52">
        <f t="shared" si="7"/>
        <v>0</v>
      </c>
      <c r="K24" s="53">
        <f>Overview!$H$12</f>
        <v>0</v>
      </c>
      <c r="L24" s="54" t="e">
        <f t="shared" si="8"/>
        <v>#DIV/0!</v>
      </c>
      <c r="M24" s="179"/>
      <c r="N24" s="179" t="s">
        <v>3736</v>
      </c>
      <c r="O24" s="141">
        <f t="shared" si="9"/>
        <v>0</v>
      </c>
      <c r="P24" s="181" t="b">
        <f>COUNTIF('Facility Data'!$A$1:$A$1500,"*"&amp;A24&amp;"*")&gt;0</f>
        <v>1</v>
      </c>
      <c r="Q24" s="181" t="b">
        <f>COUNTIF('Account Data'!$A$1:$A$1000,"*"&amp;A24&amp;"*")&gt;0</f>
        <v>0</v>
      </c>
      <c r="R24" s="182" t="b">
        <f t="shared" si="10"/>
        <v>1</v>
      </c>
      <c r="S24" s="182" t="b">
        <f t="shared" si="11"/>
        <v>0</v>
      </c>
      <c r="T24" s="181" t="b">
        <f>COUNTIF('New Items'!$A$1:$A$175,A24)&gt;0</f>
        <v>0</v>
      </c>
      <c r="U24" s="181" t="b">
        <f>COUNTIF(Discontinued!$A$1:$A$150,A24)&gt;0</f>
        <v>0</v>
      </c>
    </row>
    <row r="25" spans="1:21" s="8" customFormat="1" ht="11.25" x14ac:dyDescent="0.2">
      <c r="A25" s="152">
        <v>10130138</v>
      </c>
      <c r="B25" s="10" t="s">
        <v>4738</v>
      </c>
      <c r="C25" s="12" t="s">
        <v>3742</v>
      </c>
      <c r="D25" s="11" t="s">
        <v>4733</v>
      </c>
      <c r="E25" s="12" t="s">
        <v>771</v>
      </c>
      <c r="F25" s="13">
        <v>3</v>
      </c>
      <c r="G25" s="22">
        <f>Overview!$B$12</f>
        <v>14</v>
      </c>
      <c r="H25" s="23">
        <f>G25-I25</f>
        <v>14</v>
      </c>
      <c r="I25" s="23">
        <f>Overview!$E$12</f>
        <v>0</v>
      </c>
      <c r="J25" s="52">
        <f>I25/F25</f>
        <v>0</v>
      </c>
      <c r="K25" s="53">
        <f>Overview!$H$12</f>
        <v>0</v>
      </c>
      <c r="L25" s="54" t="e">
        <f>(K25-J25)/K25</f>
        <v>#DIV/0!</v>
      </c>
      <c r="M25" s="179"/>
      <c r="N25" s="179" t="s">
        <v>3736</v>
      </c>
      <c r="O25" s="141">
        <f>I25</f>
        <v>0</v>
      </c>
      <c r="P25" s="181" t="b">
        <f>COUNTIF('Facility Data'!$A$1:$A$1500,"*"&amp;A25&amp;"*")&gt;0</f>
        <v>1</v>
      </c>
      <c r="Q25" s="181" t="b">
        <f>COUNTIF('Account Data'!$A$1:$A$1000,"*"&amp;A25&amp;"*")&gt;0</f>
        <v>0</v>
      </c>
      <c r="R25" s="182" t="b">
        <f>IF(OR(P25=TRUE,T25=TRUE),TRUE,FALSE)</f>
        <v>1</v>
      </c>
      <c r="S25" s="182" t="b">
        <f>IF(OR(Q25=TRUE,T25=TRUE),TRUE,FALSE)</f>
        <v>0</v>
      </c>
      <c r="T25" s="181" t="b">
        <f>COUNTIF('New Items'!$A$1:$A$175,A25)&gt;0</f>
        <v>0</v>
      </c>
      <c r="U25" s="181" t="b">
        <f>COUNTIF(Discontinued!$A$1:$A$150,A25)&gt;0</f>
        <v>0</v>
      </c>
    </row>
    <row r="26" spans="1:21" s="8" customFormat="1" ht="11.25" x14ac:dyDescent="0.2">
      <c r="A26" s="152">
        <v>10130141</v>
      </c>
      <c r="B26" s="10" t="s">
        <v>3743</v>
      </c>
      <c r="C26" s="12" t="s">
        <v>3744</v>
      </c>
      <c r="D26" s="11" t="s">
        <v>645</v>
      </c>
      <c r="E26" s="12" t="s">
        <v>771</v>
      </c>
      <c r="F26" s="13">
        <v>3</v>
      </c>
      <c r="G26" s="22">
        <f>Overview!$B$12</f>
        <v>14</v>
      </c>
      <c r="H26" s="23">
        <f t="shared" si="6"/>
        <v>14</v>
      </c>
      <c r="I26" s="23">
        <f>Overview!$E$12</f>
        <v>0</v>
      </c>
      <c r="J26" s="52">
        <f t="shared" si="7"/>
        <v>0</v>
      </c>
      <c r="K26" s="53">
        <f>Overview!$H$12</f>
        <v>0</v>
      </c>
      <c r="L26" s="54" t="e">
        <f t="shared" si="8"/>
        <v>#DIV/0!</v>
      </c>
      <c r="M26" s="179" t="s">
        <v>4406</v>
      </c>
      <c r="N26" s="179" t="s">
        <v>3736</v>
      </c>
      <c r="O26" s="141">
        <f t="shared" si="9"/>
        <v>0</v>
      </c>
      <c r="P26" s="181" t="b">
        <f>COUNTIF('Facility Data'!$A$1:$A$1500,"*"&amp;A26&amp;"*")&gt;0</f>
        <v>1</v>
      </c>
      <c r="Q26" s="181" t="b">
        <f>COUNTIF('Account Data'!$A$1:$A$1000,"*"&amp;A26&amp;"*")&gt;0</f>
        <v>0</v>
      </c>
      <c r="R26" s="182" t="b">
        <f t="shared" si="10"/>
        <v>1</v>
      </c>
      <c r="S26" s="182" t="b">
        <f t="shared" si="11"/>
        <v>0</v>
      </c>
      <c r="T26" s="181" t="b">
        <f>COUNTIF('New Items'!$A$1:$A$175,A26)&gt;0</f>
        <v>0</v>
      </c>
      <c r="U26" s="181" t="b">
        <f>COUNTIF(Discontinued!$A$1:$A$150,A26)&gt;0</f>
        <v>0</v>
      </c>
    </row>
    <row r="27" spans="1:21" s="8" customFormat="1" ht="11.25" x14ac:dyDescent="0.2">
      <c r="A27" s="152">
        <v>10130142</v>
      </c>
      <c r="B27" s="10" t="s">
        <v>3745</v>
      </c>
      <c r="C27" s="12" t="s">
        <v>3746</v>
      </c>
      <c r="D27" s="11" t="s">
        <v>650</v>
      </c>
      <c r="E27" s="12" t="s">
        <v>771</v>
      </c>
      <c r="F27" s="13">
        <v>3</v>
      </c>
      <c r="G27" s="22">
        <f>Overview!$B$12</f>
        <v>14</v>
      </c>
      <c r="H27" s="23">
        <f t="shared" si="6"/>
        <v>14</v>
      </c>
      <c r="I27" s="23">
        <f>Overview!$E$12</f>
        <v>0</v>
      </c>
      <c r="J27" s="52">
        <f t="shared" si="7"/>
        <v>0</v>
      </c>
      <c r="K27" s="53">
        <f>Overview!$H$12</f>
        <v>0</v>
      </c>
      <c r="L27" s="54" t="e">
        <f t="shared" si="8"/>
        <v>#DIV/0!</v>
      </c>
      <c r="M27" s="179" t="s">
        <v>4369</v>
      </c>
      <c r="N27" s="179" t="s">
        <v>3736</v>
      </c>
      <c r="O27" s="141">
        <f t="shared" si="9"/>
        <v>0</v>
      </c>
      <c r="P27" s="181" t="b">
        <f>COUNTIF('Facility Data'!$A$1:$A$1500,"*"&amp;A27&amp;"*")&gt;0</f>
        <v>1</v>
      </c>
      <c r="Q27" s="181" t="b">
        <f>COUNTIF('Account Data'!$A$1:$A$1000,"*"&amp;A27&amp;"*")&gt;0</f>
        <v>0</v>
      </c>
      <c r="R27" s="182" t="b">
        <f t="shared" si="10"/>
        <v>1</v>
      </c>
      <c r="S27" s="182" t="b">
        <f t="shared" si="11"/>
        <v>0</v>
      </c>
      <c r="T27" s="181" t="b">
        <f>COUNTIF('New Items'!$A$1:$A$175,A27)&gt;0</f>
        <v>0</v>
      </c>
      <c r="U27" s="181" t="b">
        <f>COUNTIF(Discontinued!$A$1:$A$150,A27)&gt;0</f>
        <v>0</v>
      </c>
    </row>
    <row r="28" spans="1:21" s="8" customFormat="1" ht="11.25" x14ac:dyDescent="0.2">
      <c r="A28" s="152">
        <v>10128316</v>
      </c>
      <c r="B28" s="10" t="s">
        <v>3747</v>
      </c>
      <c r="C28" s="12" t="s">
        <v>3902</v>
      </c>
      <c r="D28" s="11" t="s">
        <v>652</v>
      </c>
      <c r="E28" s="12" t="s">
        <v>771</v>
      </c>
      <c r="F28" s="13">
        <v>3</v>
      </c>
      <c r="G28" s="22">
        <f>Overview!$B$12</f>
        <v>14</v>
      </c>
      <c r="H28" s="23">
        <f t="shared" si="6"/>
        <v>14</v>
      </c>
      <c r="I28" s="23">
        <f>Overview!$E$12</f>
        <v>0</v>
      </c>
      <c r="J28" s="52">
        <f t="shared" si="7"/>
        <v>0</v>
      </c>
      <c r="K28" s="53">
        <f>Overview!$H$12</f>
        <v>0</v>
      </c>
      <c r="L28" s="54" t="e">
        <f t="shared" si="8"/>
        <v>#DIV/0!</v>
      </c>
      <c r="M28" s="179"/>
      <c r="N28" s="179" t="s">
        <v>3736</v>
      </c>
      <c r="O28" s="141">
        <f t="shared" si="9"/>
        <v>0</v>
      </c>
      <c r="P28" s="181" t="b">
        <f>COUNTIF('Facility Data'!$A$1:$A$1500,"*"&amp;A28&amp;"*")&gt;0</f>
        <v>1</v>
      </c>
      <c r="Q28" s="181" t="b">
        <f>COUNTIF('Account Data'!$A$1:$A$1000,"*"&amp;A28&amp;"*")&gt;0</f>
        <v>0</v>
      </c>
      <c r="R28" s="182" t="b">
        <f t="shared" si="10"/>
        <v>1</v>
      </c>
      <c r="S28" s="182" t="b">
        <f t="shared" si="11"/>
        <v>0</v>
      </c>
      <c r="T28" s="181" t="b">
        <f>COUNTIF('New Items'!$A$1:$A$175,A28)&gt;0</f>
        <v>0</v>
      </c>
      <c r="U28" s="181" t="b">
        <f>COUNTIF(Discontinued!$A$1:$A$150,A28)&gt;0</f>
        <v>0</v>
      </c>
    </row>
    <row r="29" spans="1:21" s="8" customFormat="1" ht="11.25" x14ac:dyDescent="0.2">
      <c r="A29" s="152">
        <v>10130140</v>
      </c>
      <c r="B29" s="10" t="s">
        <v>4739</v>
      </c>
      <c r="C29" s="12" t="s">
        <v>3749</v>
      </c>
      <c r="D29" s="11" t="s">
        <v>4740</v>
      </c>
      <c r="E29" s="12" t="s">
        <v>771</v>
      </c>
      <c r="F29" s="13">
        <v>3</v>
      </c>
      <c r="G29" s="22">
        <f>Overview!$B$12</f>
        <v>14</v>
      </c>
      <c r="H29" s="23">
        <f>G29-I29</f>
        <v>14</v>
      </c>
      <c r="I29" s="23">
        <f>Overview!$E$12</f>
        <v>0</v>
      </c>
      <c r="J29" s="52">
        <f>I29/F29</f>
        <v>0</v>
      </c>
      <c r="K29" s="53">
        <f>Overview!$H$12</f>
        <v>0</v>
      </c>
      <c r="L29" s="54" t="e">
        <f>(K29-J29)/K29</f>
        <v>#DIV/0!</v>
      </c>
      <c r="M29" s="179"/>
      <c r="N29" s="179" t="s">
        <v>3736</v>
      </c>
      <c r="O29" s="141">
        <f>I29</f>
        <v>0</v>
      </c>
      <c r="P29" s="181" t="b">
        <f>COUNTIF('Facility Data'!$A$1:$A$1500,"*"&amp;A29&amp;"*")&gt;0</f>
        <v>0</v>
      </c>
      <c r="Q29" s="181" t="b">
        <f>COUNTIF('Account Data'!$A$1:$A$1000,"*"&amp;A29&amp;"*")&gt;0</f>
        <v>0</v>
      </c>
      <c r="R29" s="182" t="b">
        <f>IF(OR(P29=TRUE,T29=TRUE),TRUE,FALSE)</f>
        <v>0</v>
      </c>
      <c r="S29" s="182" t="b">
        <f>IF(OR(Q29=TRUE,T29=TRUE),TRUE,FALSE)</f>
        <v>0</v>
      </c>
      <c r="T29" s="181" t="b">
        <f>COUNTIF('New Items'!$A$1:$A$175,A29)&gt;0</f>
        <v>0</v>
      </c>
      <c r="U29" s="181" t="b">
        <f>COUNTIF(Discontinued!$A$1:$A$150,A29)&gt;0</f>
        <v>0</v>
      </c>
    </row>
    <row r="30" spans="1:21" s="8" customFormat="1" ht="11.25" x14ac:dyDescent="0.2">
      <c r="A30" s="152">
        <v>10130137</v>
      </c>
      <c r="B30" s="10" t="s">
        <v>3750</v>
      </c>
      <c r="C30" s="12" t="s">
        <v>3751</v>
      </c>
      <c r="D30" s="11" t="s">
        <v>4116</v>
      </c>
      <c r="E30" s="12" t="s">
        <v>771</v>
      </c>
      <c r="F30" s="13">
        <v>3</v>
      </c>
      <c r="G30" s="22">
        <f>Overview!$B$12</f>
        <v>14</v>
      </c>
      <c r="H30" s="23">
        <f t="shared" si="6"/>
        <v>14</v>
      </c>
      <c r="I30" s="23">
        <f>Overview!$E$12</f>
        <v>0</v>
      </c>
      <c r="J30" s="52">
        <f t="shared" si="7"/>
        <v>0</v>
      </c>
      <c r="K30" s="53">
        <f>Overview!$H$12</f>
        <v>0</v>
      </c>
      <c r="L30" s="54" t="e">
        <f t="shared" si="8"/>
        <v>#DIV/0!</v>
      </c>
      <c r="M30" s="179" t="s">
        <v>953</v>
      </c>
      <c r="N30" s="179" t="s">
        <v>3736</v>
      </c>
      <c r="O30" s="141">
        <f t="shared" si="9"/>
        <v>0</v>
      </c>
      <c r="P30" s="181" t="b">
        <f>COUNTIF('Facility Data'!$A$1:$A$1500,"*"&amp;A30&amp;"*")&gt;0</f>
        <v>0</v>
      </c>
      <c r="Q30" s="181" t="b">
        <f>COUNTIF('Account Data'!$A$1:$A$1000,"*"&amp;A30&amp;"*")&gt;0</f>
        <v>0</v>
      </c>
      <c r="R30" s="182" t="b">
        <f t="shared" si="10"/>
        <v>0</v>
      </c>
      <c r="S30" s="182" t="b">
        <f t="shared" si="11"/>
        <v>0</v>
      </c>
      <c r="T30" s="181" t="b">
        <f>COUNTIF('New Items'!$A$1:$A$175,A30)&gt;0</f>
        <v>0</v>
      </c>
      <c r="U30" s="181" t="b">
        <f>COUNTIF(Discontinued!$A$1:$A$150,A30)&gt;0</f>
        <v>0</v>
      </c>
    </row>
    <row r="31" spans="1:21" s="8" customFormat="1" ht="11.25" x14ac:dyDescent="0.2">
      <c r="A31" s="152">
        <v>10130144</v>
      </c>
      <c r="B31" s="10" t="s">
        <v>3752</v>
      </c>
      <c r="C31" s="12" t="s">
        <v>3753</v>
      </c>
      <c r="D31" s="11" t="s">
        <v>636</v>
      </c>
      <c r="E31" s="12" t="s">
        <v>771</v>
      </c>
      <c r="F31" s="13">
        <v>3</v>
      </c>
      <c r="G31" s="22">
        <f>Overview!$B$12</f>
        <v>14</v>
      </c>
      <c r="H31" s="23">
        <f t="shared" si="6"/>
        <v>14</v>
      </c>
      <c r="I31" s="23">
        <f>Overview!$E$12</f>
        <v>0</v>
      </c>
      <c r="J31" s="52">
        <f t="shared" si="7"/>
        <v>0</v>
      </c>
      <c r="K31" s="53">
        <f>Overview!$H$12</f>
        <v>0</v>
      </c>
      <c r="L31" s="54" t="e">
        <f t="shared" si="8"/>
        <v>#DIV/0!</v>
      </c>
      <c r="M31" s="179" t="s">
        <v>4370</v>
      </c>
      <c r="N31" s="179" t="s">
        <v>3736</v>
      </c>
      <c r="O31" s="141">
        <f t="shared" si="9"/>
        <v>0</v>
      </c>
      <c r="P31" s="181" t="b">
        <f>COUNTIF('Facility Data'!$A$1:$A$1500,"*"&amp;A31&amp;"*")&gt;0</f>
        <v>1</v>
      </c>
      <c r="Q31" s="181" t="b">
        <f>COUNTIF('Account Data'!$A$1:$A$1000,"*"&amp;A31&amp;"*")&gt;0</f>
        <v>0</v>
      </c>
      <c r="R31" s="182" t="b">
        <f t="shared" si="10"/>
        <v>1</v>
      </c>
      <c r="S31" s="182" t="b">
        <f t="shared" si="11"/>
        <v>0</v>
      </c>
      <c r="T31" s="181" t="b">
        <f>COUNTIF('New Items'!$A$1:$A$175,A31)&gt;0</f>
        <v>0</v>
      </c>
      <c r="U31" s="181" t="b">
        <f>COUNTIF(Discontinued!$A$1:$A$150,A31)&gt;0</f>
        <v>0</v>
      </c>
    </row>
    <row r="32" spans="1:21" s="8" customFormat="1" ht="11.25" x14ac:dyDescent="0.2">
      <c r="A32" s="152">
        <v>10130139</v>
      </c>
      <c r="B32" s="10" t="s">
        <v>3754</v>
      </c>
      <c r="C32" s="12" t="s">
        <v>3755</v>
      </c>
      <c r="D32" s="11" t="s">
        <v>640</v>
      </c>
      <c r="E32" s="12" t="s">
        <v>771</v>
      </c>
      <c r="F32" s="13">
        <v>3</v>
      </c>
      <c r="G32" s="22">
        <f>Overview!$B$12</f>
        <v>14</v>
      </c>
      <c r="H32" s="23">
        <f t="shared" si="6"/>
        <v>14</v>
      </c>
      <c r="I32" s="23">
        <f>Overview!$E$12</f>
        <v>0</v>
      </c>
      <c r="J32" s="52">
        <f t="shared" si="7"/>
        <v>0</v>
      </c>
      <c r="K32" s="53">
        <f>Overview!$H$12</f>
        <v>0</v>
      </c>
      <c r="L32" s="54" t="e">
        <f t="shared" si="8"/>
        <v>#DIV/0!</v>
      </c>
      <c r="M32" s="179"/>
      <c r="N32" s="179" t="s">
        <v>3736</v>
      </c>
      <c r="O32" s="141">
        <f t="shared" si="9"/>
        <v>0</v>
      </c>
      <c r="P32" s="181" t="b">
        <f>COUNTIF('Facility Data'!$A$1:$A$1500,"*"&amp;A32&amp;"*")&gt;0</f>
        <v>1</v>
      </c>
      <c r="Q32" s="181" t="b">
        <f>COUNTIF('Account Data'!$A$1:$A$1000,"*"&amp;A32&amp;"*")&gt;0</f>
        <v>0</v>
      </c>
      <c r="R32" s="182" t="b">
        <f t="shared" si="10"/>
        <v>1</v>
      </c>
      <c r="S32" s="182" t="b">
        <f t="shared" si="11"/>
        <v>0</v>
      </c>
      <c r="T32" s="181" t="b">
        <f>COUNTIF('New Items'!$A$1:$A$175,A32)&gt;0</f>
        <v>0</v>
      </c>
      <c r="U32" s="181" t="b">
        <f>COUNTIF(Discontinued!$A$1:$A$150,A32)&gt;0</f>
        <v>0</v>
      </c>
    </row>
    <row r="33" spans="1:21" s="8" customFormat="1" ht="12" thickBot="1" x14ac:dyDescent="0.25">
      <c r="A33" s="152">
        <v>10130143</v>
      </c>
      <c r="B33" s="10" t="s">
        <v>3756</v>
      </c>
      <c r="C33" s="12" t="s">
        <v>3757</v>
      </c>
      <c r="D33" s="11" t="s">
        <v>660</v>
      </c>
      <c r="E33" s="12" t="s">
        <v>771</v>
      </c>
      <c r="F33" s="13">
        <v>3</v>
      </c>
      <c r="G33" s="22">
        <f>Overview!$B$12</f>
        <v>14</v>
      </c>
      <c r="H33" s="23">
        <f t="shared" si="6"/>
        <v>14</v>
      </c>
      <c r="I33" s="23">
        <f>Overview!$E$12</f>
        <v>0</v>
      </c>
      <c r="J33" s="52">
        <f t="shared" si="7"/>
        <v>0</v>
      </c>
      <c r="K33" s="53">
        <f>Overview!$H$12</f>
        <v>0</v>
      </c>
      <c r="L33" s="54" t="e">
        <f t="shared" si="8"/>
        <v>#DIV/0!</v>
      </c>
      <c r="M33" s="179"/>
      <c r="N33" s="179" t="s">
        <v>3736</v>
      </c>
      <c r="O33" s="141">
        <f t="shared" si="9"/>
        <v>0</v>
      </c>
      <c r="P33" s="181" t="b">
        <f>COUNTIF('Facility Data'!$A$1:$A$1500,"*"&amp;A33&amp;"*")&gt;0</f>
        <v>0</v>
      </c>
      <c r="Q33" s="181" t="b">
        <f>COUNTIF('Account Data'!$A$1:$A$1000,"*"&amp;A33&amp;"*")&gt;0</f>
        <v>0</v>
      </c>
      <c r="R33" s="182" t="b">
        <f t="shared" si="10"/>
        <v>0</v>
      </c>
      <c r="S33" s="182" t="b">
        <f t="shared" si="11"/>
        <v>0</v>
      </c>
      <c r="T33" s="181" t="b">
        <f>COUNTIF('New Items'!$A$1:$A$175,A33)&gt;0</f>
        <v>0</v>
      </c>
      <c r="U33" s="181" t="b">
        <f>COUNTIF(Discontinued!$A$1:$A$150,A33)&gt;0</f>
        <v>0</v>
      </c>
    </row>
    <row r="34" spans="1:21" s="8" customFormat="1" ht="13.5" thickBot="1" x14ac:dyDescent="0.25">
      <c r="A34" s="300" t="s">
        <v>281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2"/>
      <c r="M34" s="179" t="s">
        <v>4361</v>
      </c>
      <c r="N34" s="179" t="s">
        <v>965</v>
      </c>
      <c r="O34" s="141">
        <f>AVERAGE(O35:O77)</f>
        <v>0</v>
      </c>
      <c r="P34" s="181" t="b">
        <f>COUNTIF(P35:P77,TRUE)&gt;0</f>
        <v>0</v>
      </c>
      <c r="Q34" s="181" t="b">
        <f>COUNTIF(Q35:Q77,TRUE)&gt;0</f>
        <v>0</v>
      </c>
      <c r="R34" s="181" t="b">
        <f>COUNTIF(R35:R77,TRUE)&gt;0</f>
        <v>0</v>
      </c>
      <c r="S34" s="181" t="b">
        <f>COUNTIF(S35:S77,TRUE)&gt;0</f>
        <v>0</v>
      </c>
      <c r="T34" s="181" t="b">
        <f>COUNTIF(T35:T77,TRUE)&gt;0</f>
        <v>0</v>
      </c>
      <c r="U34" s="181"/>
    </row>
    <row r="35" spans="1:21" s="8" customFormat="1" ht="11.25" x14ac:dyDescent="0.2">
      <c r="A35" s="152">
        <v>10001720</v>
      </c>
      <c r="B35" s="10" t="s">
        <v>106</v>
      </c>
      <c r="C35" s="12" t="s">
        <v>111</v>
      </c>
      <c r="D35" s="11" t="s">
        <v>629</v>
      </c>
      <c r="E35" s="12" t="s">
        <v>769</v>
      </c>
      <c r="F35" s="13">
        <v>4</v>
      </c>
      <c r="G35" s="22">
        <f>Overview!$B$13</f>
        <v>14</v>
      </c>
      <c r="H35" s="23">
        <f t="shared" ref="H35:H77" si="12">G35-I35</f>
        <v>14</v>
      </c>
      <c r="I35" s="23">
        <f>Overview!$E$13</f>
        <v>0</v>
      </c>
      <c r="J35" s="52">
        <f t="shared" ref="J35:J77" si="13">I35/F35</f>
        <v>0</v>
      </c>
      <c r="K35" s="53">
        <f>Overview!$H$13</f>
        <v>0</v>
      </c>
      <c r="L35" s="54" t="e">
        <f t="shared" ref="L35:L77" si="14">(K35-J35)/K35</f>
        <v>#DIV/0!</v>
      </c>
      <c r="M35" s="179" t="s">
        <v>951</v>
      </c>
      <c r="N35" s="179" t="s">
        <v>965</v>
      </c>
      <c r="O35" s="141">
        <f t="shared" ref="O35:O77" si="15">I35</f>
        <v>0</v>
      </c>
      <c r="P35" s="181" t="b">
        <f>COUNTIF('Facility Data'!$A$1:$A$1500,"*"&amp;A35&amp;"*")&gt;0</f>
        <v>0</v>
      </c>
      <c r="Q35" s="181" t="b">
        <f>COUNTIF('Account Data'!$A$1:$A$1000,"*"&amp;A35&amp;"*")&gt;0</f>
        <v>0</v>
      </c>
      <c r="R35" s="182" t="b">
        <f t="shared" ref="R35:R77" si="16">IF(OR(P35=TRUE,T35=TRUE),TRUE,FALSE)</f>
        <v>0</v>
      </c>
      <c r="S35" s="182" t="b">
        <f t="shared" ref="S35:S77" si="17">IF(OR(Q35=TRUE,T35=TRUE),TRUE,FALSE)</f>
        <v>0</v>
      </c>
      <c r="T35" s="181" t="b">
        <f>COUNTIF('New Items'!$A$1:$A$175,A35)&gt;0</f>
        <v>0</v>
      </c>
      <c r="U35" s="181" t="b">
        <f>COUNTIF(Discontinued!$A$1:$A$150,A35)&gt;0</f>
        <v>0</v>
      </c>
    </row>
    <row r="36" spans="1:21" s="8" customFormat="1" ht="11.25" x14ac:dyDescent="0.2">
      <c r="A36" s="152">
        <v>10097399</v>
      </c>
      <c r="B36" s="10" t="s">
        <v>2864</v>
      </c>
      <c r="C36" s="12" t="s">
        <v>111</v>
      </c>
      <c r="D36" s="11" t="s">
        <v>2865</v>
      </c>
      <c r="E36" s="12" t="s">
        <v>769</v>
      </c>
      <c r="F36" s="13">
        <v>4</v>
      </c>
      <c r="G36" s="22">
        <f>Overview!$B$13</f>
        <v>14</v>
      </c>
      <c r="H36" s="23">
        <f t="shared" si="12"/>
        <v>14</v>
      </c>
      <c r="I36" s="23">
        <f>Overview!$E$13</f>
        <v>0</v>
      </c>
      <c r="J36" s="52">
        <f t="shared" si="13"/>
        <v>0</v>
      </c>
      <c r="K36" s="53">
        <f>Overview!$H$13</f>
        <v>0</v>
      </c>
      <c r="L36" s="54" t="e">
        <f t="shared" si="14"/>
        <v>#DIV/0!</v>
      </c>
      <c r="M36" s="179" t="s">
        <v>951</v>
      </c>
      <c r="N36" s="179" t="s">
        <v>965</v>
      </c>
      <c r="O36" s="141">
        <f t="shared" si="15"/>
        <v>0</v>
      </c>
      <c r="P36" s="181" t="b">
        <f>COUNTIF('Facility Data'!$A$1:$A$1500,"*"&amp;A36&amp;"*")&gt;0</f>
        <v>0</v>
      </c>
      <c r="Q36" s="181" t="b">
        <f>COUNTIF('Account Data'!$A$1:$A$1000,"*"&amp;A36&amp;"*")&gt;0</f>
        <v>0</v>
      </c>
      <c r="R36" s="182" t="b">
        <f t="shared" si="16"/>
        <v>0</v>
      </c>
      <c r="S36" s="182" t="b">
        <f t="shared" si="17"/>
        <v>0</v>
      </c>
      <c r="T36" s="181" t="b">
        <f>COUNTIF('New Items'!$A$1:$A$175,A36)&gt;0</f>
        <v>0</v>
      </c>
      <c r="U36" s="181" t="b">
        <f>COUNTIF(Discontinued!$A$1:$A$150,A36)&gt;0</f>
        <v>0</v>
      </c>
    </row>
    <row r="37" spans="1:21" s="8" customFormat="1" ht="11.25" x14ac:dyDescent="0.2">
      <c r="A37" s="152">
        <v>10028155</v>
      </c>
      <c r="B37" s="10" t="s">
        <v>2866</v>
      </c>
      <c r="C37" s="12" t="s">
        <v>2867</v>
      </c>
      <c r="D37" s="11" t="s">
        <v>2868</v>
      </c>
      <c r="E37" s="12" t="s">
        <v>769</v>
      </c>
      <c r="F37" s="13">
        <v>4</v>
      </c>
      <c r="G37" s="22">
        <f>Overview!$B$13</f>
        <v>14</v>
      </c>
      <c r="H37" s="23">
        <f t="shared" si="12"/>
        <v>14</v>
      </c>
      <c r="I37" s="23">
        <f>Overview!$E$13</f>
        <v>0</v>
      </c>
      <c r="J37" s="52">
        <f t="shared" si="13"/>
        <v>0</v>
      </c>
      <c r="K37" s="53">
        <f>Overview!$H$13</f>
        <v>0</v>
      </c>
      <c r="L37" s="54" t="e">
        <f t="shared" si="14"/>
        <v>#DIV/0!</v>
      </c>
      <c r="M37" s="179" t="s">
        <v>951</v>
      </c>
      <c r="N37" s="179" t="s">
        <v>965</v>
      </c>
      <c r="O37" s="141">
        <f t="shared" si="15"/>
        <v>0</v>
      </c>
      <c r="P37" s="181" t="b">
        <f>COUNTIF('Facility Data'!$A$1:$A$1500,"*"&amp;A37&amp;"*")&gt;0</f>
        <v>0</v>
      </c>
      <c r="Q37" s="181" t="b">
        <f>COUNTIF('Account Data'!$A$1:$A$1000,"*"&amp;A37&amp;"*")&gt;0</f>
        <v>0</v>
      </c>
      <c r="R37" s="182" t="b">
        <f t="shared" si="16"/>
        <v>0</v>
      </c>
      <c r="S37" s="182" t="b">
        <f t="shared" si="17"/>
        <v>0</v>
      </c>
      <c r="T37" s="181" t="b">
        <f>COUNTIF('New Items'!$A$1:$A$175,A37)&gt;0</f>
        <v>0</v>
      </c>
      <c r="U37" s="181" t="b">
        <f>COUNTIF(Discontinued!$A$1:$A$150,A37)&gt;0</f>
        <v>0</v>
      </c>
    </row>
    <row r="38" spans="1:21" s="8" customFormat="1" ht="11.25" x14ac:dyDescent="0.2">
      <c r="A38" s="152">
        <v>10000765</v>
      </c>
      <c r="B38" s="10" t="s">
        <v>105</v>
      </c>
      <c r="C38" s="12" t="s">
        <v>110</v>
      </c>
      <c r="D38" s="11" t="s">
        <v>631</v>
      </c>
      <c r="E38" s="12" t="s">
        <v>769</v>
      </c>
      <c r="F38" s="13">
        <v>4</v>
      </c>
      <c r="G38" s="22">
        <f>Overview!$B$13</f>
        <v>14</v>
      </c>
      <c r="H38" s="23">
        <f t="shared" si="12"/>
        <v>14</v>
      </c>
      <c r="I38" s="23">
        <f>Overview!$E$13</f>
        <v>0</v>
      </c>
      <c r="J38" s="52">
        <f t="shared" si="13"/>
        <v>0</v>
      </c>
      <c r="K38" s="53">
        <f>Overview!$H$13</f>
        <v>0</v>
      </c>
      <c r="L38" s="54" t="e">
        <f t="shared" si="14"/>
        <v>#DIV/0!</v>
      </c>
      <c r="M38" s="179" t="s">
        <v>951</v>
      </c>
      <c r="N38" s="179" t="s">
        <v>965</v>
      </c>
      <c r="O38" s="141">
        <f t="shared" si="15"/>
        <v>0</v>
      </c>
      <c r="P38" s="181" t="b">
        <f>COUNTIF('Facility Data'!$A$1:$A$1500,"*"&amp;A38&amp;"*")&gt;0</f>
        <v>0</v>
      </c>
      <c r="Q38" s="181" t="b">
        <f>COUNTIF('Account Data'!$A$1:$A$1000,"*"&amp;A38&amp;"*")&gt;0</f>
        <v>0</v>
      </c>
      <c r="R38" s="182" t="b">
        <f t="shared" si="16"/>
        <v>0</v>
      </c>
      <c r="S38" s="182" t="b">
        <f t="shared" si="17"/>
        <v>0</v>
      </c>
      <c r="T38" s="181" t="b">
        <f>COUNTIF('New Items'!$A$1:$A$175,A38)&gt;0</f>
        <v>0</v>
      </c>
      <c r="U38" s="181" t="b">
        <f>COUNTIF(Discontinued!$A$1:$A$150,A38)&gt;0</f>
        <v>0</v>
      </c>
    </row>
    <row r="39" spans="1:21" s="8" customFormat="1" ht="11.25" x14ac:dyDescent="0.2">
      <c r="A39" s="152">
        <v>10097401</v>
      </c>
      <c r="B39" s="10" t="s">
        <v>2869</v>
      </c>
      <c r="C39" s="12" t="s">
        <v>110</v>
      </c>
      <c r="D39" s="11" t="s">
        <v>2870</v>
      </c>
      <c r="E39" s="12" t="s">
        <v>769</v>
      </c>
      <c r="F39" s="13">
        <v>4</v>
      </c>
      <c r="G39" s="22">
        <f>Overview!$B$13</f>
        <v>14</v>
      </c>
      <c r="H39" s="23">
        <f t="shared" si="12"/>
        <v>14</v>
      </c>
      <c r="I39" s="23">
        <f>Overview!$E$13</f>
        <v>0</v>
      </c>
      <c r="J39" s="52">
        <f t="shared" si="13"/>
        <v>0</v>
      </c>
      <c r="K39" s="53">
        <f>Overview!$H$13</f>
        <v>0</v>
      </c>
      <c r="L39" s="54" t="e">
        <f t="shared" si="14"/>
        <v>#DIV/0!</v>
      </c>
      <c r="M39" s="179" t="s">
        <v>951</v>
      </c>
      <c r="N39" s="179" t="s">
        <v>965</v>
      </c>
      <c r="O39" s="141">
        <f t="shared" si="15"/>
        <v>0</v>
      </c>
      <c r="P39" s="181" t="b">
        <f>COUNTIF('Facility Data'!$A$1:$A$1500,"*"&amp;A39&amp;"*")&gt;0</f>
        <v>0</v>
      </c>
      <c r="Q39" s="181" t="b">
        <f>COUNTIF('Account Data'!$A$1:$A$1000,"*"&amp;A39&amp;"*")&gt;0</f>
        <v>0</v>
      </c>
      <c r="R39" s="182" t="b">
        <f t="shared" si="16"/>
        <v>0</v>
      </c>
      <c r="S39" s="182" t="b">
        <f t="shared" si="17"/>
        <v>0</v>
      </c>
      <c r="T39" s="181" t="b">
        <f>COUNTIF('New Items'!$A$1:$A$175,A39)&gt;0</f>
        <v>0</v>
      </c>
      <c r="U39" s="181" t="b">
        <f>COUNTIF(Discontinued!$A$1:$A$150,A39)&gt;0</f>
        <v>0</v>
      </c>
    </row>
    <row r="40" spans="1:21" s="8" customFormat="1" ht="11.25" x14ac:dyDescent="0.2">
      <c r="A40" s="152">
        <v>10000759</v>
      </c>
      <c r="B40" s="10" t="s">
        <v>108</v>
      </c>
      <c r="C40" s="12" t="s">
        <v>113</v>
      </c>
      <c r="D40" s="11" t="s">
        <v>643</v>
      </c>
      <c r="E40" s="12" t="s">
        <v>769</v>
      </c>
      <c r="F40" s="13">
        <v>4</v>
      </c>
      <c r="G40" s="22">
        <f>Overview!$B$13</f>
        <v>14</v>
      </c>
      <c r="H40" s="23">
        <f t="shared" si="12"/>
        <v>14</v>
      </c>
      <c r="I40" s="23">
        <f>Overview!$E$13</f>
        <v>0</v>
      </c>
      <c r="J40" s="52">
        <f t="shared" si="13"/>
        <v>0</v>
      </c>
      <c r="K40" s="53">
        <f>Overview!$H$13</f>
        <v>0</v>
      </c>
      <c r="L40" s="54" t="e">
        <f t="shared" si="14"/>
        <v>#DIV/0!</v>
      </c>
      <c r="M40" s="179"/>
      <c r="N40" s="179" t="s">
        <v>965</v>
      </c>
      <c r="O40" s="141">
        <f t="shared" si="15"/>
        <v>0</v>
      </c>
      <c r="P40" s="181" t="b">
        <f>COUNTIF('Facility Data'!$A$1:$A$1500,"*"&amp;A40&amp;"*")&gt;0</f>
        <v>0</v>
      </c>
      <c r="Q40" s="181" t="b">
        <f>COUNTIF('Account Data'!$A$1:$A$1000,"*"&amp;A40&amp;"*")&gt;0</f>
        <v>0</v>
      </c>
      <c r="R40" s="182" t="b">
        <f t="shared" si="16"/>
        <v>0</v>
      </c>
      <c r="S40" s="182" t="b">
        <f t="shared" si="17"/>
        <v>0</v>
      </c>
      <c r="T40" s="181" t="b">
        <f>COUNTIF('New Items'!$A$1:$A$175,A40)&gt;0</f>
        <v>0</v>
      </c>
      <c r="U40" s="181" t="b">
        <f>COUNTIF(Discontinued!$A$1:$A$150,A40)&gt;0</f>
        <v>0</v>
      </c>
    </row>
    <row r="41" spans="1:21" s="8" customFormat="1" ht="11.25" x14ac:dyDescent="0.2">
      <c r="A41" s="152">
        <v>10097402</v>
      </c>
      <c r="B41" s="10" t="s">
        <v>2871</v>
      </c>
      <c r="C41" s="12" t="s">
        <v>113</v>
      </c>
      <c r="D41" s="11" t="s">
        <v>2872</v>
      </c>
      <c r="E41" s="12" t="s">
        <v>769</v>
      </c>
      <c r="F41" s="13">
        <v>4</v>
      </c>
      <c r="G41" s="22">
        <f>Overview!$B$13</f>
        <v>14</v>
      </c>
      <c r="H41" s="23">
        <f t="shared" si="12"/>
        <v>14</v>
      </c>
      <c r="I41" s="23">
        <f>Overview!$E$13</f>
        <v>0</v>
      </c>
      <c r="J41" s="52">
        <f t="shared" si="13"/>
        <v>0</v>
      </c>
      <c r="K41" s="53">
        <f>Overview!$H$13</f>
        <v>0</v>
      </c>
      <c r="L41" s="54" t="e">
        <f t="shared" si="14"/>
        <v>#DIV/0!</v>
      </c>
      <c r="M41" s="179"/>
      <c r="N41" s="179" t="s">
        <v>965</v>
      </c>
      <c r="O41" s="141">
        <f t="shared" si="15"/>
        <v>0</v>
      </c>
      <c r="P41" s="181" t="b">
        <f>COUNTIF('Facility Data'!$A$1:$A$1500,"*"&amp;A41&amp;"*")&gt;0</f>
        <v>0</v>
      </c>
      <c r="Q41" s="181" t="b">
        <f>COUNTIF('Account Data'!$A$1:$A$1000,"*"&amp;A41&amp;"*")&gt;0</f>
        <v>0</v>
      </c>
      <c r="R41" s="182" t="b">
        <f t="shared" si="16"/>
        <v>0</v>
      </c>
      <c r="S41" s="182" t="b">
        <f t="shared" si="17"/>
        <v>0</v>
      </c>
      <c r="T41" s="181" t="b">
        <f>COUNTIF('New Items'!$A$1:$A$175,A41)&gt;0</f>
        <v>0</v>
      </c>
      <c r="U41" s="181" t="b">
        <f>COUNTIF(Discontinued!$A$1:$A$150,A41)&gt;0</f>
        <v>0</v>
      </c>
    </row>
    <row r="42" spans="1:21" s="8" customFormat="1" ht="11.25" x14ac:dyDescent="0.2">
      <c r="A42" s="152">
        <v>10000154</v>
      </c>
      <c r="B42" s="10" t="s">
        <v>2873</v>
      </c>
      <c r="C42" s="12" t="s">
        <v>113</v>
      </c>
      <c r="D42" s="11" t="s">
        <v>2874</v>
      </c>
      <c r="E42" s="12" t="s">
        <v>769</v>
      </c>
      <c r="F42" s="13">
        <v>4</v>
      </c>
      <c r="G42" s="22">
        <f>Overview!$B$13</f>
        <v>14</v>
      </c>
      <c r="H42" s="23">
        <f t="shared" si="12"/>
        <v>14</v>
      </c>
      <c r="I42" s="23">
        <f>Overview!$E$13</f>
        <v>0</v>
      </c>
      <c r="J42" s="52">
        <f t="shared" si="13"/>
        <v>0</v>
      </c>
      <c r="K42" s="53">
        <f>Overview!$H$13</f>
        <v>0</v>
      </c>
      <c r="L42" s="54" t="e">
        <f t="shared" si="14"/>
        <v>#DIV/0!</v>
      </c>
      <c r="M42" s="179"/>
      <c r="N42" s="179" t="s">
        <v>965</v>
      </c>
      <c r="O42" s="141">
        <f t="shared" si="15"/>
        <v>0</v>
      </c>
      <c r="P42" s="181" t="b">
        <f>COUNTIF('Facility Data'!$A$1:$A$1500,"*"&amp;A42&amp;"*")&gt;0</f>
        <v>0</v>
      </c>
      <c r="Q42" s="181" t="b">
        <f>COUNTIF('Account Data'!$A$1:$A$1000,"*"&amp;A42&amp;"*")&gt;0</f>
        <v>0</v>
      </c>
      <c r="R42" s="182" t="b">
        <f t="shared" si="16"/>
        <v>0</v>
      </c>
      <c r="S42" s="182" t="b">
        <f t="shared" si="17"/>
        <v>0</v>
      </c>
      <c r="T42" s="181" t="b">
        <f>COUNTIF('New Items'!$A$1:$A$175,A42)&gt;0</f>
        <v>0</v>
      </c>
      <c r="U42" s="181" t="b">
        <f>COUNTIF(Discontinued!$A$1:$A$150,A42)&gt;0</f>
        <v>0</v>
      </c>
    </row>
    <row r="43" spans="1:21" s="8" customFormat="1" ht="11.25" x14ac:dyDescent="0.2">
      <c r="A43" s="152">
        <v>10000760</v>
      </c>
      <c r="B43" s="10" t="s">
        <v>4741</v>
      </c>
      <c r="C43" s="12" t="s">
        <v>1520</v>
      </c>
      <c r="D43" s="11" t="s">
        <v>4733</v>
      </c>
      <c r="E43" s="12" t="s">
        <v>769</v>
      </c>
      <c r="F43" s="13">
        <v>4</v>
      </c>
      <c r="G43" s="22">
        <f>Overview!$B$13</f>
        <v>14</v>
      </c>
      <c r="H43" s="23">
        <f>G43-I43</f>
        <v>14</v>
      </c>
      <c r="I43" s="23">
        <f>Overview!$E$13</f>
        <v>0</v>
      </c>
      <c r="J43" s="52">
        <f>I43/F43</f>
        <v>0</v>
      </c>
      <c r="K43" s="53">
        <f>Overview!$H$13</f>
        <v>0</v>
      </c>
      <c r="L43" s="54" t="e">
        <f>(K43-J43)/K43</f>
        <v>#DIV/0!</v>
      </c>
      <c r="M43" s="179"/>
      <c r="N43" s="179" t="s">
        <v>965</v>
      </c>
      <c r="O43" s="141">
        <f>I43</f>
        <v>0</v>
      </c>
      <c r="P43" s="181" t="b">
        <f>COUNTIF('Facility Data'!$A$1:$A$1500,"*"&amp;A43&amp;"*")&gt;0</f>
        <v>0</v>
      </c>
      <c r="Q43" s="181" t="b">
        <f>COUNTIF('Account Data'!$A$1:$A$1000,"*"&amp;A43&amp;"*")&gt;0</f>
        <v>0</v>
      </c>
      <c r="R43" s="182" t="b">
        <f>IF(OR(P43=TRUE,T43=TRUE),TRUE,FALSE)</f>
        <v>0</v>
      </c>
      <c r="S43" s="182" t="b">
        <f>IF(OR(Q43=TRUE,T43=TRUE),TRUE,FALSE)</f>
        <v>0</v>
      </c>
      <c r="T43" s="181" t="b">
        <f>COUNTIF('New Items'!$A$1:$A$175,A43)&gt;0</f>
        <v>0</v>
      </c>
      <c r="U43" s="181" t="b">
        <f>COUNTIF(Discontinued!$A$1:$A$150,A43)&gt;0</f>
        <v>0</v>
      </c>
    </row>
    <row r="44" spans="1:21" s="8" customFormat="1" ht="11.25" x14ac:dyDescent="0.2">
      <c r="A44" s="152">
        <v>10000155</v>
      </c>
      <c r="B44" s="10" t="s">
        <v>4784</v>
      </c>
      <c r="C44" s="12" t="s">
        <v>1520</v>
      </c>
      <c r="D44" s="11" t="s">
        <v>4783</v>
      </c>
      <c r="E44" s="12" t="s">
        <v>769</v>
      </c>
      <c r="F44" s="13">
        <v>4</v>
      </c>
      <c r="G44" s="22">
        <f>Overview!$B$13</f>
        <v>14</v>
      </c>
      <c r="H44" s="23">
        <f t="shared" si="12"/>
        <v>14</v>
      </c>
      <c r="I44" s="23">
        <f>Overview!$E$13</f>
        <v>0</v>
      </c>
      <c r="J44" s="52">
        <f t="shared" si="13"/>
        <v>0</v>
      </c>
      <c r="K44" s="53">
        <f>Overview!$H$13</f>
        <v>0</v>
      </c>
      <c r="L44" s="54" t="e">
        <f t="shared" si="14"/>
        <v>#DIV/0!</v>
      </c>
      <c r="M44" s="179"/>
      <c r="N44" s="179" t="s">
        <v>965</v>
      </c>
      <c r="O44" s="141">
        <f t="shared" si="15"/>
        <v>0</v>
      </c>
      <c r="P44" s="181" t="b">
        <f>COUNTIF('Facility Data'!$A$1:$A$1500,"*"&amp;A44&amp;"*")&gt;0</f>
        <v>0</v>
      </c>
      <c r="Q44" s="181" t="b">
        <f>COUNTIF('Account Data'!$A$1:$A$1000,"*"&amp;A44&amp;"*")&gt;0</f>
        <v>0</v>
      </c>
      <c r="R44" s="182" t="b">
        <f t="shared" si="16"/>
        <v>0</v>
      </c>
      <c r="S44" s="182" t="b">
        <f t="shared" si="17"/>
        <v>0</v>
      </c>
      <c r="T44" s="181" t="b">
        <f>COUNTIF('New Items'!$A$1:$A$175,A44)&gt;0</f>
        <v>0</v>
      </c>
      <c r="U44" s="181" t="b">
        <f>COUNTIF(Discontinued!$A$1:$A$150,A44)&gt;0</f>
        <v>0</v>
      </c>
    </row>
    <row r="45" spans="1:21" s="8" customFormat="1" ht="11.25" x14ac:dyDescent="0.2">
      <c r="A45" s="152">
        <v>10000780</v>
      </c>
      <c r="B45" s="10" t="s">
        <v>107</v>
      </c>
      <c r="C45" s="12" t="s">
        <v>112</v>
      </c>
      <c r="D45" s="11" t="s">
        <v>645</v>
      </c>
      <c r="E45" s="12" t="s">
        <v>769</v>
      </c>
      <c r="F45" s="13">
        <v>4</v>
      </c>
      <c r="G45" s="22">
        <f>Overview!$B$13</f>
        <v>14</v>
      </c>
      <c r="H45" s="23">
        <f t="shared" si="12"/>
        <v>14</v>
      </c>
      <c r="I45" s="23">
        <f>Overview!$E$13</f>
        <v>0</v>
      </c>
      <c r="J45" s="52">
        <f t="shared" si="13"/>
        <v>0</v>
      </c>
      <c r="K45" s="53">
        <f>Overview!$H$13</f>
        <v>0</v>
      </c>
      <c r="L45" s="54" t="e">
        <f t="shared" si="14"/>
        <v>#DIV/0!</v>
      </c>
      <c r="M45" s="179" t="s">
        <v>4406</v>
      </c>
      <c r="N45" s="179" t="s">
        <v>965</v>
      </c>
      <c r="O45" s="141">
        <f t="shared" si="15"/>
        <v>0</v>
      </c>
      <c r="P45" s="181" t="b">
        <f>COUNTIF('Facility Data'!$A$1:$A$1500,"*"&amp;A45&amp;"*")&gt;0</f>
        <v>0</v>
      </c>
      <c r="Q45" s="181" t="b">
        <f>COUNTIF('Account Data'!$A$1:$A$1000,"*"&amp;A45&amp;"*")&gt;0</f>
        <v>0</v>
      </c>
      <c r="R45" s="182" t="b">
        <f t="shared" si="16"/>
        <v>0</v>
      </c>
      <c r="S45" s="182" t="b">
        <f t="shared" si="17"/>
        <v>0</v>
      </c>
      <c r="T45" s="181" t="b">
        <f>COUNTIF('New Items'!$A$1:$A$175,A45)&gt;0</f>
        <v>0</v>
      </c>
      <c r="U45" s="181" t="b">
        <f>COUNTIF(Discontinued!$A$1:$A$150,A45)&gt;0</f>
        <v>0</v>
      </c>
    </row>
    <row r="46" spans="1:21" s="8" customFormat="1" ht="11.25" x14ac:dyDescent="0.2">
      <c r="A46" s="152">
        <v>10097400</v>
      </c>
      <c r="B46" s="10" t="s">
        <v>2876</v>
      </c>
      <c r="C46" s="12" t="s">
        <v>112</v>
      </c>
      <c r="D46" s="11" t="s">
        <v>2877</v>
      </c>
      <c r="E46" s="12" t="s">
        <v>769</v>
      </c>
      <c r="F46" s="13">
        <v>4</v>
      </c>
      <c r="G46" s="22">
        <f>Overview!$B$13</f>
        <v>14</v>
      </c>
      <c r="H46" s="23">
        <f t="shared" si="12"/>
        <v>14</v>
      </c>
      <c r="I46" s="23">
        <f>Overview!$E$13</f>
        <v>0</v>
      </c>
      <c r="J46" s="52">
        <f t="shared" si="13"/>
        <v>0</v>
      </c>
      <c r="K46" s="53">
        <f>Overview!$H$13</f>
        <v>0</v>
      </c>
      <c r="L46" s="54" t="e">
        <f t="shared" si="14"/>
        <v>#DIV/0!</v>
      </c>
      <c r="M46" s="179" t="s">
        <v>4406</v>
      </c>
      <c r="N46" s="179" t="s">
        <v>965</v>
      </c>
      <c r="O46" s="141">
        <f t="shared" si="15"/>
        <v>0</v>
      </c>
      <c r="P46" s="181" t="b">
        <f>COUNTIF('Facility Data'!$A$1:$A$1500,"*"&amp;A46&amp;"*")&gt;0</f>
        <v>0</v>
      </c>
      <c r="Q46" s="181" t="b">
        <f>COUNTIF('Account Data'!$A$1:$A$1000,"*"&amp;A46&amp;"*")&gt;0</f>
        <v>0</v>
      </c>
      <c r="R46" s="182" t="b">
        <f t="shared" si="16"/>
        <v>0</v>
      </c>
      <c r="S46" s="182" t="b">
        <f t="shared" si="17"/>
        <v>0</v>
      </c>
      <c r="T46" s="181" t="b">
        <f>COUNTIF('New Items'!$A$1:$A$175,A46)&gt;0</f>
        <v>0</v>
      </c>
      <c r="U46" s="181" t="b">
        <f>COUNTIF(Discontinued!$A$1:$A$150,A46)&gt;0</f>
        <v>0</v>
      </c>
    </row>
    <row r="47" spans="1:21" s="8" customFormat="1" ht="11.25" x14ac:dyDescent="0.2">
      <c r="A47" s="152">
        <v>10000781</v>
      </c>
      <c r="B47" s="10" t="s">
        <v>4742</v>
      </c>
      <c r="C47" s="12" t="s">
        <v>2879</v>
      </c>
      <c r="D47" s="11" t="s">
        <v>4735</v>
      </c>
      <c r="E47" s="12" t="s">
        <v>769</v>
      </c>
      <c r="F47" s="13">
        <v>4</v>
      </c>
      <c r="G47" s="22">
        <f>Overview!$B$13</f>
        <v>14</v>
      </c>
      <c r="H47" s="23">
        <f>G47-I47</f>
        <v>14</v>
      </c>
      <c r="I47" s="23">
        <f>Overview!$E$13</f>
        <v>0</v>
      </c>
      <c r="J47" s="52">
        <f>I47/F47</f>
        <v>0</v>
      </c>
      <c r="K47" s="53">
        <f>Overview!$H$13</f>
        <v>0</v>
      </c>
      <c r="L47" s="54" t="e">
        <f>(K47-J47)/K47</f>
        <v>#DIV/0!</v>
      </c>
      <c r="M47" s="179" t="s">
        <v>4406</v>
      </c>
      <c r="N47" s="179" t="s">
        <v>965</v>
      </c>
      <c r="O47" s="141">
        <f>I47</f>
        <v>0</v>
      </c>
      <c r="P47" s="181" t="b">
        <f>COUNTIF('Facility Data'!$A$1:$A$1500,"*"&amp;A47&amp;"*")&gt;0</f>
        <v>0</v>
      </c>
      <c r="Q47" s="181" t="b">
        <f>COUNTIF('Account Data'!$A$1:$A$1000,"*"&amp;A47&amp;"*")&gt;0</f>
        <v>0</v>
      </c>
      <c r="R47" s="182" t="b">
        <f>IF(OR(P47=TRUE,T47=TRUE),TRUE,FALSE)</f>
        <v>0</v>
      </c>
      <c r="S47" s="182" t="b">
        <f>IF(OR(Q47=TRUE,T47=TRUE),TRUE,FALSE)</f>
        <v>0</v>
      </c>
      <c r="T47" s="181" t="b">
        <f>COUNTIF('New Items'!$A$1:$A$175,A47)&gt;0</f>
        <v>0</v>
      </c>
      <c r="U47" s="181" t="b">
        <f>COUNTIF(Discontinued!$A$1:$A$150,A47)&gt;0</f>
        <v>0</v>
      </c>
    </row>
    <row r="48" spans="1:21" s="8" customFormat="1" ht="11.25" x14ac:dyDescent="0.2">
      <c r="A48" s="152">
        <v>10000790</v>
      </c>
      <c r="B48" s="10" t="s">
        <v>104</v>
      </c>
      <c r="C48" s="12" t="s">
        <v>109</v>
      </c>
      <c r="D48" s="11" t="s">
        <v>650</v>
      </c>
      <c r="E48" s="12" t="s">
        <v>769</v>
      </c>
      <c r="F48" s="13">
        <v>4</v>
      </c>
      <c r="G48" s="22">
        <f>Overview!$B$13</f>
        <v>14</v>
      </c>
      <c r="H48" s="23">
        <f t="shared" si="12"/>
        <v>14</v>
      </c>
      <c r="I48" s="23">
        <f>Overview!$E$13</f>
        <v>0</v>
      </c>
      <c r="J48" s="52">
        <f t="shared" si="13"/>
        <v>0</v>
      </c>
      <c r="K48" s="53">
        <f>Overview!$H$13</f>
        <v>0</v>
      </c>
      <c r="L48" s="54" t="e">
        <f t="shared" si="14"/>
        <v>#DIV/0!</v>
      </c>
      <c r="M48" s="179" t="s">
        <v>4369</v>
      </c>
      <c r="N48" s="179" t="s">
        <v>965</v>
      </c>
      <c r="O48" s="141">
        <f t="shared" si="15"/>
        <v>0</v>
      </c>
      <c r="P48" s="181" t="b">
        <f>COUNTIF('Facility Data'!$A$1:$A$1500,"*"&amp;A48&amp;"*")&gt;0</f>
        <v>0</v>
      </c>
      <c r="Q48" s="181" t="b">
        <f>COUNTIF('Account Data'!$A$1:$A$1000,"*"&amp;A48&amp;"*")&gt;0</f>
        <v>0</v>
      </c>
      <c r="R48" s="182" t="b">
        <f t="shared" si="16"/>
        <v>0</v>
      </c>
      <c r="S48" s="182" t="b">
        <f t="shared" si="17"/>
        <v>0</v>
      </c>
      <c r="T48" s="181" t="b">
        <f>COUNTIF('New Items'!$A$1:$A$175,A48)&gt;0</f>
        <v>0</v>
      </c>
      <c r="U48" s="181" t="b">
        <f>COUNTIF(Discontinued!$A$1:$A$150,A48)&gt;0</f>
        <v>0</v>
      </c>
    </row>
    <row r="49" spans="1:21" s="8" customFormat="1" ht="11.25" x14ac:dyDescent="0.2">
      <c r="A49" s="152">
        <v>10087780</v>
      </c>
      <c r="B49" s="10" t="s">
        <v>1407</v>
      </c>
      <c r="C49" s="12" t="s">
        <v>1408</v>
      </c>
      <c r="D49" s="11" t="s">
        <v>651</v>
      </c>
      <c r="E49" s="12" t="s">
        <v>769</v>
      </c>
      <c r="F49" s="13">
        <v>4</v>
      </c>
      <c r="G49" s="22">
        <f>Overview!$B$13</f>
        <v>14</v>
      </c>
      <c r="H49" s="23">
        <f t="shared" si="12"/>
        <v>14</v>
      </c>
      <c r="I49" s="23">
        <f>Overview!$E$13</f>
        <v>0</v>
      </c>
      <c r="J49" s="52">
        <f t="shared" si="13"/>
        <v>0</v>
      </c>
      <c r="K49" s="53">
        <f>Overview!$H$13</f>
        <v>0</v>
      </c>
      <c r="L49" s="54" t="e">
        <f t="shared" si="14"/>
        <v>#DIV/0!</v>
      </c>
      <c r="M49" s="179" t="s">
        <v>4369</v>
      </c>
      <c r="N49" s="179" t="s">
        <v>965</v>
      </c>
      <c r="O49" s="141">
        <f t="shared" si="15"/>
        <v>0</v>
      </c>
      <c r="P49" s="181" t="b">
        <f>COUNTIF('Facility Data'!$A$1:$A$1500,"*"&amp;A49&amp;"*")&gt;0</f>
        <v>0</v>
      </c>
      <c r="Q49" s="181" t="b">
        <f>COUNTIF('Account Data'!$A$1:$A$1000,"*"&amp;A49&amp;"*")&gt;0</f>
        <v>0</v>
      </c>
      <c r="R49" s="182" t="b">
        <f t="shared" si="16"/>
        <v>0</v>
      </c>
      <c r="S49" s="182" t="b">
        <f t="shared" si="17"/>
        <v>0</v>
      </c>
      <c r="T49" s="181" t="b">
        <f>COUNTIF('New Items'!$A$1:$A$175,A49)&gt;0</f>
        <v>0</v>
      </c>
      <c r="U49" s="181" t="b">
        <f>COUNTIF(Discontinued!$A$1:$A$150,A49)&gt;0</f>
        <v>0</v>
      </c>
    </row>
    <row r="50" spans="1:21" s="8" customFormat="1" ht="11.25" x14ac:dyDescent="0.2">
      <c r="A50" s="152">
        <v>10000809</v>
      </c>
      <c r="B50" s="10" t="s">
        <v>1409</v>
      </c>
      <c r="C50" s="12" t="s">
        <v>1410</v>
      </c>
      <c r="D50" s="11" t="s">
        <v>652</v>
      </c>
      <c r="E50" s="12" t="s">
        <v>769</v>
      </c>
      <c r="F50" s="13">
        <v>4</v>
      </c>
      <c r="G50" s="22">
        <f>Overview!$B$13</f>
        <v>14</v>
      </c>
      <c r="H50" s="23">
        <f t="shared" si="12"/>
        <v>14</v>
      </c>
      <c r="I50" s="23">
        <f>Overview!$E$13</f>
        <v>0</v>
      </c>
      <c r="J50" s="52">
        <f t="shared" si="13"/>
        <v>0</v>
      </c>
      <c r="K50" s="53">
        <f>Overview!$H$13</f>
        <v>0</v>
      </c>
      <c r="L50" s="54" t="e">
        <f t="shared" si="14"/>
        <v>#DIV/0!</v>
      </c>
      <c r="M50" s="179"/>
      <c r="N50" s="179" t="s">
        <v>965</v>
      </c>
      <c r="O50" s="141">
        <f t="shared" si="15"/>
        <v>0</v>
      </c>
      <c r="P50" s="181" t="b">
        <f>COUNTIF('Facility Data'!$A$1:$A$1500,"*"&amp;A50&amp;"*")&gt;0</f>
        <v>0</v>
      </c>
      <c r="Q50" s="181" t="b">
        <f>COUNTIF('Account Data'!$A$1:$A$1000,"*"&amp;A50&amp;"*")&gt;0</f>
        <v>0</v>
      </c>
      <c r="R50" s="182" t="b">
        <f t="shared" si="16"/>
        <v>0</v>
      </c>
      <c r="S50" s="182" t="b">
        <f t="shared" si="17"/>
        <v>0</v>
      </c>
      <c r="T50" s="181" t="b">
        <f>COUNTIF('New Items'!$A$1:$A$175,A50)&gt;0</f>
        <v>0</v>
      </c>
      <c r="U50" s="181" t="b">
        <f>COUNTIF(Discontinued!$A$1:$A$150,A50)&gt;0</f>
        <v>0</v>
      </c>
    </row>
    <row r="51" spans="1:21" s="8" customFormat="1" ht="11.25" x14ac:dyDescent="0.2">
      <c r="A51" s="152">
        <v>10000147</v>
      </c>
      <c r="B51" s="10" t="s">
        <v>4743</v>
      </c>
      <c r="C51" s="12" t="s">
        <v>1610</v>
      </c>
      <c r="D51" s="11" t="s">
        <v>4737</v>
      </c>
      <c r="E51" s="12" t="s">
        <v>769</v>
      </c>
      <c r="F51" s="13">
        <v>4</v>
      </c>
      <c r="G51" s="22">
        <f>Overview!$B$13</f>
        <v>14</v>
      </c>
      <c r="H51" s="23">
        <f>G51-I51</f>
        <v>14</v>
      </c>
      <c r="I51" s="23">
        <f>Overview!$E$13</f>
        <v>0</v>
      </c>
      <c r="J51" s="52">
        <f>I51/F51</f>
        <v>0</v>
      </c>
      <c r="K51" s="53">
        <f>Overview!$H$13</f>
        <v>0</v>
      </c>
      <c r="L51" s="54" t="e">
        <f>(K51-J51)/K51</f>
        <v>#DIV/0!</v>
      </c>
      <c r="M51" s="179"/>
      <c r="N51" s="179" t="s">
        <v>965</v>
      </c>
      <c r="O51" s="141">
        <f>I51</f>
        <v>0</v>
      </c>
      <c r="P51" s="181" t="b">
        <f>COUNTIF('Facility Data'!$A$1:$A$1500,"*"&amp;A51&amp;"*")&gt;0</f>
        <v>0</v>
      </c>
      <c r="Q51" s="181" t="b">
        <f>COUNTIF('Account Data'!$A$1:$A$1000,"*"&amp;A51&amp;"*")&gt;0</f>
        <v>0</v>
      </c>
      <c r="R51" s="182" t="b">
        <f>IF(OR(P51=TRUE,T51=TRUE),TRUE,FALSE)</f>
        <v>0</v>
      </c>
      <c r="S51" s="182" t="b">
        <f>IF(OR(Q51=TRUE,T51=TRUE),TRUE,FALSE)</f>
        <v>0</v>
      </c>
      <c r="T51" s="181" t="b">
        <f>COUNTIF('New Items'!$A$1:$A$175,A51)&gt;0</f>
        <v>0</v>
      </c>
      <c r="U51" s="181" t="b">
        <f>COUNTIF(Discontinued!$A$1:$A$150,A51)&gt;0</f>
        <v>0</v>
      </c>
    </row>
    <row r="52" spans="1:21" s="8" customFormat="1" ht="11.25" x14ac:dyDescent="0.2">
      <c r="A52" s="152">
        <v>10115915</v>
      </c>
      <c r="B52" s="10" t="s">
        <v>3801</v>
      </c>
      <c r="C52" s="12" t="s">
        <v>3803</v>
      </c>
      <c r="D52" s="119" t="s">
        <v>796</v>
      </c>
      <c r="E52" s="12" t="s">
        <v>769</v>
      </c>
      <c r="F52" s="13">
        <v>4</v>
      </c>
      <c r="G52" s="22">
        <f>Overview!$B$13</f>
        <v>14</v>
      </c>
      <c r="H52" s="23">
        <f t="shared" si="12"/>
        <v>14</v>
      </c>
      <c r="I52" s="23">
        <f>Overview!$E$13</f>
        <v>0</v>
      </c>
      <c r="J52" s="52">
        <f t="shared" si="13"/>
        <v>0</v>
      </c>
      <c r="K52" s="53">
        <f>Overview!$H$13</f>
        <v>0</v>
      </c>
      <c r="L52" s="54" t="e">
        <f t="shared" si="14"/>
        <v>#DIV/0!</v>
      </c>
      <c r="M52" s="179"/>
      <c r="N52" s="179" t="s">
        <v>965</v>
      </c>
      <c r="O52" s="141">
        <f t="shared" si="15"/>
        <v>0</v>
      </c>
      <c r="P52" s="181" t="b">
        <f>COUNTIF('Facility Data'!$A$1:$A$1500,"*"&amp;A52&amp;"*")&gt;0</f>
        <v>0</v>
      </c>
      <c r="Q52" s="181" t="b">
        <f>COUNTIF('Account Data'!$A$1:$A$1000,"*"&amp;A52&amp;"*")&gt;0</f>
        <v>0</v>
      </c>
      <c r="R52" s="182" t="b">
        <f t="shared" si="16"/>
        <v>0</v>
      </c>
      <c r="S52" s="182" t="b">
        <f t="shared" si="17"/>
        <v>0</v>
      </c>
      <c r="T52" s="181" t="b">
        <f>COUNTIF('New Items'!$A$1:$A$175,A52)&gt;0</f>
        <v>0</v>
      </c>
      <c r="U52" s="181" t="b">
        <f>COUNTIF(Discontinued!$A$1:$A$150,A52)&gt;0</f>
        <v>0</v>
      </c>
    </row>
    <row r="53" spans="1:21" s="8" customFormat="1" ht="11.25" x14ac:dyDescent="0.2">
      <c r="A53" s="152">
        <v>10115916</v>
      </c>
      <c r="B53" s="10" t="s">
        <v>3802</v>
      </c>
      <c r="C53" s="12" t="s">
        <v>3804</v>
      </c>
      <c r="D53" s="119" t="s">
        <v>1058</v>
      </c>
      <c r="E53" s="12" t="s">
        <v>769</v>
      </c>
      <c r="F53" s="13">
        <v>4</v>
      </c>
      <c r="G53" s="22">
        <f>Overview!$B$13</f>
        <v>14</v>
      </c>
      <c r="H53" s="23">
        <f>G53-I53</f>
        <v>14</v>
      </c>
      <c r="I53" s="23">
        <f>Overview!$E$13</f>
        <v>0</v>
      </c>
      <c r="J53" s="52">
        <f>I53/F53</f>
        <v>0</v>
      </c>
      <c r="K53" s="53">
        <f>Overview!$H$13</f>
        <v>0</v>
      </c>
      <c r="L53" s="54" t="e">
        <f>(K53-J53)/K53</f>
        <v>#DIV/0!</v>
      </c>
      <c r="M53" s="179"/>
      <c r="N53" s="179" t="s">
        <v>965</v>
      </c>
      <c r="O53" s="141">
        <f>I53</f>
        <v>0</v>
      </c>
      <c r="P53" s="181" t="b">
        <f>COUNTIF('Facility Data'!$A$1:$A$1500,"*"&amp;A53&amp;"*")&gt;0</f>
        <v>0</v>
      </c>
      <c r="Q53" s="181" t="b">
        <f>COUNTIF('Account Data'!$A$1:$A$1000,"*"&amp;A53&amp;"*")&gt;0</f>
        <v>0</v>
      </c>
      <c r="R53" s="182" t="b">
        <f t="shared" si="16"/>
        <v>0</v>
      </c>
      <c r="S53" s="182" t="b">
        <f>IF(OR(Q53=TRUE,T53=TRUE),TRUE,FALSE)</f>
        <v>0</v>
      </c>
      <c r="T53" s="181" t="b">
        <f>COUNTIF('New Items'!$A$1:$A$175,A53)&gt;0</f>
        <v>0</v>
      </c>
      <c r="U53" s="181" t="b">
        <f>COUNTIF(Discontinued!$A$1:$A$150,A53)&gt;0</f>
        <v>0</v>
      </c>
    </row>
    <row r="54" spans="1:21" s="8" customFormat="1" ht="11.25" x14ac:dyDescent="0.2">
      <c r="A54" s="152">
        <v>10086473</v>
      </c>
      <c r="B54" s="10" t="s">
        <v>1611</v>
      </c>
      <c r="C54" s="12" t="s">
        <v>1612</v>
      </c>
      <c r="D54" s="11" t="s">
        <v>653</v>
      </c>
      <c r="E54" s="12" t="s">
        <v>769</v>
      </c>
      <c r="F54" s="13">
        <v>4</v>
      </c>
      <c r="G54" s="22">
        <f>Overview!$B$13</f>
        <v>14</v>
      </c>
      <c r="H54" s="23">
        <f t="shared" si="12"/>
        <v>14</v>
      </c>
      <c r="I54" s="23">
        <f>Overview!$E$13</f>
        <v>0</v>
      </c>
      <c r="J54" s="52">
        <f t="shared" si="13"/>
        <v>0</v>
      </c>
      <c r="K54" s="53">
        <f>Overview!$H$13</f>
        <v>0</v>
      </c>
      <c r="L54" s="54" t="e">
        <f t="shared" si="14"/>
        <v>#DIV/0!</v>
      </c>
      <c r="M54" s="179"/>
      <c r="N54" s="179" t="s">
        <v>965</v>
      </c>
      <c r="O54" s="141">
        <f t="shared" si="15"/>
        <v>0</v>
      </c>
      <c r="P54" s="181" t="b">
        <f>COUNTIF('Facility Data'!$A$1:$A$1500,"*"&amp;A54&amp;"*")&gt;0</f>
        <v>0</v>
      </c>
      <c r="Q54" s="181" t="b">
        <f>COUNTIF('Account Data'!$A$1:$A$1000,"*"&amp;A54&amp;"*")&gt;0</f>
        <v>0</v>
      </c>
      <c r="R54" s="182" t="b">
        <f t="shared" si="16"/>
        <v>0</v>
      </c>
      <c r="S54" s="182" t="b">
        <f t="shared" si="17"/>
        <v>0</v>
      </c>
      <c r="T54" s="181" t="b">
        <f>COUNTIF('New Items'!$A$1:$A$175,A54)&gt;0</f>
        <v>0</v>
      </c>
      <c r="U54" s="181" t="b">
        <f>COUNTIF(Discontinued!$A$1:$A$150,A54)&gt;0</f>
        <v>0</v>
      </c>
    </row>
    <row r="55" spans="1:21" s="8" customFormat="1" ht="11.25" x14ac:dyDescent="0.2">
      <c r="A55" s="152">
        <v>10000810</v>
      </c>
      <c r="B55" s="10" t="s">
        <v>1613</v>
      </c>
      <c r="C55" s="12" t="s">
        <v>1614</v>
      </c>
      <c r="D55" s="11" t="s">
        <v>677</v>
      </c>
      <c r="E55" s="12" t="s">
        <v>769</v>
      </c>
      <c r="F55" s="13">
        <v>4</v>
      </c>
      <c r="G55" s="22">
        <f>Overview!$B$13</f>
        <v>14</v>
      </c>
      <c r="H55" s="23">
        <f t="shared" si="12"/>
        <v>14</v>
      </c>
      <c r="I55" s="23">
        <f>Overview!$E$13</f>
        <v>0</v>
      </c>
      <c r="J55" s="52">
        <f t="shared" si="13"/>
        <v>0</v>
      </c>
      <c r="K55" s="53">
        <f>Overview!$H$13</f>
        <v>0</v>
      </c>
      <c r="L55" s="54" t="e">
        <f t="shared" si="14"/>
        <v>#DIV/0!</v>
      </c>
      <c r="M55" s="179"/>
      <c r="N55" s="179" t="s">
        <v>965</v>
      </c>
      <c r="O55" s="141">
        <f t="shared" si="15"/>
        <v>0</v>
      </c>
      <c r="P55" s="181" t="b">
        <f>COUNTIF('Facility Data'!$A$1:$A$1500,"*"&amp;A55&amp;"*")&gt;0</f>
        <v>0</v>
      </c>
      <c r="Q55" s="181" t="b">
        <f>COUNTIF('Account Data'!$A$1:$A$1000,"*"&amp;A55&amp;"*")&gt;0</f>
        <v>0</v>
      </c>
      <c r="R55" s="182" t="b">
        <f t="shared" si="16"/>
        <v>0</v>
      </c>
      <c r="S55" s="182" t="b">
        <f t="shared" si="17"/>
        <v>0</v>
      </c>
      <c r="T55" s="181" t="b">
        <f>COUNTIF('New Items'!$A$1:$A$175,A55)&gt;0</f>
        <v>0</v>
      </c>
      <c r="U55" s="181" t="b">
        <f>COUNTIF(Discontinued!$A$1:$A$150,A55)&gt;0</f>
        <v>0</v>
      </c>
    </row>
    <row r="56" spans="1:21" s="8" customFormat="1" ht="11.25" x14ac:dyDescent="0.2">
      <c r="A56" s="152">
        <v>10000808</v>
      </c>
      <c r="B56" s="10" t="s">
        <v>1615</v>
      </c>
      <c r="C56" s="12" t="s">
        <v>1616</v>
      </c>
      <c r="D56" s="11" t="s">
        <v>675</v>
      </c>
      <c r="E56" s="12" t="s">
        <v>769</v>
      </c>
      <c r="F56" s="13">
        <v>4</v>
      </c>
      <c r="G56" s="22">
        <f>Overview!$B$13</f>
        <v>14</v>
      </c>
      <c r="H56" s="23">
        <f t="shared" si="12"/>
        <v>14</v>
      </c>
      <c r="I56" s="23">
        <f>Overview!$E$13</f>
        <v>0</v>
      </c>
      <c r="J56" s="52">
        <f t="shared" si="13"/>
        <v>0</v>
      </c>
      <c r="K56" s="53">
        <f>Overview!$H$13</f>
        <v>0</v>
      </c>
      <c r="L56" s="54" t="e">
        <f t="shared" si="14"/>
        <v>#DIV/0!</v>
      </c>
      <c r="M56" s="179"/>
      <c r="N56" s="179" t="s">
        <v>965</v>
      </c>
      <c r="O56" s="141">
        <f t="shared" si="15"/>
        <v>0</v>
      </c>
      <c r="P56" s="181" t="b">
        <f>COUNTIF('Facility Data'!$A$1:$A$1500,"*"&amp;A56&amp;"*")&gt;0</f>
        <v>0</v>
      </c>
      <c r="Q56" s="181" t="b">
        <f>COUNTIF('Account Data'!$A$1:$A$1000,"*"&amp;A56&amp;"*")&gt;0</f>
        <v>0</v>
      </c>
      <c r="R56" s="182" t="b">
        <f t="shared" si="16"/>
        <v>0</v>
      </c>
      <c r="S56" s="182" t="b">
        <f t="shared" si="17"/>
        <v>0</v>
      </c>
      <c r="T56" s="181" t="b">
        <f>COUNTIF('New Items'!$A$1:$A$175,A56)&gt;0</f>
        <v>0</v>
      </c>
      <c r="U56" s="181" t="b">
        <f>COUNTIF(Discontinued!$A$1:$A$150,A56)&gt;0</f>
        <v>0</v>
      </c>
    </row>
    <row r="57" spans="1:21" s="8" customFormat="1" ht="11.25" x14ac:dyDescent="0.2">
      <c r="A57" s="152">
        <v>10000814</v>
      </c>
      <c r="B57" s="10" t="s">
        <v>1284</v>
      </c>
      <c r="C57" s="12" t="s">
        <v>1285</v>
      </c>
      <c r="D57" s="11" t="s">
        <v>4116</v>
      </c>
      <c r="E57" s="12" t="s">
        <v>769</v>
      </c>
      <c r="F57" s="13">
        <v>4</v>
      </c>
      <c r="G57" s="22">
        <f>Overview!$B$13</f>
        <v>14</v>
      </c>
      <c r="H57" s="23">
        <f t="shared" si="12"/>
        <v>14</v>
      </c>
      <c r="I57" s="23">
        <f>Overview!$E$13</f>
        <v>0</v>
      </c>
      <c r="J57" s="52">
        <f t="shared" si="13"/>
        <v>0</v>
      </c>
      <c r="K57" s="53">
        <f>Overview!$H$13</f>
        <v>0</v>
      </c>
      <c r="L57" s="54" t="e">
        <f t="shared" si="14"/>
        <v>#DIV/0!</v>
      </c>
      <c r="M57" s="179" t="s">
        <v>953</v>
      </c>
      <c r="N57" s="179" t="s">
        <v>965</v>
      </c>
      <c r="O57" s="141">
        <f t="shared" si="15"/>
        <v>0</v>
      </c>
      <c r="P57" s="181" t="b">
        <f>COUNTIF('Facility Data'!$A$1:$A$1500,"*"&amp;A57&amp;"*")&gt;0</f>
        <v>0</v>
      </c>
      <c r="Q57" s="181" t="b">
        <f>COUNTIF('Account Data'!$A$1:$A$1000,"*"&amp;A57&amp;"*")&gt;0</f>
        <v>0</v>
      </c>
      <c r="R57" s="182" t="b">
        <f t="shared" si="16"/>
        <v>0</v>
      </c>
      <c r="S57" s="182" t="b">
        <f t="shared" si="17"/>
        <v>0</v>
      </c>
      <c r="T57" s="181" t="b">
        <f>COUNTIF('New Items'!$A$1:$A$175,A57)&gt;0</f>
        <v>0</v>
      </c>
      <c r="U57" s="181" t="b">
        <f>COUNTIF(Discontinued!$A$1:$A$150,A57)&gt;0</f>
        <v>0</v>
      </c>
    </row>
    <row r="58" spans="1:21" s="8" customFormat="1" ht="11.25" x14ac:dyDescent="0.2">
      <c r="A58" s="152">
        <v>10000815</v>
      </c>
      <c r="B58" s="10" t="s">
        <v>4785</v>
      </c>
      <c r="C58" s="12" t="s">
        <v>1412</v>
      </c>
      <c r="D58" s="11" t="s">
        <v>4780</v>
      </c>
      <c r="E58" s="12" t="s">
        <v>769</v>
      </c>
      <c r="F58" s="13">
        <v>4</v>
      </c>
      <c r="G58" s="22">
        <f>Overview!$B$13</f>
        <v>14</v>
      </c>
      <c r="H58" s="23">
        <f t="shared" si="12"/>
        <v>14</v>
      </c>
      <c r="I58" s="23">
        <f>Overview!$E$13</f>
        <v>0</v>
      </c>
      <c r="J58" s="52">
        <f t="shared" si="13"/>
        <v>0</v>
      </c>
      <c r="K58" s="53">
        <f>Overview!$H$13</f>
        <v>0</v>
      </c>
      <c r="L58" s="54" t="e">
        <f t="shared" si="14"/>
        <v>#DIV/0!</v>
      </c>
      <c r="M58" s="179" t="s">
        <v>953</v>
      </c>
      <c r="N58" s="179" t="s">
        <v>965</v>
      </c>
      <c r="O58" s="141">
        <f t="shared" si="15"/>
        <v>0</v>
      </c>
      <c r="P58" s="181" t="b">
        <f>COUNTIF('Facility Data'!$A$1:$A$1500,"*"&amp;A58&amp;"*")&gt;0</f>
        <v>0</v>
      </c>
      <c r="Q58" s="181" t="b">
        <f>COUNTIF('Account Data'!$A$1:$A$1000,"*"&amp;A58&amp;"*")&gt;0</f>
        <v>0</v>
      </c>
      <c r="R58" s="182" t="b">
        <f t="shared" si="16"/>
        <v>0</v>
      </c>
      <c r="S58" s="182" t="b">
        <f t="shared" si="17"/>
        <v>0</v>
      </c>
      <c r="T58" s="181" t="b">
        <f>COUNTIF('New Items'!$A$1:$A$175,A58)&gt;0</f>
        <v>0</v>
      </c>
      <c r="U58" s="181" t="b">
        <f>COUNTIF(Discontinued!$A$1:$A$150,A58)&gt;0</f>
        <v>0</v>
      </c>
    </row>
    <row r="59" spans="1:21" s="8" customFormat="1" ht="11.25" x14ac:dyDescent="0.2">
      <c r="A59" s="152">
        <v>10000777</v>
      </c>
      <c r="B59" s="10" t="s">
        <v>1679</v>
      </c>
      <c r="C59" s="12" t="s">
        <v>1680</v>
      </c>
      <c r="D59" s="11" t="s">
        <v>636</v>
      </c>
      <c r="E59" s="12" t="s">
        <v>769</v>
      </c>
      <c r="F59" s="13">
        <v>4</v>
      </c>
      <c r="G59" s="22">
        <f>Overview!$B$13</f>
        <v>14</v>
      </c>
      <c r="H59" s="23">
        <f t="shared" si="12"/>
        <v>14</v>
      </c>
      <c r="I59" s="23">
        <f>Overview!$E$13</f>
        <v>0</v>
      </c>
      <c r="J59" s="52">
        <f t="shared" si="13"/>
        <v>0</v>
      </c>
      <c r="K59" s="53">
        <f>Overview!$H$13</f>
        <v>0</v>
      </c>
      <c r="L59" s="54" t="e">
        <f t="shared" si="14"/>
        <v>#DIV/0!</v>
      </c>
      <c r="M59" s="179" t="s">
        <v>4370</v>
      </c>
      <c r="N59" s="179" t="s">
        <v>965</v>
      </c>
      <c r="O59" s="141">
        <f t="shared" si="15"/>
        <v>0</v>
      </c>
      <c r="P59" s="181" t="b">
        <f>COUNTIF('Facility Data'!$A$1:$A$1500,"*"&amp;A59&amp;"*")&gt;0</f>
        <v>0</v>
      </c>
      <c r="Q59" s="181" t="b">
        <f>COUNTIF('Account Data'!$A$1:$A$1000,"*"&amp;A59&amp;"*")&gt;0</f>
        <v>0</v>
      </c>
      <c r="R59" s="182" t="b">
        <f t="shared" si="16"/>
        <v>0</v>
      </c>
      <c r="S59" s="182" t="b">
        <f t="shared" si="17"/>
        <v>0</v>
      </c>
      <c r="T59" s="181" t="b">
        <f>COUNTIF('New Items'!$A$1:$A$175,A59)&gt;0</f>
        <v>0</v>
      </c>
      <c r="U59" s="181" t="b">
        <f>COUNTIF(Discontinued!$A$1:$A$150,A59)&gt;0</f>
        <v>0</v>
      </c>
    </row>
    <row r="60" spans="1:21" s="8" customFormat="1" ht="11.25" x14ac:dyDescent="0.2">
      <c r="A60" s="152">
        <v>10000783</v>
      </c>
      <c r="B60" s="10" t="s">
        <v>1413</v>
      </c>
      <c r="C60" s="12" t="s">
        <v>1414</v>
      </c>
      <c r="D60" s="11" t="s">
        <v>655</v>
      </c>
      <c r="E60" s="12" t="s">
        <v>769</v>
      </c>
      <c r="F60" s="13">
        <v>4</v>
      </c>
      <c r="G60" s="22">
        <f>Overview!$B$13</f>
        <v>14</v>
      </c>
      <c r="H60" s="23">
        <f t="shared" si="12"/>
        <v>14</v>
      </c>
      <c r="I60" s="23">
        <f>Overview!$E$13</f>
        <v>0</v>
      </c>
      <c r="J60" s="52">
        <f t="shared" si="13"/>
        <v>0</v>
      </c>
      <c r="K60" s="53">
        <f>Overview!$H$13</f>
        <v>0</v>
      </c>
      <c r="L60" s="54" t="e">
        <f t="shared" si="14"/>
        <v>#DIV/0!</v>
      </c>
      <c r="M60" s="179"/>
      <c r="N60" s="179" t="s">
        <v>965</v>
      </c>
      <c r="O60" s="141">
        <f t="shared" si="15"/>
        <v>0</v>
      </c>
      <c r="P60" s="181" t="b">
        <f>COUNTIF('Facility Data'!$A$1:$A$1500,"*"&amp;A60&amp;"*")&gt;0</f>
        <v>0</v>
      </c>
      <c r="Q60" s="181" t="b">
        <f>COUNTIF('Account Data'!$A$1:$A$1000,"*"&amp;A60&amp;"*")&gt;0</f>
        <v>0</v>
      </c>
      <c r="R60" s="182" t="b">
        <f t="shared" si="16"/>
        <v>0</v>
      </c>
      <c r="S60" s="182" t="b">
        <f t="shared" si="17"/>
        <v>0</v>
      </c>
      <c r="T60" s="181" t="b">
        <f>COUNTIF('New Items'!$A$1:$A$175,A60)&gt;0</f>
        <v>0</v>
      </c>
      <c r="U60" s="181" t="b">
        <f>COUNTIF(Discontinued!$A$1:$A$150,A60)&gt;0</f>
        <v>0</v>
      </c>
    </row>
    <row r="61" spans="1:21" s="8" customFormat="1" ht="11.25" x14ac:dyDescent="0.2">
      <c r="A61" s="152">
        <v>10000788</v>
      </c>
      <c r="B61" s="10" t="s">
        <v>1415</v>
      </c>
      <c r="C61" s="12" t="s">
        <v>1416</v>
      </c>
      <c r="D61" s="11" t="s">
        <v>640</v>
      </c>
      <c r="E61" s="12" t="s">
        <v>769</v>
      </c>
      <c r="F61" s="13">
        <v>4</v>
      </c>
      <c r="G61" s="22">
        <f>Overview!$B$13</f>
        <v>14</v>
      </c>
      <c r="H61" s="23">
        <f t="shared" si="12"/>
        <v>14</v>
      </c>
      <c r="I61" s="23">
        <f>Overview!$E$13</f>
        <v>0</v>
      </c>
      <c r="J61" s="52">
        <f t="shared" si="13"/>
        <v>0</v>
      </c>
      <c r="K61" s="53">
        <f>Overview!$H$13</f>
        <v>0</v>
      </c>
      <c r="L61" s="54" t="e">
        <f t="shared" si="14"/>
        <v>#DIV/0!</v>
      </c>
      <c r="M61" s="179"/>
      <c r="N61" s="179" t="s">
        <v>965</v>
      </c>
      <c r="O61" s="141">
        <f t="shared" si="15"/>
        <v>0</v>
      </c>
      <c r="P61" s="181" t="b">
        <f>COUNTIF('Facility Data'!$A$1:$A$1500,"*"&amp;A61&amp;"*")&gt;0</f>
        <v>0</v>
      </c>
      <c r="Q61" s="181" t="b">
        <f>COUNTIF('Account Data'!$A$1:$A$1000,"*"&amp;A61&amp;"*")&gt;0</f>
        <v>0</v>
      </c>
      <c r="R61" s="182" t="b">
        <f t="shared" si="16"/>
        <v>0</v>
      </c>
      <c r="S61" s="182" t="b">
        <f t="shared" si="17"/>
        <v>0</v>
      </c>
      <c r="T61" s="181" t="b">
        <f>COUNTIF('New Items'!$A$1:$A$175,A61)&gt;0</f>
        <v>0</v>
      </c>
      <c r="U61" s="181" t="b">
        <f>COUNTIF(Discontinued!$A$1:$A$150,A61)&gt;0</f>
        <v>0</v>
      </c>
    </row>
    <row r="62" spans="1:21" s="8" customFormat="1" ht="11.25" x14ac:dyDescent="0.2">
      <c r="A62" s="152">
        <v>10000766</v>
      </c>
      <c r="B62" s="10" t="s">
        <v>1417</v>
      </c>
      <c r="C62" s="12" t="s">
        <v>1418</v>
      </c>
      <c r="D62" s="11" t="s">
        <v>660</v>
      </c>
      <c r="E62" s="12" t="s">
        <v>769</v>
      </c>
      <c r="F62" s="13">
        <v>4</v>
      </c>
      <c r="G62" s="22">
        <f>Overview!$B$13</f>
        <v>14</v>
      </c>
      <c r="H62" s="23">
        <f t="shared" si="12"/>
        <v>14</v>
      </c>
      <c r="I62" s="23">
        <f>Overview!$E$13</f>
        <v>0</v>
      </c>
      <c r="J62" s="52">
        <f t="shared" si="13"/>
        <v>0</v>
      </c>
      <c r="K62" s="53">
        <f>Overview!$H$13</f>
        <v>0</v>
      </c>
      <c r="L62" s="54" t="e">
        <f t="shared" si="14"/>
        <v>#DIV/0!</v>
      </c>
      <c r="M62" s="179"/>
      <c r="N62" s="179" t="s">
        <v>965</v>
      </c>
      <c r="O62" s="141">
        <f t="shared" si="15"/>
        <v>0</v>
      </c>
      <c r="P62" s="181" t="b">
        <f>COUNTIF('Facility Data'!$A$1:$A$1500,"*"&amp;A62&amp;"*")&gt;0</f>
        <v>0</v>
      </c>
      <c r="Q62" s="181" t="b">
        <f>COUNTIF('Account Data'!$A$1:$A$1000,"*"&amp;A62&amp;"*")&gt;0</f>
        <v>0</v>
      </c>
      <c r="R62" s="182" t="b">
        <f t="shared" si="16"/>
        <v>0</v>
      </c>
      <c r="S62" s="182" t="b">
        <f t="shared" si="17"/>
        <v>0</v>
      </c>
      <c r="T62" s="181" t="b">
        <f>COUNTIF('New Items'!$A$1:$A$175,A62)&gt;0</f>
        <v>0</v>
      </c>
      <c r="U62" s="181" t="b">
        <f>COUNTIF(Discontinued!$A$1:$A$150,A62)&gt;0</f>
        <v>0</v>
      </c>
    </row>
    <row r="63" spans="1:21" s="8" customFormat="1" ht="11.25" x14ac:dyDescent="0.2">
      <c r="A63" s="152">
        <v>10000823</v>
      </c>
      <c r="B63" s="10" t="s">
        <v>1630</v>
      </c>
      <c r="C63" s="12" t="s">
        <v>1631</v>
      </c>
      <c r="D63" s="11" t="s">
        <v>1650</v>
      </c>
      <c r="E63" s="12" t="s">
        <v>769</v>
      </c>
      <c r="F63" s="13">
        <v>4</v>
      </c>
      <c r="G63" s="22">
        <f>Overview!$B$13</f>
        <v>14</v>
      </c>
      <c r="H63" s="23">
        <f t="shared" si="12"/>
        <v>14</v>
      </c>
      <c r="I63" s="23">
        <f>Overview!$E$13</f>
        <v>0</v>
      </c>
      <c r="J63" s="52">
        <f t="shared" si="13"/>
        <v>0</v>
      </c>
      <c r="K63" s="53">
        <f>Overview!$H$13</f>
        <v>0</v>
      </c>
      <c r="L63" s="54" t="e">
        <f t="shared" si="14"/>
        <v>#DIV/0!</v>
      </c>
      <c r="M63" s="179" t="s">
        <v>2422</v>
      </c>
      <c r="N63" s="179" t="s">
        <v>965</v>
      </c>
      <c r="O63" s="141">
        <f t="shared" si="15"/>
        <v>0</v>
      </c>
      <c r="P63" s="181" t="b">
        <f>COUNTIF('Facility Data'!$A$1:$A$1500,"*"&amp;A63&amp;"*")&gt;0</f>
        <v>0</v>
      </c>
      <c r="Q63" s="181" t="b">
        <f>COUNTIF('Account Data'!$A$1:$A$1000,"*"&amp;A63&amp;"*")&gt;0</f>
        <v>0</v>
      </c>
      <c r="R63" s="182" t="b">
        <f t="shared" si="16"/>
        <v>0</v>
      </c>
      <c r="S63" s="182" t="b">
        <f t="shared" si="17"/>
        <v>0</v>
      </c>
      <c r="T63" s="181" t="b">
        <f>COUNTIF('New Items'!$A$1:$A$175,A63)&gt;0</f>
        <v>0</v>
      </c>
      <c r="U63" s="181" t="b">
        <f>COUNTIF(Discontinued!$A$1:$A$150,A63)&gt;0</f>
        <v>0</v>
      </c>
    </row>
    <row r="64" spans="1:21" s="8" customFormat="1" ht="11.25" x14ac:dyDescent="0.2">
      <c r="A64" s="152">
        <v>10000819</v>
      </c>
      <c r="B64" s="10" t="s">
        <v>1640</v>
      </c>
      <c r="C64" s="12" t="s">
        <v>1641</v>
      </c>
      <c r="D64" s="11" t="s">
        <v>3269</v>
      </c>
      <c r="E64" s="12" t="s">
        <v>769</v>
      </c>
      <c r="F64" s="13">
        <v>4</v>
      </c>
      <c r="G64" s="22">
        <f>Overview!$B$13</f>
        <v>14</v>
      </c>
      <c r="H64" s="23">
        <f t="shared" si="12"/>
        <v>14</v>
      </c>
      <c r="I64" s="23">
        <f>Overview!$E$13</f>
        <v>0</v>
      </c>
      <c r="J64" s="52">
        <f t="shared" si="13"/>
        <v>0</v>
      </c>
      <c r="K64" s="53">
        <f>Overview!$H$13</f>
        <v>0</v>
      </c>
      <c r="L64" s="54" t="e">
        <f t="shared" si="14"/>
        <v>#DIV/0!</v>
      </c>
      <c r="M64" s="179" t="s">
        <v>2422</v>
      </c>
      <c r="N64" s="179" t="s">
        <v>965</v>
      </c>
      <c r="O64" s="141">
        <f t="shared" si="15"/>
        <v>0</v>
      </c>
      <c r="P64" s="181" t="b">
        <f>COUNTIF('Facility Data'!$A$1:$A$1500,"*"&amp;A64&amp;"*")&gt;0</f>
        <v>0</v>
      </c>
      <c r="Q64" s="181" t="b">
        <f>COUNTIF('Account Data'!$A$1:$A$1000,"*"&amp;A64&amp;"*")&gt;0</f>
        <v>0</v>
      </c>
      <c r="R64" s="182" t="b">
        <f t="shared" si="16"/>
        <v>0</v>
      </c>
      <c r="S64" s="182" t="b">
        <f t="shared" si="17"/>
        <v>0</v>
      </c>
      <c r="T64" s="181" t="b">
        <f>COUNTIF('New Items'!$A$1:$A$175,A64)&gt;0</f>
        <v>0</v>
      </c>
      <c r="U64" s="181" t="b">
        <f>COUNTIF(Discontinued!$A$1:$A$150,A64)&gt;0</f>
        <v>0</v>
      </c>
    </row>
    <row r="65" spans="1:21" s="8" customFormat="1" ht="11.25" x14ac:dyDescent="0.2">
      <c r="A65" s="152">
        <v>10000821</v>
      </c>
      <c r="B65" s="10" t="s">
        <v>1632</v>
      </c>
      <c r="C65" s="12" t="s">
        <v>1633</v>
      </c>
      <c r="D65" s="11" t="s">
        <v>1651</v>
      </c>
      <c r="E65" s="12" t="s">
        <v>769</v>
      </c>
      <c r="F65" s="13">
        <v>4</v>
      </c>
      <c r="G65" s="22">
        <f>Overview!$B$13</f>
        <v>14</v>
      </c>
      <c r="H65" s="23">
        <f t="shared" si="12"/>
        <v>14</v>
      </c>
      <c r="I65" s="23">
        <f>Overview!$E$13</f>
        <v>0</v>
      </c>
      <c r="J65" s="52">
        <f t="shared" si="13"/>
        <v>0</v>
      </c>
      <c r="K65" s="53">
        <f>Overview!$H$13</f>
        <v>0</v>
      </c>
      <c r="L65" s="54" t="e">
        <f t="shared" si="14"/>
        <v>#DIV/0!</v>
      </c>
      <c r="M65" s="179" t="s">
        <v>2422</v>
      </c>
      <c r="N65" s="179" t="s">
        <v>965</v>
      </c>
      <c r="O65" s="141">
        <f t="shared" si="15"/>
        <v>0</v>
      </c>
      <c r="P65" s="181" t="b">
        <f>COUNTIF('Facility Data'!$A$1:$A$1500,"*"&amp;A65&amp;"*")&gt;0</f>
        <v>0</v>
      </c>
      <c r="Q65" s="181" t="b">
        <f>COUNTIF('Account Data'!$A$1:$A$1000,"*"&amp;A65&amp;"*")&gt;0</f>
        <v>0</v>
      </c>
      <c r="R65" s="182" t="b">
        <f t="shared" si="16"/>
        <v>0</v>
      </c>
      <c r="S65" s="182" t="b">
        <f t="shared" si="17"/>
        <v>0</v>
      </c>
      <c r="T65" s="181" t="b">
        <f>COUNTIF('New Items'!$A$1:$A$175,A65)&gt;0</f>
        <v>0</v>
      </c>
      <c r="U65" s="181" t="b">
        <f>COUNTIF(Discontinued!$A$1:$A$150,A65)&gt;0</f>
        <v>0</v>
      </c>
    </row>
    <row r="66" spans="1:21" s="8" customFormat="1" ht="11.25" x14ac:dyDescent="0.2">
      <c r="A66" s="152">
        <v>10000818</v>
      </c>
      <c r="B66" s="10" t="s">
        <v>1634</v>
      </c>
      <c r="C66" s="12" t="s">
        <v>1635</v>
      </c>
      <c r="D66" s="11" t="s">
        <v>1652</v>
      </c>
      <c r="E66" s="12" t="s">
        <v>769</v>
      </c>
      <c r="F66" s="13">
        <v>4</v>
      </c>
      <c r="G66" s="22">
        <f>Overview!$B$13</f>
        <v>14</v>
      </c>
      <c r="H66" s="23">
        <f t="shared" si="12"/>
        <v>14</v>
      </c>
      <c r="I66" s="23">
        <f>Overview!$E$13</f>
        <v>0</v>
      </c>
      <c r="J66" s="52">
        <f t="shared" si="13"/>
        <v>0</v>
      </c>
      <c r="K66" s="53">
        <f>Overview!$H$13</f>
        <v>0</v>
      </c>
      <c r="L66" s="54" t="e">
        <f t="shared" si="14"/>
        <v>#DIV/0!</v>
      </c>
      <c r="M66" s="179" t="s">
        <v>2422</v>
      </c>
      <c r="N66" s="179" t="s">
        <v>965</v>
      </c>
      <c r="O66" s="141">
        <f t="shared" si="15"/>
        <v>0</v>
      </c>
      <c r="P66" s="181" t="b">
        <f>COUNTIF('Facility Data'!$A$1:$A$1500,"*"&amp;A66&amp;"*")&gt;0</f>
        <v>0</v>
      </c>
      <c r="Q66" s="181" t="b">
        <f>COUNTIF('Account Data'!$A$1:$A$1000,"*"&amp;A66&amp;"*")&gt;0</f>
        <v>0</v>
      </c>
      <c r="R66" s="182" t="b">
        <f t="shared" si="16"/>
        <v>0</v>
      </c>
      <c r="S66" s="182" t="b">
        <f t="shared" si="17"/>
        <v>0</v>
      </c>
      <c r="T66" s="181" t="b">
        <f>COUNTIF('New Items'!$A$1:$A$175,A66)&gt;0</f>
        <v>0</v>
      </c>
      <c r="U66" s="181" t="b">
        <f>COUNTIF(Discontinued!$A$1:$A$150,A66)&gt;0</f>
        <v>0</v>
      </c>
    </row>
    <row r="67" spans="1:21" s="8" customFormat="1" ht="11.25" x14ac:dyDescent="0.2">
      <c r="A67" s="152">
        <v>10000827</v>
      </c>
      <c r="B67" s="10" t="s">
        <v>1636</v>
      </c>
      <c r="C67" s="12" t="s">
        <v>1637</v>
      </c>
      <c r="D67" s="11" t="s">
        <v>1653</v>
      </c>
      <c r="E67" s="12" t="s">
        <v>769</v>
      </c>
      <c r="F67" s="13">
        <v>4</v>
      </c>
      <c r="G67" s="22">
        <f>Overview!$B$13</f>
        <v>14</v>
      </c>
      <c r="H67" s="23">
        <f t="shared" si="12"/>
        <v>14</v>
      </c>
      <c r="I67" s="23">
        <f>Overview!$E$13</f>
        <v>0</v>
      </c>
      <c r="J67" s="52">
        <f t="shared" si="13"/>
        <v>0</v>
      </c>
      <c r="K67" s="53">
        <f>Overview!$H$13</f>
        <v>0</v>
      </c>
      <c r="L67" s="54" t="e">
        <f t="shared" si="14"/>
        <v>#DIV/0!</v>
      </c>
      <c r="M67" s="179" t="s">
        <v>2422</v>
      </c>
      <c r="N67" s="179" t="s">
        <v>965</v>
      </c>
      <c r="O67" s="141">
        <f t="shared" si="15"/>
        <v>0</v>
      </c>
      <c r="P67" s="181" t="b">
        <f>COUNTIF('Facility Data'!$A$1:$A$1500,"*"&amp;A67&amp;"*")&gt;0</f>
        <v>0</v>
      </c>
      <c r="Q67" s="181" t="b">
        <f>COUNTIF('Account Data'!$A$1:$A$1000,"*"&amp;A67&amp;"*")&gt;0</f>
        <v>0</v>
      </c>
      <c r="R67" s="182" t="b">
        <f t="shared" si="16"/>
        <v>0</v>
      </c>
      <c r="S67" s="182" t="b">
        <f t="shared" si="17"/>
        <v>0</v>
      </c>
      <c r="T67" s="181" t="b">
        <f>COUNTIF('New Items'!$A$1:$A$175,A67)&gt;0</f>
        <v>0</v>
      </c>
      <c r="U67" s="181" t="b">
        <f>COUNTIF(Discontinued!$A$1:$A$150,A67)&gt;0</f>
        <v>0</v>
      </c>
    </row>
    <row r="68" spans="1:21" s="8" customFormat="1" ht="11.25" x14ac:dyDescent="0.2">
      <c r="A68" s="152">
        <v>10000825</v>
      </c>
      <c r="B68" s="10" t="s">
        <v>1638</v>
      </c>
      <c r="C68" s="12" t="s">
        <v>1639</v>
      </c>
      <c r="D68" s="11" t="s">
        <v>1654</v>
      </c>
      <c r="E68" s="12" t="s">
        <v>769</v>
      </c>
      <c r="F68" s="13">
        <v>4</v>
      </c>
      <c r="G68" s="22">
        <f>Overview!$B$13</f>
        <v>14</v>
      </c>
      <c r="H68" s="23">
        <f t="shared" si="12"/>
        <v>14</v>
      </c>
      <c r="I68" s="23">
        <f>Overview!$E$13</f>
        <v>0</v>
      </c>
      <c r="J68" s="52">
        <f t="shared" si="13"/>
        <v>0</v>
      </c>
      <c r="K68" s="53">
        <f>Overview!$H$13</f>
        <v>0</v>
      </c>
      <c r="L68" s="54" t="e">
        <f t="shared" si="14"/>
        <v>#DIV/0!</v>
      </c>
      <c r="M68" s="179" t="s">
        <v>2422</v>
      </c>
      <c r="N68" s="179" t="s">
        <v>965</v>
      </c>
      <c r="O68" s="141">
        <f t="shared" si="15"/>
        <v>0</v>
      </c>
      <c r="P68" s="181" t="b">
        <f>COUNTIF('Facility Data'!$A$1:$A$1500,"*"&amp;A68&amp;"*")&gt;0</f>
        <v>0</v>
      </c>
      <c r="Q68" s="181" t="b">
        <f>COUNTIF('Account Data'!$A$1:$A$1000,"*"&amp;A68&amp;"*")&gt;0</f>
        <v>0</v>
      </c>
      <c r="R68" s="182" t="b">
        <f t="shared" si="16"/>
        <v>0</v>
      </c>
      <c r="S68" s="182" t="b">
        <f t="shared" si="17"/>
        <v>0</v>
      </c>
      <c r="T68" s="181" t="b">
        <f>COUNTIF('New Items'!$A$1:$A$175,A68)&gt;0</f>
        <v>0</v>
      </c>
      <c r="U68" s="181" t="b">
        <f>COUNTIF(Discontinued!$A$1:$A$150,A68)&gt;0</f>
        <v>0</v>
      </c>
    </row>
    <row r="69" spans="1:21" s="8" customFormat="1" ht="11.25" x14ac:dyDescent="0.2">
      <c r="A69" s="152">
        <v>10000828</v>
      </c>
      <c r="B69" s="10" t="s">
        <v>1642</v>
      </c>
      <c r="C69" s="12" t="s">
        <v>1643</v>
      </c>
      <c r="D69" s="11" t="s">
        <v>1655</v>
      </c>
      <c r="E69" s="12" t="s">
        <v>769</v>
      </c>
      <c r="F69" s="13">
        <v>4</v>
      </c>
      <c r="G69" s="22">
        <f>Overview!$B$13</f>
        <v>14</v>
      </c>
      <c r="H69" s="23">
        <f t="shared" si="12"/>
        <v>14</v>
      </c>
      <c r="I69" s="23">
        <f>Overview!$E$13</f>
        <v>0</v>
      </c>
      <c r="J69" s="52">
        <f t="shared" si="13"/>
        <v>0</v>
      </c>
      <c r="K69" s="53">
        <f>Overview!$H$13</f>
        <v>0</v>
      </c>
      <c r="L69" s="54" t="e">
        <f t="shared" si="14"/>
        <v>#DIV/0!</v>
      </c>
      <c r="M69" s="179" t="s">
        <v>2422</v>
      </c>
      <c r="N69" s="179" t="s">
        <v>965</v>
      </c>
      <c r="O69" s="141">
        <f t="shared" si="15"/>
        <v>0</v>
      </c>
      <c r="P69" s="181" t="b">
        <f>COUNTIF('Facility Data'!$A$1:$A$1500,"*"&amp;A69&amp;"*")&gt;0</f>
        <v>0</v>
      </c>
      <c r="Q69" s="181" t="b">
        <f>COUNTIF('Account Data'!$A$1:$A$1000,"*"&amp;A69&amp;"*")&gt;0</f>
        <v>0</v>
      </c>
      <c r="R69" s="182" t="b">
        <f t="shared" si="16"/>
        <v>0</v>
      </c>
      <c r="S69" s="182" t="b">
        <f t="shared" si="17"/>
        <v>0</v>
      </c>
      <c r="T69" s="181" t="b">
        <f>COUNTIF('New Items'!$A$1:$A$175,A69)&gt;0</f>
        <v>0</v>
      </c>
      <c r="U69" s="181" t="b">
        <f>COUNTIF(Discontinued!$A$1:$A$150,A69)&gt;0</f>
        <v>0</v>
      </c>
    </row>
    <row r="70" spans="1:21" s="8" customFormat="1" ht="11.25" x14ac:dyDescent="0.2">
      <c r="A70" s="152">
        <v>10000824</v>
      </c>
      <c r="B70" s="10" t="s">
        <v>1644</v>
      </c>
      <c r="C70" s="12" t="s">
        <v>1645</v>
      </c>
      <c r="D70" s="11" t="s">
        <v>1656</v>
      </c>
      <c r="E70" s="12" t="s">
        <v>769</v>
      </c>
      <c r="F70" s="13">
        <v>4</v>
      </c>
      <c r="G70" s="22">
        <f>Overview!$B$13</f>
        <v>14</v>
      </c>
      <c r="H70" s="23">
        <f t="shared" si="12"/>
        <v>14</v>
      </c>
      <c r="I70" s="23">
        <f>Overview!$E$13</f>
        <v>0</v>
      </c>
      <c r="J70" s="52">
        <f t="shared" si="13"/>
        <v>0</v>
      </c>
      <c r="K70" s="53">
        <f>Overview!$H$13</f>
        <v>0</v>
      </c>
      <c r="L70" s="54" t="e">
        <f t="shared" si="14"/>
        <v>#DIV/0!</v>
      </c>
      <c r="M70" s="179" t="s">
        <v>2422</v>
      </c>
      <c r="N70" s="179" t="s">
        <v>965</v>
      </c>
      <c r="O70" s="141">
        <f t="shared" si="15"/>
        <v>0</v>
      </c>
      <c r="P70" s="181" t="b">
        <f>COUNTIF('Facility Data'!$A$1:$A$1500,"*"&amp;A70&amp;"*")&gt;0</f>
        <v>0</v>
      </c>
      <c r="Q70" s="181" t="b">
        <f>COUNTIF('Account Data'!$A$1:$A$1000,"*"&amp;A70&amp;"*")&gt;0</f>
        <v>0</v>
      </c>
      <c r="R70" s="182" t="b">
        <f t="shared" si="16"/>
        <v>0</v>
      </c>
      <c r="S70" s="182" t="b">
        <f t="shared" si="17"/>
        <v>0</v>
      </c>
      <c r="T70" s="181" t="b">
        <f>COUNTIF('New Items'!$A$1:$A$175,A70)&gt;0</f>
        <v>0</v>
      </c>
      <c r="U70" s="181" t="b">
        <f>COUNTIF(Discontinued!$A$1:$A$150,A70)&gt;0</f>
        <v>0</v>
      </c>
    </row>
    <row r="71" spans="1:21" s="8" customFormat="1" ht="11.25" x14ac:dyDescent="0.2">
      <c r="A71" s="152">
        <v>10000800</v>
      </c>
      <c r="B71" s="10" t="s">
        <v>1646</v>
      </c>
      <c r="C71" s="12" t="s">
        <v>1647</v>
      </c>
      <c r="D71" s="11" t="s">
        <v>1657</v>
      </c>
      <c r="E71" s="12" t="s">
        <v>769</v>
      </c>
      <c r="F71" s="13">
        <v>4</v>
      </c>
      <c r="G71" s="22">
        <f>Overview!$B$13</f>
        <v>14</v>
      </c>
      <c r="H71" s="23">
        <f t="shared" si="12"/>
        <v>14</v>
      </c>
      <c r="I71" s="23">
        <f>Overview!$E$13</f>
        <v>0</v>
      </c>
      <c r="J71" s="52">
        <f t="shared" si="13"/>
        <v>0</v>
      </c>
      <c r="K71" s="53">
        <f>Overview!$H$13</f>
        <v>0</v>
      </c>
      <c r="L71" s="54" t="e">
        <f t="shared" si="14"/>
        <v>#DIV/0!</v>
      </c>
      <c r="M71" s="179" t="s">
        <v>2422</v>
      </c>
      <c r="N71" s="179" t="s">
        <v>965</v>
      </c>
      <c r="O71" s="141">
        <f t="shared" si="15"/>
        <v>0</v>
      </c>
      <c r="P71" s="181" t="b">
        <f>COUNTIF('Facility Data'!$A$1:$A$1500,"*"&amp;A71&amp;"*")&gt;0</f>
        <v>0</v>
      </c>
      <c r="Q71" s="181" t="b">
        <f>COUNTIF('Account Data'!$A$1:$A$1000,"*"&amp;A71&amp;"*")&gt;0</f>
        <v>0</v>
      </c>
      <c r="R71" s="182" t="b">
        <f t="shared" si="16"/>
        <v>0</v>
      </c>
      <c r="S71" s="182" t="b">
        <f t="shared" si="17"/>
        <v>0</v>
      </c>
      <c r="T71" s="181" t="b">
        <f>COUNTIF('New Items'!$A$1:$A$175,A71)&gt;0</f>
        <v>0</v>
      </c>
      <c r="U71" s="181" t="b">
        <f>COUNTIF(Discontinued!$A$1:$A$150,A71)&gt;0</f>
        <v>0</v>
      </c>
    </row>
    <row r="72" spans="1:21" s="8" customFormat="1" ht="11.25" x14ac:dyDescent="0.2">
      <c r="A72" s="152">
        <v>10000826</v>
      </c>
      <c r="B72" s="10" t="s">
        <v>1648</v>
      </c>
      <c r="C72" s="12" t="s">
        <v>1649</v>
      </c>
      <c r="D72" s="11" t="s">
        <v>1658</v>
      </c>
      <c r="E72" s="12" t="s">
        <v>769</v>
      </c>
      <c r="F72" s="13">
        <v>4</v>
      </c>
      <c r="G72" s="22">
        <f>Overview!$B$13</f>
        <v>14</v>
      </c>
      <c r="H72" s="23">
        <f t="shared" si="12"/>
        <v>14</v>
      </c>
      <c r="I72" s="23">
        <f>Overview!$E$13</f>
        <v>0</v>
      </c>
      <c r="J72" s="52">
        <f t="shared" si="13"/>
        <v>0</v>
      </c>
      <c r="K72" s="53">
        <f>Overview!$H$13</f>
        <v>0</v>
      </c>
      <c r="L72" s="54" t="e">
        <f t="shared" si="14"/>
        <v>#DIV/0!</v>
      </c>
      <c r="M72" s="179" t="s">
        <v>2422</v>
      </c>
      <c r="N72" s="179" t="s">
        <v>965</v>
      </c>
      <c r="O72" s="141">
        <f t="shared" si="15"/>
        <v>0</v>
      </c>
      <c r="P72" s="181" t="b">
        <f>COUNTIF('Facility Data'!$A$1:$A$1500,"*"&amp;A72&amp;"*")&gt;0</f>
        <v>0</v>
      </c>
      <c r="Q72" s="181" t="b">
        <f>COUNTIF('Account Data'!$A$1:$A$1000,"*"&amp;A72&amp;"*")&gt;0</f>
        <v>0</v>
      </c>
      <c r="R72" s="182" t="b">
        <f t="shared" si="16"/>
        <v>0</v>
      </c>
      <c r="S72" s="182" t="b">
        <f t="shared" si="17"/>
        <v>0</v>
      </c>
      <c r="T72" s="181" t="b">
        <f>COUNTIF('New Items'!$A$1:$A$175,A72)&gt;0</f>
        <v>0</v>
      </c>
      <c r="U72" s="181" t="b">
        <f>COUNTIF(Discontinued!$A$1:$A$150,A72)&gt;0</f>
        <v>0</v>
      </c>
    </row>
    <row r="73" spans="1:21" s="8" customFormat="1" ht="11.25" x14ac:dyDescent="0.2">
      <c r="A73" s="152">
        <v>10000795</v>
      </c>
      <c r="B73" s="10" t="s">
        <v>1676</v>
      </c>
      <c r="C73" s="12" t="s">
        <v>1677</v>
      </c>
      <c r="D73" s="11" t="s">
        <v>1711</v>
      </c>
      <c r="E73" s="12" t="s">
        <v>769</v>
      </c>
      <c r="F73" s="13">
        <v>4</v>
      </c>
      <c r="G73" s="22">
        <f>Overview!$B$13</f>
        <v>14</v>
      </c>
      <c r="H73" s="23">
        <f>G73-I73</f>
        <v>14</v>
      </c>
      <c r="I73" s="23">
        <f>Overview!$E$13</f>
        <v>0</v>
      </c>
      <c r="J73" s="52">
        <f>I73/F73</f>
        <v>0</v>
      </c>
      <c r="K73" s="53">
        <f>Overview!$H$13</f>
        <v>0</v>
      </c>
      <c r="L73" s="54" t="e">
        <f>(K73-J73)/K73</f>
        <v>#DIV/0!</v>
      </c>
      <c r="M73" s="179" t="s">
        <v>4148</v>
      </c>
      <c r="N73" s="179" t="s">
        <v>965</v>
      </c>
      <c r="O73" s="141">
        <f>I73</f>
        <v>0</v>
      </c>
      <c r="P73" s="181" t="b">
        <f>COUNTIF('Facility Data'!$A$1:$A$1500,"*"&amp;A73&amp;"*")&gt;0</f>
        <v>0</v>
      </c>
      <c r="Q73" s="181" t="b">
        <f>COUNTIF('Account Data'!$A$1:$A$1000,"*"&amp;A73&amp;"*")&gt;0</f>
        <v>0</v>
      </c>
      <c r="R73" s="182" t="b">
        <f t="shared" si="16"/>
        <v>0</v>
      </c>
      <c r="S73" s="182" t="b">
        <f>IF(OR(Q73=TRUE,T73=TRUE),TRUE,FALSE)</f>
        <v>0</v>
      </c>
      <c r="T73" s="181" t="b">
        <f>COUNTIF('New Items'!$A$1:$A$175,A73)&gt;0</f>
        <v>0</v>
      </c>
      <c r="U73" s="181" t="b">
        <f>COUNTIF(Discontinued!$A$1:$A$150,A73)&gt;0</f>
        <v>0</v>
      </c>
    </row>
    <row r="74" spans="1:21" s="8" customFormat="1" ht="11.25" x14ac:dyDescent="0.2">
      <c r="A74" s="152">
        <v>20004165</v>
      </c>
      <c r="B74" s="10" t="s">
        <v>1681</v>
      </c>
      <c r="C74" s="12" t="s">
        <v>1682</v>
      </c>
      <c r="D74" s="11" t="s">
        <v>1691</v>
      </c>
      <c r="E74" s="12" t="s">
        <v>769</v>
      </c>
      <c r="F74" s="13">
        <v>4</v>
      </c>
      <c r="G74" s="22">
        <f>Overview!$B$13</f>
        <v>14</v>
      </c>
      <c r="H74" s="23">
        <f t="shared" si="12"/>
        <v>14</v>
      </c>
      <c r="I74" s="23">
        <f>Overview!$E$13</f>
        <v>0</v>
      </c>
      <c r="J74" s="52">
        <f t="shared" si="13"/>
        <v>0</v>
      </c>
      <c r="K74" s="53">
        <f>Overview!$H$13</f>
        <v>0</v>
      </c>
      <c r="L74" s="54" t="e">
        <f t="shared" si="14"/>
        <v>#DIV/0!</v>
      </c>
      <c r="M74" s="179" t="s">
        <v>4149</v>
      </c>
      <c r="N74" s="179" t="s">
        <v>965</v>
      </c>
      <c r="O74" s="141">
        <f t="shared" si="15"/>
        <v>0</v>
      </c>
      <c r="P74" s="181" t="b">
        <f>COUNTIF('Facility Data'!$A$1:$A$1500,"*"&amp;A74&amp;"*")&gt;0</f>
        <v>0</v>
      </c>
      <c r="Q74" s="181" t="b">
        <f>COUNTIF('Account Data'!$A$1:$A$1000,"*"&amp;A74&amp;"*")&gt;0</f>
        <v>0</v>
      </c>
      <c r="R74" s="182" t="b">
        <f t="shared" si="16"/>
        <v>0</v>
      </c>
      <c r="S74" s="182" t="b">
        <f t="shared" si="17"/>
        <v>0</v>
      </c>
      <c r="T74" s="181" t="b">
        <f>COUNTIF('New Items'!$A$1:$A$175,A74)&gt;0</f>
        <v>0</v>
      </c>
      <c r="U74" s="181" t="b">
        <f>COUNTIF(Discontinued!$A$1:$A$150,A74)&gt;0</f>
        <v>0</v>
      </c>
    </row>
    <row r="75" spans="1:21" s="8" customFormat="1" ht="11.25" x14ac:dyDescent="0.2">
      <c r="A75" s="152">
        <v>20004169</v>
      </c>
      <c r="B75" s="10" t="s">
        <v>1683</v>
      </c>
      <c r="C75" s="12" t="s">
        <v>1684</v>
      </c>
      <c r="D75" s="11" t="s">
        <v>1692</v>
      </c>
      <c r="E75" s="12" t="s">
        <v>769</v>
      </c>
      <c r="F75" s="13">
        <v>4</v>
      </c>
      <c r="G75" s="22">
        <f>Overview!$B$13</f>
        <v>14</v>
      </c>
      <c r="H75" s="23">
        <f t="shared" si="12"/>
        <v>14</v>
      </c>
      <c r="I75" s="23">
        <f>Overview!$E$13</f>
        <v>0</v>
      </c>
      <c r="J75" s="52">
        <f t="shared" si="13"/>
        <v>0</v>
      </c>
      <c r="K75" s="53">
        <f>Overview!$H$13</f>
        <v>0</v>
      </c>
      <c r="L75" s="54" t="e">
        <f t="shared" si="14"/>
        <v>#DIV/0!</v>
      </c>
      <c r="M75" s="179" t="s">
        <v>4149</v>
      </c>
      <c r="N75" s="179" t="s">
        <v>965</v>
      </c>
      <c r="O75" s="141">
        <f t="shared" si="15"/>
        <v>0</v>
      </c>
      <c r="P75" s="181" t="b">
        <f>COUNTIF('Facility Data'!$A$1:$A$1500,"*"&amp;A75&amp;"*")&gt;0</f>
        <v>0</v>
      </c>
      <c r="Q75" s="181" t="b">
        <f>COUNTIF('Account Data'!$A$1:$A$1000,"*"&amp;A75&amp;"*")&gt;0</f>
        <v>0</v>
      </c>
      <c r="R75" s="182" t="b">
        <f t="shared" si="16"/>
        <v>0</v>
      </c>
      <c r="S75" s="182" t="b">
        <f t="shared" si="17"/>
        <v>0</v>
      </c>
      <c r="T75" s="181" t="b">
        <f>COUNTIF('New Items'!$A$1:$A$175,A75)&gt;0</f>
        <v>0</v>
      </c>
      <c r="U75" s="181" t="b">
        <f>COUNTIF(Discontinued!$A$1:$A$150,A75)&gt;0</f>
        <v>0</v>
      </c>
    </row>
    <row r="76" spans="1:21" s="8" customFormat="1" ht="11.25" x14ac:dyDescent="0.2">
      <c r="A76" s="152">
        <v>20004161</v>
      </c>
      <c r="B76" s="10" t="s">
        <v>1685</v>
      </c>
      <c r="C76" s="12" t="s">
        <v>1686</v>
      </c>
      <c r="D76" s="11" t="s">
        <v>1693</v>
      </c>
      <c r="E76" s="12" t="s">
        <v>769</v>
      </c>
      <c r="F76" s="13">
        <v>4</v>
      </c>
      <c r="G76" s="22">
        <f>Overview!$B$13</f>
        <v>14</v>
      </c>
      <c r="H76" s="23">
        <f t="shared" si="12"/>
        <v>14</v>
      </c>
      <c r="I76" s="23">
        <f>Overview!$E$13</f>
        <v>0</v>
      </c>
      <c r="J76" s="52">
        <f t="shared" si="13"/>
        <v>0</v>
      </c>
      <c r="K76" s="53">
        <f>Overview!$H$13</f>
        <v>0</v>
      </c>
      <c r="L76" s="54" t="e">
        <f t="shared" si="14"/>
        <v>#DIV/0!</v>
      </c>
      <c r="M76" s="179" t="s">
        <v>4149</v>
      </c>
      <c r="N76" s="179" t="s">
        <v>965</v>
      </c>
      <c r="O76" s="141">
        <f t="shared" si="15"/>
        <v>0</v>
      </c>
      <c r="P76" s="181" t="b">
        <f>COUNTIF('Facility Data'!$A$1:$A$1500,"*"&amp;A76&amp;"*")&gt;0</f>
        <v>0</v>
      </c>
      <c r="Q76" s="181" t="b">
        <f>COUNTIF('Account Data'!$A$1:$A$1000,"*"&amp;A76&amp;"*")&gt;0</f>
        <v>0</v>
      </c>
      <c r="R76" s="182" t="b">
        <f t="shared" si="16"/>
        <v>0</v>
      </c>
      <c r="S76" s="182" t="b">
        <f t="shared" si="17"/>
        <v>0</v>
      </c>
      <c r="T76" s="181" t="b">
        <f>COUNTIF('New Items'!$A$1:$A$175,A76)&gt;0</f>
        <v>0</v>
      </c>
      <c r="U76" s="181" t="b">
        <f>COUNTIF(Discontinued!$A$1:$A$150,A76)&gt;0</f>
        <v>0</v>
      </c>
    </row>
    <row r="77" spans="1:21" s="8" customFormat="1" ht="12" thickBot="1" x14ac:dyDescent="0.25">
      <c r="A77" s="152">
        <v>20004167</v>
      </c>
      <c r="B77" s="10" t="s">
        <v>1687</v>
      </c>
      <c r="C77" s="12" t="s">
        <v>1688</v>
      </c>
      <c r="D77" s="11" t="s">
        <v>1694</v>
      </c>
      <c r="E77" s="12" t="s">
        <v>769</v>
      </c>
      <c r="F77" s="13">
        <v>4</v>
      </c>
      <c r="G77" s="22">
        <f>Overview!$B$13</f>
        <v>14</v>
      </c>
      <c r="H77" s="23">
        <f t="shared" si="12"/>
        <v>14</v>
      </c>
      <c r="I77" s="23">
        <f>Overview!$E$13</f>
        <v>0</v>
      </c>
      <c r="J77" s="52">
        <f t="shared" si="13"/>
        <v>0</v>
      </c>
      <c r="K77" s="53">
        <f>Overview!$H$13</f>
        <v>0</v>
      </c>
      <c r="L77" s="54" t="e">
        <f t="shared" si="14"/>
        <v>#DIV/0!</v>
      </c>
      <c r="M77" s="179" t="s">
        <v>4149</v>
      </c>
      <c r="N77" s="179" t="s">
        <v>965</v>
      </c>
      <c r="O77" s="141">
        <f t="shared" si="15"/>
        <v>0</v>
      </c>
      <c r="P77" s="181" t="b">
        <f>COUNTIF('Facility Data'!$A$1:$A$1500,"*"&amp;A77&amp;"*")&gt;0</f>
        <v>0</v>
      </c>
      <c r="Q77" s="181" t="b">
        <f>COUNTIF('Account Data'!$A$1:$A$1000,"*"&amp;A77&amp;"*")&gt;0</f>
        <v>0</v>
      </c>
      <c r="R77" s="182" t="b">
        <f t="shared" si="16"/>
        <v>0</v>
      </c>
      <c r="S77" s="182" t="b">
        <f t="shared" si="17"/>
        <v>0</v>
      </c>
      <c r="T77" s="181" t="b">
        <f>COUNTIF('New Items'!$A$1:$A$175,A77)&gt;0</f>
        <v>0</v>
      </c>
      <c r="U77" s="181" t="b">
        <f>COUNTIF(Discontinued!$A$1:$A$150,A77)&gt;0</f>
        <v>0</v>
      </c>
    </row>
    <row r="78" spans="1:21" s="7" customFormat="1" thickBot="1" x14ac:dyDescent="0.25">
      <c r="A78" s="300" t="s">
        <v>280</v>
      </c>
      <c r="B78" s="301"/>
      <c r="C78" s="301"/>
      <c r="D78" s="301"/>
      <c r="E78" s="301"/>
      <c r="F78" s="301"/>
      <c r="G78" s="301"/>
      <c r="H78" s="301"/>
      <c r="I78" s="301"/>
      <c r="J78" s="301"/>
      <c r="K78" s="301"/>
      <c r="L78" s="302"/>
      <c r="M78" s="179" t="s">
        <v>4361</v>
      </c>
      <c r="N78" s="179" t="s">
        <v>963</v>
      </c>
      <c r="O78" s="141">
        <f>AVERAGE(O79:O176)</f>
        <v>0</v>
      </c>
      <c r="P78" s="180" t="b">
        <f>COUNTIF(P79:P176,TRUE)&gt;0</f>
        <v>1</v>
      </c>
      <c r="Q78" s="180" t="b">
        <f>COUNTIF(Q79:Q176,TRUE)&gt;0</f>
        <v>1</v>
      </c>
      <c r="R78" s="180" t="b">
        <f>COUNTIF(R79:R176,TRUE)&gt;0</f>
        <v>1</v>
      </c>
      <c r="S78" s="180" t="b">
        <f>COUNTIF(S79:S176,TRUE)&gt;0</f>
        <v>1</v>
      </c>
      <c r="T78" s="180" t="b">
        <f>COUNTIF(T79:T176,TRUE)&gt;0</f>
        <v>1</v>
      </c>
      <c r="U78" s="180"/>
    </row>
    <row r="79" spans="1:21" s="8" customFormat="1" ht="11.25" x14ac:dyDescent="0.2">
      <c r="A79" s="152">
        <v>10000836</v>
      </c>
      <c r="B79" s="231" t="s">
        <v>1716</v>
      </c>
      <c r="C79" s="118" t="s">
        <v>93</v>
      </c>
      <c r="D79" s="119" t="s">
        <v>2806</v>
      </c>
      <c r="E79" s="118" t="s">
        <v>769</v>
      </c>
      <c r="F79" s="120">
        <v>2</v>
      </c>
      <c r="G79" s="121">
        <f>Overview!$B$14</f>
        <v>14</v>
      </c>
      <c r="H79" s="114">
        <f>G79-I79</f>
        <v>14</v>
      </c>
      <c r="I79" s="114">
        <f>Overview!$E$14</f>
        <v>0</v>
      </c>
      <c r="J79" s="175">
        <f>I79/F79</f>
        <v>0</v>
      </c>
      <c r="K79" s="174">
        <f>Overview!$H$14</f>
        <v>0</v>
      </c>
      <c r="L79" s="176" t="e">
        <f>(K79-J79)/K79</f>
        <v>#DIV/0!</v>
      </c>
      <c r="M79" s="179" t="s">
        <v>951</v>
      </c>
      <c r="N79" s="179" t="s">
        <v>963</v>
      </c>
      <c r="O79" s="141">
        <f>I79</f>
        <v>0</v>
      </c>
      <c r="P79" s="181" t="b">
        <f>COUNTIF('Facility Data'!$A$1:$A$1500,"*"&amp;A79&amp;"*")&gt;0</f>
        <v>0</v>
      </c>
      <c r="Q79" s="181" t="b">
        <f>COUNTIF('Account Data'!$A$1:$A$1000,"*"&amp;A79&amp;"*")&gt;0</f>
        <v>1</v>
      </c>
      <c r="R79" s="182" t="b">
        <f t="shared" ref="R79:R110" si="18">IF(OR(P79=TRUE,T79=TRUE),TRUE,FALSE)</f>
        <v>0</v>
      </c>
      <c r="S79" s="182" t="b">
        <f>IF(OR(Q79=TRUE,T79=TRUE),TRUE,FALSE)</f>
        <v>1</v>
      </c>
      <c r="T79" s="181" t="b">
        <f>COUNTIF('New Items'!$A$1:$A$175,A79)&gt;0</f>
        <v>0</v>
      </c>
      <c r="U79" s="181" t="b">
        <f>COUNTIF(Discontinued!$A$1:$A$150,A79)&gt;0</f>
        <v>0</v>
      </c>
    </row>
    <row r="80" spans="1:21" s="8" customFormat="1" ht="11.25" x14ac:dyDescent="0.2">
      <c r="A80" s="152">
        <v>10002434</v>
      </c>
      <c r="B80" s="231" t="s">
        <v>56</v>
      </c>
      <c r="C80" s="118" t="s">
        <v>93</v>
      </c>
      <c r="D80" s="119" t="s">
        <v>2807</v>
      </c>
      <c r="E80" s="118" t="s">
        <v>769</v>
      </c>
      <c r="F80" s="120">
        <v>2</v>
      </c>
      <c r="G80" s="121">
        <f>Overview!$B$14</f>
        <v>14</v>
      </c>
      <c r="H80" s="114">
        <f t="shared" ref="H80:H149" si="19">G80-I80</f>
        <v>14</v>
      </c>
      <c r="I80" s="114">
        <f>Overview!$E$14</f>
        <v>0</v>
      </c>
      <c r="J80" s="175">
        <f t="shared" ref="J80:J149" si="20">I80/F80</f>
        <v>0</v>
      </c>
      <c r="K80" s="174">
        <f>Overview!$H$14</f>
        <v>0</v>
      </c>
      <c r="L80" s="176" t="e">
        <f t="shared" ref="L80:L149" si="21">(K80-J80)/K80</f>
        <v>#DIV/0!</v>
      </c>
      <c r="M80" s="179" t="s">
        <v>951</v>
      </c>
      <c r="N80" s="179" t="s">
        <v>963</v>
      </c>
      <c r="O80" s="141">
        <f>I80</f>
        <v>0</v>
      </c>
      <c r="P80" s="181" t="b">
        <f>COUNTIF('Facility Data'!$A$1:$A$1500,"*"&amp;A80&amp;"*")&gt;0</f>
        <v>0</v>
      </c>
      <c r="Q80" s="181" t="b">
        <f>COUNTIF('Account Data'!$A$1:$A$1000,"*"&amp;A80&amp;"*")&gt;0</f>
        <v>1</v>
      </c>
      <c r="R80" s="182" t="b">
        <f t="shared" si="18"/>
        <v>0</v>
      </c>
      <c r="S80" s="182" t="b">
        <f>IF(OR(Q80=TRUE,T80=TRUE),TRUE,FALSE)</f>
        <v>1</v>
      </c>
      <c r="T80" s="181" t="b">
        <f>COUNTIF('New Items'!$A$1:$A$175,A80)&gt;0</f>
        <v>0</v>
      </c>
      <c r="U80" s="181" t="b">
        <f>COUNTIF(Discontinued!$A$1:$A$150,A80)&gt;0</f>
        <v>0</v>
      </c>
    </row>
    <row r="81" spans="1:21" s="8" customFormat="1" ht="11.25" x14ac:dyDescent="0.2">
      <c r="A81" s="152">
        <v>10033032</v>
      </c>
      <c r="B81" s="231" t="s">
        <v>2805</v>
      </c>
      <c r="C81" s="118" t="s">
        <v>93</v>
      </c>
      <c r="D81" s="119" t="s">
        <v>2808</v>
      </c>
      <c r="E81" s="118" t="s">
        <v>769</v>
      </c>
      <c r="F81" s="120">
        <v>2</v>
      </c>
      <c r="G81" s="121">
        <f>Overview!$B$14</f>
        <v>14</v>
      </c>
      <c r="H81" s="114">
        <f t="shared" si="19"/>
        <v>14</v>
      </c>
      <c r="I81" s="114">
        <f>Overview!$E$14</f>
        <v>0</v>
      </c>
      <c r="J81" s="175">
        <f t="shared" si="20"/>
        <v>0</v>
      </c>
      <c r="K81" s="174">
        <f>Overview!$H$14</f>
        <v>0</v>
      </c>
      <c r="L81" s="176" t="e">
        <f t="shared" si="21"/>
        <v>#DIV/0!</v>
      </c>
      <c r="M81" s="179" t="s">
        <v>3393</v>
      </c>
      <c r="N81" s="179" t="s">
        <v>963</v>
      </c>
      <c r="O81" s="141">
        <f>I81</f>
        <v>0</v>
      </c>
      <c r="P81" s="181" t="b">
        <f>COUNTIF('Facility Data'!$A$1:$A$1500,"*"&amp;A81&amp;"*")&gt;0</f>
        <v>0</v>
      </c>
      <c r="Q81" s="181" t="b">
        <f>COUNTIF('Account Data'!$A$1:$A$1000,"*"&amp;A81&amp;"*")&gt;0</f>
        <v>0</v>
      </c>
      <c r="R81" s="182" t="b">
        <f t="shared" si="18"/>
        <v>0</v>
      </c>
      <c r="S81" s="182" t="b">
        <f>IF(OR(Q81=TRUE,T81=TRUE),TRUE,FALSE)</f>
        <v>0</v>
      </c>
      <c r="T81" s="181" t="b">
        <f>COUNTIF('New Items'!$A$1:$A$175,A81)&gt;0</f>
        <v>0</v>
      </c>
      <c r="U81" s="181" t="b">
        <f>COUNTIF(Discontinued!$A$1:$A$150,A81)&gt;0</f>
        <v>0</v>
      </c>
    </row>
    <row r="82" spans="1:21" s="8" customFormat="1" ht="11.25" x14ac:dyDescent="0.2">
      <c r="A82" s="290">
        <v>10136728</v>
      </c>
      <c r="B82" s="231" t="s">
        <v>4711</v>
      </c>
      <c r="C82" s="118" t="s">
        <v>4712</v>
      </c>
      <c r="D82" s="119" t="s">
        <v>4713</v>
      </c>
      <c r="E82" s="118" t="s">
        <v>769</v>
      </c>
      <c r="F82" s="120">
        <v>2</v>
      </c>
      <c r="G82" s="121">
        <f>Overview!$B$14</f>
        <v>14</v>
      </c>
      <c r="H82" s="114">
        <f>G82-I82</f>
        <v>14</v>
      </c>
      <c r="I82" s="114">
        <f>Overview!$E$14</f>
        <v>0</v>
      </c>
      <c r="J82" s="175">
        <f>I82/F82</f>
        <v>0</v>
      </c>
      <c r="K82" s="174">
        <f>Overview!$H$14</f>
        <v>0</v>
      </c>
      <c r="L82" s="176" t="e">
        <f>(K82-J82)/K82</f>
        <v>#DIV/0!</v>
      </c>
      <c r="M82" s="179" t="s">
        <v>951</v>
      </c>
      <c r="N82" s="179" t="s">
        <v>963</v>
      </c>
      <c r="O82" s="141">
        <f>I82</f>
        <v>0</v>
      </c>
      <c r="P82" s="181" t="b">
        <f>COUNTIF('Facility Data'!$A$1:$A$1500,"*"&amp;A82&amp;"*")&gt;0</f>
        <v>0</v>
      </c>
      <c r="Q82" s="181" t="b">
        <f>COUNTIF('Account Data'!$A$1:$A$1000,"*"&amp;A82&amp;"*")&gt;0</f>
        <v>0</v>
      </c>
      <c r="R82" s="182" t="b">
        <f>IF(OR(P82=TRUE,T82=TRUE),TRUE,FALSE)</f>
        <v>1</v>
      </c>
      <c r="S82" s="182" t="b">
        <f>IF(OR(Q82=TRUE,T82=TRUE),TRUE,FALSE)</f>
        <v>1</v>
      </c>
      <c r="T82" s="181" t="b">
        <f>COUNTIF('New Items'!$A$1:$A$175,A82)&gt;0</f>
        <v>1</v>
      </c>
      <c r="U82" s="181" t="b">
        <f>COUNTIF(Discontinued!$A$1:$A$150,A82)&gt;0</f>
        <v>0</v>
      </c>
    </row>
    <row r="83" spans="1:21" s="8" customFormat="1" ht="11.25" x14ac:dyDescent="0.2">
      <c r="A83" s="152">
        <v>10001754</v>
      </c>
      <c r="B83" s="231" t="s">
        <v>1717</v>
      </c>
      <c r="C83" s="118" t="s">
        <v>85</v>
      </c>
      <c r="D83" s="119" t="s">
        <v>2811</v>
      </c>
      <c r="E83" s="118" t="s">
        <v>769</v>
      </c>
      <c r="F83" s="120">
        <v>2</v>
      </c>
      <c r="G83" s="121">
        <f>Overview!$B$14</f>
        <v>14</v>
      </c>
      <c r="H83" s="114">
        <f t="shared" si="19"/>
        <v>14</v>
      </c>
      <c r="I83" s="114">
        <f>Overview!$E$14</f>
        <v>0</v>
      </c>
      <c r="J83" s="175">
        <f t="shared" si="20"/>
        <v>0</v>
      </c>
      <c r="K83" s="174">
        <f>Overview!$H$14</f>
        <v>0</v>
      </c>
      <c r="L83" s="176" t="e">
        <f t="shared" si="21"/>
        <v>#DIV/0!</v>
      </c>
      <c r="M83" s="179" t="s">
        <v>951</v>
      </c>
      <c r="N83" s="179" t="s">
        <v>963</v>
      </c>
      <c r="O83" s="141">
        <f t="shared" ref="O83:O176" si="22">I83</f>
        <v>0</v>
      </c>
      <c r="P83" s="181" t="b">
        <f>COUNTIF('Facility Data'!$A$1:$A$1500,"*"&amp;A83&amp;"*")&gt;0</f>
        <v>0</v>
      </c>
      <c r="Q83" s="181" t="b">
        <f>COUNTIF('Account Data'!$A$1:$A$1000,"*"&amp;A83&amp;"*")&gt;0</f>
        <v>1</v>
      </c>
      <c r="R83" s="182" t="b">
        <f t="shared" si="18"/>
        <v>0</v>
      </c>
      <c r="S83" s="182" t="b">
        <f t="shared" ref="S83:S164" si="23">IF(OR(Q83=TRUE,T83=TRUE),TRUE,FALSE)</f>
        <v>1</v>
      </c>
      <c r="T83" s="181" t="b">
        <f>COUNTIF('New Items'!$A$1:$A$175,A83)&gt;0</f>
        <v>0</v>
      </c>
      <c r="U83" s="181" t="b">
        <f>COUNTIF(Discontinued!$A$1:$A$150,A83)&gt;0</f>
        <v>0</v>
      </c>
    </row>
    <row r="84" spans="1:21" s="8" customFormat="1" ht="11.25" x14ac:dyDescent="0.2">
      <c r="A84" s="152">
        <v>10002435</v>
      </c>
      <c r="B84" s="231" t="s">
        <v>46</v>
      </c>
      <c r="C84" s="118" t="s">
        <v>85</v>
      </c>
      <c r="D84" s="119" t="s">
        <v>2810</v>
      </c>
      <c r="E84" s="118" t="s">
        <v>769</v>
      </c>
      <c r="F84" s="120">
        <v>2</v>
      </c>
      <c r="G84" s="121">
        <f>Overview!$B$14</f>
        <v>14</v>
      </c>
      <c r="H84" s="114">
        <f t="shared" si="19"/>
        <v>14</v>
      </c>
      <c r="I84" s="114">
        <f>Overview!$E$14</f>
        <v>0</v>
      </c>
      <c r="J84" s="175">
        <f t="shared" si="20"/>
        <v>0</v>
      </c>
      <c r="K84" s="174">
        <f>Overview!$H$14</f>
        <v>0</v>
      </c>
      <c r="L84" s="176" t="e">
        <f t="shared" si="21"/>
        <v>#DIV/0!</v>
      </c>
      <c r="M84" s="179" t="s">
        <v>951</v>
      </c>
      <c r="N84" s="179" t="s">
        <v>963</v>
      </c>
      <c r="O84" s="141">
        <f>I84</f>
        <v>0</v>
      </c>
      <c r="P84" s="181" t="b">
        <f>COUNTIF('Facility Data'!$A$1:$A$1500,"*"&amp;A84&amp;"*")&gt;0</f>
        <v>0</v>
      </c>
      <c r="Q84" s="181" t="b">
        <f>COUNTIF('Account Data'!$A$1:$A$1000,"*"&amp;A84&amp;"*")&gt;0</f>
        <v>1</v>
      </c>
      <c r="R84" s="182" t="b">
        <f t="shared" si="18"/>
        <v>0</v>
      </c>
      <c r="S84" s="182" t="b">
        <f t="shared" si="23"/>
        <v>1</v>
      </c>
      <c r="T84" s="181" t="b">
        <f>COUNTIF('New Items'!$A$1:$A$175,A84)&gt;0</f>
        <v>0</v>
      </c>
      <c r="U84" s="181" t="b">
        <f>COUNTIF(Discontinued!$A$1:$A$150,A84)&gt;0</f>
        <v>0</v>
      </c>
    </row>
    <row r="85" spans="1:21" s="8" customFormat="1" ht="11.25" x14ac:dyDescent="0.2">
      <c r="A85" s="152">
        <v>10033031</v>
      </c>
      <c r="B85" s="231" t="s">
        <v>2809</v>
      </c>
      <c r="C85" s="118" t="s">
        <v>85</v>
      </c>
      <c r="D85" s="119" t="s">
        <v>2812</v>
      </c>
      <c r="E85" s="118" t="s">
        <v>769</v>
      </c>
      <c r="F85" s="120">
        <v>2</v>
      </c>
      <c r="G85" s="121">
        <f>Overview!$B$14</f>
        <v>14</v>
      </c>
      <c r="H85" s="114">
        <f t="shared" si="19"/>
        <v>14</v>
      </c>
      <c r="I85" s="114">
        <f>Overview!$E$14</f>
        <v>0</v>
      </c>
      <c r="J85" s="175">
        <f t="shared" si="20"/>
        <v>0</v>
      </c>
      <c r="K85" s="174">
        <f>Overview!$H$14</f>
        <v>0</v>
      </c>
      <c r="L85" s="176" t="e">
        <f t="shared" si="21"/>
        <v>#DIV/0!</v>
      </c>
      <c r="M85" s="179" t="s">
        <v>3393</v>
      </c>
      <c r="N85" s="179" t="s">
        <v>963</v>
      </c>
      <c r="O85" s="141">
        <f t="shared" si="22"/>
        <v>0</v>
      </c>
      <c r="P85" s="181" t="b">
        <f>COUNTIF('Facility Data'!$A$1:$A$1500,"*"&amp;A85&amp;"*")&gt;0</f>
        <v>0</v>
      </c>
      <c r="Q85" s="181" t="b">
        <f>COUNTIF('Account Data'!$A$1:$A$1000,"*"&amp;A85&amp;"*")&gt;0</f>
        <v>0</v>
      </c>
      <c r="R85" s="182" t="b">
        <f t="shared" si="18"/>
        <v>0</v>
      </c>
      <c r="S85" s="182" t="b">
        <f t="shared" si="23"/>
        <v>0</v>
      </c>
      <c r="T85" s="181" t="b">
        <f>COUNTIF('New Items'!$A$1:$A$175,A85)&gt;0</f>
        <v>0</v>
      </c>
      <c r="U85" s="181" t="b">
        <f>COUNTIF(Discontinued!$A$1:$A$150,A85)&gt;0</f>
        <v>0</v>
      </c>
    </row>
    <row r="86" spans="1:21" s="8" customFormat="1" ht="11.25" x14ac:dyDescent="0.2">
      <c r="A86" s="152">
        <v>10127331</v>
      </c>
      <c r="B86" s="231" t="s">
        <v>3758</v>
      </c>
      <c r="C86" s="118" t="s">
        <v>3760</v>
      </c>
      <c r="D86" s="119" t="s">
        <v>3761</v>
      </c>
      <c r="E86" s="118" t="s">
        <v>769</v>
      </c>
      <c r="F86" s="120">
        <v>2</v>
      </c>
      <c r="G86" s="121">
        <f>Overview!$B$14</f>
        <v>14</v>
      </c>
      <c r="H86" s="114">
        <f>G86-I86</f>
        <v>14</v>
      </c>
      <c r="I86" s="114">
        <f>Overview!$E$14</f>
        <v>0</v>
      </c>
      <c r="J86" s="175">
        <f>I86/F86</f>
        <v>0</v>
      </c>
      <c r="K86" s="174">
        <f>Overview!$H$14</f>
        <v>0</v>
      </c>
      <c r="L86" s="176" t="e">
        <f>(K86-J86)/K86</f>
        <v>#DIV/0!</v>
      </c>
      <c r="M86" s="179" t="s">
        <v>951</v>
      </c>
      <c r="N86" s="179" t="s">
        <v>963</v>
      </c>
      <c r="O86" s="141">
        <f>I86</f>
        <v>0</v>
      </c>
      <c r="P86" s="181" t="b">
        <f>COUNTIF('Facility Data'!$A$1:$A$1500,"*"&amp;A86&amp;"*")&gt;0</f>
        <v>0</v>
      </c>
      <c r="Q86" s="181" t="b">
        <f>COUNTIF('Account Data'!$A$1:$A$1000,"*"&amp;A86&amp;"*")&gt;0</f>
        <v>0</v>
      </c>
      <c r="R86" s="182" t="b">
        <f>IF(OR(P86=TRUE,T86=TRUE),TRUE,FALSE)</f>
        <v>0</v>
      </c>
      <c r="S86" s="182" t="b">
        <f>IF(OR(Q86=TRUE,T86=TRUE),TRUE,FALSE)</f>
        <v>0</v>
      </c>
      <c r="T86" s="181" t="b">
        <f>COUNTIF('New Items'!$A$1:$A$175,A86)&gt;0</f>
        <v>0</v>
      </c>
      <c r="U86" s="181" t="b">
        <f>COUNTIF(Discontinued!$A$1:$A$150,A86)&gt;0</f>
        <v>0</v>
      </c>
    </row>
    <row r="87" spans="1:21" s="8" customFormat="1" ht="11.25" x14ac:dyDescent="0.2">
      <c r="A87" s="290">
        <v>10136730</v>
      </c>
      <c r="B87" s="231" t="s">
        <v>4730</v>
      </c>
      <c r="C87" s="118" t="s">
        <v>4731</v>
      </c>
      <c r="D87" s="119" t="s">
        <v>4729</v>
      </c>
      <c r="E87" s="118" t="s">
        <v>769</v>
      </c>
      <c r="F87" s="120">
        <v>2</v>
      </c>
      <c r="G87" s="121">
        <f>Overview!$B$14</f>
        <v>14</v>
      </c>
      <c r="H87" s="114">
        <f>G87-I87</f>
        <v>14</v>
      </c>
      <c r="I87" s="114">
        <f>Overview!$E$14</f>
        <v>0</v>
      </c>
      <c r="J87" s="175">
        <f>I87/F87</f>
        <v>0</v>
      </c>
      <c r="K87" s="174">
        <f>Overview!$H$14</f>
        <v>0</v>
      </c>
      <c r="L87" s="176" t="e">
        <f>(K87-J87)/K87</f>
        <v>#DIV/0!</v>
      </c>
      <c r="M87" s="179" t="s">
        <v>951</v>
      </c>
      <c r="N87" s="179" t="s">
        <v>963</v>
      </c>
      <c r="O87" s="141">
        <f>I87</f>
        <v>0</v>
      </c>
      <c r="P87" s="181" t="b">
        <f>COUNTIF('Facility Data'!$A$1:$A$1500,"*"&amp;A87&amp;"*")&gt;0</f>
        <v>0</v>
      </c>
      <c r="Q87" s="181" t="b">
        <f>COUNTIF('Account Data'!$A$1:$A$1000,"*"&amp;A87&amp;"*")&gt;0</f>
        <v>0</v>
      </c>
      <c r="R87" s="182" t="b">
        <f>IF(OR(P87=TRUE,T87=TRUE),TRUE,FALSE)</f>
        <v>1</v>
      </c>
      <c r="S87" s="182" t="b">
        <f>IF(OR(Q87=TRUE,T87=TRUE),TRUE,FALSE)</f>
        <v>1</v>
      </c>
      <c r="T87" s="181" t="b">
        <f>COUNTIF('New Items'!$A$1:$A$175,A87)&gt;0</f>
        <v>1</v>
      </c>
      <c r="U87" s="181" t="b">
        <f>COUNTIF(Discontinued!$A$1:$A$150,A87)&gt;0</f>
        <v>0</v>
      </c>
    </row>
    <row r="88" spans="1:21" s="8" customFormat="1" ht="11.25" x14ac:dyDescent="0.2">
      <c r="A88" s="152">
        <v>10001749</v>
      </c>
      <c r="B88" s="231" t="s">
        <v>58</v>
      </c>
      <c r="C88" s="118" t="s">
        <v>95</v>
      </c>
      <c r="D88" s="119" t="s">
        <v>632</v>
      </c>
      <c r="E88" s="118" t="s">
        <v>769</v>
      </c>
      <c r="F88" s="120">
        <v>2</v>
      </c>
      <c r="G88" s="121">
        <f>Overview!$B$14</f>
        <v>14</v>
      </c>
      <c r="H88" s="114">
        <f>G88-I88</f>
        <v>14</v>
      </c>
      <c r="I88" s="114">
        <f>Overview!$E$14</f>
        <v>0</v>
      </c>
      <c r="J88" s="175">
        <f>I88/F88</f>
        <v>0</v>
      </c>
      <c r="K88" s="174">
        <f>Overview!$H$14</f>
        <v>0</v>
      </c>
      <c r="L88" s="176" t="e">
        <f>(K88-J88)/K88</f>
        <v>#DIV/0!</v>
      </c>
      <c r="M88" s="179" t="s">
        <v>951</v>
      </c>
      <c r="N88" s="179" t="s">
        <v>963</v>
      </c>
      <c r="O88" s="141">
        <f>I88</f>
        <v>0</v>
      </c>
      <c r="P88" s="181" t="b">
        <f>COUNTIF('Facility Data'!$A$1:$A$1500,"*"&amp;A88&amp;"*")&gt;0</f>
        <v>0</v>
      </c>
      <c r="Q88" s="181" t="b">
        <f>COUNTIF('Account Data'!$A$1:$A$1000,"*"&amp;A88&amp;"*")&gt;0</f>
        <v>1</v>
      </c>
      <c r="R88" s="182" t="b">
        <f t="shared" si="18"/>
        <v>0</v>
      </c>
      <c r="S88" s="182" t="b">
        <f>IF(OR(Q88=TRUE,T88=TRUE),TRUE,FALSE)</f>
        <v>1</v>
      </c>
      <c r="T88" s="181" t="b">
        <f>COUNTIF('New Items'!$A$1:$A$175,A88)&gt;0</f>
        <v>0</v>
      </c>
      <c r="U88" s="181" t="b">
        <f>COUNTIF(Discontinued!$A$1:$A$150,A88)&gt;0</f>
        <v>0</v>
      </c>
    </row>
    <row r="89" spans="1:21" s="8" customFormat="1" ht="11.25" x14ac:dyDescent="0.2">
      <c r="A89" s="290">
        <v>10136733</v>
      </c>
      <c r="B89" s="231" t="s">
        <v>4720</v>
      </c>
      <c r="C89" s="118" t="s">
        <v>4722</v>
      </c>
      <c r="D89" s="119" t="s">
        <v>4721</v>
      </c>
      <c r="E89" s="118" t="s">
        <v>769</v>
      </c>
      <c r="F89" s="120">
        <v>2</v>
      </c>
      <c r="G89" s="121">
        <f>Overview!$B$14</f>
        <v>14</v>
      </c>
      <c r="H89" s="114">
        <f>G89-I89</f>
        <v>14</v>
      </c>
      <c r="I89" s="114">
        <f>Overview!$E$14</f>
        <v>0</v>
      </c>
      <c r="J89" s="175">
        <f>I89/F89</f>
        <v>0</v>
      </c>
      <c r="K89" s="174">
        <f>Overview!$H$14</f>
        <v>0</v>
      </c>
      <c r="L89" s="176" t="e">
        <f>(K89-J89)/K89</f>
        <v>#DIV/0!</v>
      </c>
      <c r="M89" s="179" t="s">
        <v>951</v>
      </c>
      <c r="N89" s="179" t="s">
        <v>963</v>
      </c>
      <c r="O89" s="141">
        <f>I89</f>
        <v>0</v>
      </c>
      <c r="P89" s="181" t="b">
        <f>COUNTIF('Facility Data'!$A$1:$A$1500,"*"&amp;A89&amp;"*")&gt;0</f>
        <v>0</v>
      </c>
      <c r="Q89" s="181" t="b">
        <f>COUNTIF('Account Data'!$A$1:$A$1000,"*"&amp;A89&amp;"*")&gt;0</f>
        <v>0</v>
      </c>
      <c r="R89" s="182" t="b">
        <f>IF(OR(P89=TRUE,T89=TRUE),TRUE,FALSE)</f>
        <v>1</v>
      </c>
      <c r="S89" s="182" t="b">
        <f>IF(OR(Q89=TRUE,T89=TRUE),TRUE,FALSE)</f>
        <v>1</v>
      </c>
      <c r="T89" s="181" t="b">
        <f>COUNTIF('New Items'!$A$1:$A$175,A89)&gt;0</f>
        <v>1</v>
      </c>
      <c r="U89" s="181" t="b">
        <f>COUNTIF(Discontinued!$A$1:$A$150,A89)&gt;0</f>
        <v>0</v>
      </c>
    </row>
    <row r="90" spans="1:21" s="8" customFormat="1" ht="11.25" x14ac:dyDescent="0.2">
      <c r="A90" s="152">
        <v>10000875</v>
      </c>
      <c r="B90" s="231" t="s">
        <v>1378</v>
      </c>
      <c r="C90" s="118" t="s">
        <v>1379</v>
      </c>
      <c r="D90" s="119" t="s">
        <v>1377</v>
      </c>
      <c r="E90" s="118" t="s">
        <v>769</v>
      </c>
      <c r="F90" s="120">
        <v>2</v>
      </c>
      <c r="G90" s="121">
        <f>Overview!$B$14</f>
        <v>14</v>
      </c>
      <c r="H90" s="114">
        <f t="shared" si="19"/>
        <v>14</v>
      </c>
      <c r="I90" s="114">
        <f>Overview!$E$14</f>
        <v>0</v>
      </c>
      <c r="J90" s="175">
        <f t="shared" si="20"/>
        <v>0</v>
      </c>
      <c r="K90" s="174">
        <f>Overview!$H$14</f>
        <v>0</v>
      </c>
      <c r="L90" s="176" t="e">
        <f t="shared" si="21"/>
        <v>#DIV/0!</v>
      </c>
      <c r="M90" s="179" t="s">
        <v>951</v>
      </c>
      <c r="N90" s="179" t="s">
        <v>963</v>
      </c>
      <c r="O90" s="141">
        <f t="shared" si="22"/>
        <v>0</v>
      </c>
      <c r="P90" s="181" t="b">
        <f>COUNTIF('Facility Data'!$A$1:$A$1500,"*"&amp;A90&amp;"*")&gt;0</f>
        <v>0</v>
      </c>
      <c r="Q90" s="181" t="b">
        <f>COUNTIF('Account Data'!$A$1:$A$1000,"*"&amp;A90&amp;"*")&gt;0</f>
        <v>0</v>
      </c>
      <c r="R90" s="182" t="b">
        <f t="shared" si="18"/>
        <v>0</v>
      </c>
      <c r="S90" s="182" t="b">
        <f t="shared" si="23"/>
        <v>0</v>
      </c>
      <c r="T90" s="181" t="b">
        <f>COUNTIF('New Items'!$A$1:$A$175,A90)&gt;0</f>
        <v>0</v>
      </c>
      <c r="U90" s="181" t="b">
        <f>COUNTIF(Discontinued!$A$1:$A$150,A90)&gt;0</f>
        <v>0</v>
      </c>
    </row>
    <row r="91" spans="1:21" s="8" customFormat="1" ht="11.25" x14ac:dyDescent="0.2">
      <c r="A91" s="152">
        <v>10000835</v>
      </c>
      <c r="B91" s="231" t="s">
        <v>50</v>
      </c>
      <c r="C91" s="118" t="s">
        <v>88</v>
      </c>
      <c r="D91" s="119" t="s">
        <v>642</v>
      </c>
      <c r="E91" s="118" t="s">
        <v>769</v>
      </c>
      <c r="F91" s="120">
        <v>2</v>
      </c>
      <c r="G91" s="121">
        <f>Overview!$B$14</f>
        <v>14</v>
      </c>
      <c r="H91" s="114">
        <f t="shared" si="19"/>
        <v>14</v>
      </c>
      <c r="I91" s="114">
        <f>Overview!$E$14</f>
        <v>0</v>
      </c>
      <c r="J91" s="175">
        <f t="shared" si="20"/>
        <v>0</v>
      </c>
      <c r="K91" s="174">
        <f>Overview!$H$14</f>
        <v>0</v>
      </c>
      <c r="L91" s="176" t="e">
        <f t="shared" si="21"/>
        <v>#DIV/0!</v>
      </c>
      <c r="M91" s="179" t="s">
        <v>951</v>
      </c>
      <c r="N91" s="179" t="s">
        <v>963</v>
      </c>
      <c r="O91" s="141">
        <f t="shared" si="22"/>
        <v>0</v>
      </c>
      <c r="P91" s="181" t="b">
        <f>COUNTIF('Facility Data'!$A$1:$A$1500,"*"&amp;A91&amp;"*")&gt;0</f>
        <v>0</v>
      </c>
      <c r="Q91" s="181" t="b">
        <f>COUNTIF('Account Data'!$A$1:$A$1000,"*"&amp;A91&amp;"*")&gt;0</f>
        <v>1</v>
      </c>
      <c r="R91" s="182" t="b">
        <f t="shared" si="18"/>
        <v>0</v>
      </c>
      <c r="S91" s="182" t="b">
        <f t="shared" si="23"/>
        <v>1</v>
      </c>
      <c r="T91" s="181" t="b">
        <f>COUNTIF('New Items'!$A$1:$A$175,A91)&gt;0</f>
        <v>0</v>
      </c>
      <c r="U91" s="181" t="b">
        <f>COUNTIF(Discontinued!$A$1:$A$150,A91)&gt;0</f>
        <v>0</v>
      </c>
    </row>
    <row r="92" spans="1:21" s="8" customFormat="1" ht="11.25" x14ac:dyDescent="0.2">
      <c r="A92" s="152">
        <v>10002778</v>
      </c>
      <c r="B92" s="231" t="s">
        <v>55</v>
      </c>
      <c r="C92" s="118" t="s">
        <v>92</v>
      </c>
      <c r="D92" s="119" t="s">
        <v>920</v>
      </c>
      <c r="E92" s="118" t="s">
        <v>769</v>
      </c>
      <c r="F92" s="120">
        <v>2</v>
      </c>
      <c r="G92" s="121">
        <f>Overview!$B$14</f>
        <v>14</v>
      </c>
      <c r="H92" s="114">
        <f>G92-I92</f>
        <v>14</v>
      </c>
      <c r="I92" s="114">
        <f>Overview!$E$14</f>
        <v>0</v>
      </c>
      <c r="J92" s="175">
        <f>I92/F92</f>
        <v>0</v>
      </c>
      <c r="K92" s="174">
        <f>Overview!$H$14</f>
        <v>0</v>
      </c>
      <c r="L92" s="176" t="e">
        <f>(K92-J92)/K92</f>
        <v>#DIV/0!</v>
      </c>
      <c r="M92" s="179" t="s">
        <v>951</v>
      </c>
      <c r="N92" s="179" t="s">
        <v>963</v>
      </c>
      <c r="O92" s="141">
        <f>I92</f>
        <v>0</v>
      </c>
      <c r="P92" s="181" t="b">
        <f>COUNTIF('Facility Data'!$A$1:$A$1500,"*"&amp;A92&amp;"*")&gt;0</f>
        <v>0</v>
      </c>
      <c r="Q92" s="181" t="b">
        <f>COUNTIF('Account Data'!$A$1:$A$1000,"*"&amp;A92&amp;"*")&gt;0</f>
        <v>1</v>
      </c>
      <c r="R92" s="182" t="b">
        <f t="shared" si="18"/>
        <v>0</v>
      </c>
      <c r="S92" s="182" t="b">
        <f>IF(OR(Q92=TRUE,T92=TRUE),TRUE,FALSE)</f>
        <v>1</v>
      </c>
      <c r="T92" s="181" t="b">
        <f>COUNTIF('New Items'!$A$1:$A$175,A92)&gt;0</f>
        <v>0</v>
      </c>
      <c r="U92" s="181" t="b">
        <f>COUNTIF(Discontinued!$A$1:$A$150,A92)&gt;0</f>
        <v>0</v>
      </c>
    </row>
    <row r="93" spans="1:21" s="8" customFormat="1" ht="11.25" x14ac:dyDescent="0.2">
      <c r="A93" s="152">
        <v>10000872</v>
      </c>
      <c r="B93" s="231" t="s">
        <v>1382</v>
      </c>
      <c r="C93" s="118" t="s">
        <v>1383</v>
      </c>
      <c r="D93" s="119" t="s">
        <v>1380</v>
      </c>
      <c r="E93" s="118" t="s">
        <v>769</v>
      </c>
      <c r="F93" s="120">
        <v>2</v>
      </c>
      <c r="G93" s="121">
        <f>Overview!$B$14</f>
        <v>14</v>
      </c>
      <c r="H93" s="114">
        <f t="shared" si="19"/>
        <v>14</v>
      </c>
      <c r="I93" s="114">
        <f>Overview!$E$14</f>
        <v>0</v>
      </c>
      <c r="J93" s="175">
        <f t="shared" si="20"/>
        <v>0</v>
      </c>
      <c r="K93" s="174">
        <f>Overview!$H$14</f>
        <v>0</v>
      </c>
      <c r="L93" s="176" t="e">
        <f t="shared" si="21"/>
        <v>#DIV/0!</v>
      </c>
      <c r="M93" s="179" t="s">
        <v>951</v>
      </c>
      <c r="N93" s="179" t="s">
        <v>963</v>
      </c>
      <c r="O93" s="141">
        <f t="shared" si="22"/>
        <v>0</v>
      </c>
      <c r="P93" s="181" t="b">
        <f>COUNTIF('Facility Data'!$A$1:$A$1500,"*"&amp;A93&amp;"*")&gt;0</f>
        <v>0</v>
      </c>
      <c r="Q93" s="181" t="b">
        <f>COUNTIF('Account Data'!$A$1:$A$1000,"*"&amp;A93&amp;"*")&gt;0</f>
        <v>0</v>
      </c>
      <c r="R93" s="182" t="b">
        <f t="shared" si="18"/>
        <v>0</v>
      </c>
      <c r="S93" s="182" t="b">
        <f t="shared" si="23"/>
        <v>0</v>
      </c>
      <c r="T93" s="181" t="b">
        <f>COUNTIF('New Items'!$A$1:$A$175,A93)&gt;0</f>
        <v>0</v>
      </c>
      <c r="U93" s="181" t="b">
        <f>COUNTIF(Discontinued!$A$1:$A$150,A93)&gt;0</f>
        <v>0</v>
      </c>
    </row>
    <row r="94" spans="1:21" s="8" customFormat="1" ht="11.25" x14ac:dyDescent="0.2">
      <c r="A94" s="152">
        <v>10000873</v>
      </c>
      <c r="B94" s="231" t="s">
        <v>1384</v>
      </c>
      <c r="C94" s="118" t="s">
        <v>1385</v>
      </c>
      <c r="D94" s="119" t="s">
        <v>1381</v>
      </c>
      <c r="E94" s="118" t="s">
        <v>769</v>
      </c>
      <c r="F94" s="120">
        <v>2</v>
      </c>
      <c r="G94" s="121">
        <f>Overview!$B$14</f>
        <v>14</v>
      </c>
      <c r="H94" s="114">
        <f t="shared" si="19"/>
        <v>14</v>
      </c>
      <c r="I94" s="114">
        <f>Overview!$E$14</f>
        <v>0</v>
      </c>
      <c r="J94" s="175">
        <f t="shared" si="20"/>
        <v>0</v>
      </c>
      <c r="K94" s="174">
        <f>Overview!$H$14</f>
        <v>0</v>
      </c>
      <c r="L94" s="176" t="e">
        <f t="shared" si="21"/>
        <v>#DIV/0!</v>
      </c>
      <c r="M94" s="179" t="s">
        <v>951</v>
      </c>
      <c r="N94" s="179" t="s">
        <v>963</v>
      </c>
      <c r="O94" s="141">
        <f t="shared" si="22"/>
        <v>0</v>
      </c>
      <c r="P94" s="181" t="b">
        <f>COUNTIF('Facility Data'!$A$1:$A$1500,"*"&amp;A94&amp;"*")&gt;0</f>
        <v>0</v>
      </c>
      <c r="Q94" s="181" t="b">
        <f>COUNTIF('Account Data'!$A$1:$A$1000,"*"&amp;A94&amp;"*")&gt;0</f>
        <v>0</v>
      </c>
      <c r="R94" s="182" t="b">
        <f t="shared" si="18"/>
        <v>0</v>
      </c>
      <c r="S94" s="182" t="b">
        <f t="shared" si="23"/>
        <v>0</v>
      </c>
      <c r="T94" s="181" t="b">
        <f>COUNTIF('New Items'!$A$1:$A$175,A94)&gt;0</f>
        <v>0</v>
      </c>
      <c r="U94" s="181" t="b">
        <f>COUNTIF(Discontinued!$A$1:$A$150,A94)&gt;0</f>
        <v>0</v>
      </c>
    </row>
    <row r="95" spans="1:21" s="8" customFormat="1" ht="11.25" x14ac:dyDescent="0.2">
      <c r="A95" s="152">
        <v>10000829</v>
      </c>
      <c r="B95" s="231" t="s">
        <v>1517</v>
      </c>
      <c r="C95" s="118" t="s">
        <v>102</v>
      </c>
      <c r="D95" s="119" t="s">
        <v>643</v>
      </c>
      <c r="E95" s="118" t="s">
        <v>769</v>
      </c>
      <c r="F95" s="120">
        <v>2</v>
      </c>
      <c r="G95" s="121">
        <f>Overview!$B$14</f>
        <v>14</v>
      </c>
      <c r="H95" s="114">
        <f t="shared" si="19"/>
        <v>14</v>
      </c>
      <c r="I95" s="114">
        <f>Overview!$E$14</f>
        <v>0</v>
      </c>
      <c r="J95" s="175">
        <f t="shared" si="20"/>
        <v>0</v>
      </c>
      <c r="K95" s="174">
        <f>Overview!$H$14</f>
        <v>0</v>
      </c>
      <c r="L95" s="176" t="e">
        <f t="shared" si="21"/>
        <v>#DIV/0!</v>
      </c>
      <c r="M95" s="179"/>
      <c r="N95" s="179" t="s">
        <v>963</v>
      </c>
      <c r="O95" s="141">
        <f>I95</f>
        <v>0</v>
      </c>
      <c r="P95" s="181" t="b">
        <f>COUNTIF('Facility Data'!$A$1:$A$1500,"*"&amp;A95&amp;"*")&gt;0</f>
        <v>1</v>
      </c>
      <c r="Q95" s="181" t="b">
        <f>COUNTIF('Account Data'!$A$1:$A$1000,"*"&amp;A95&amp;"*")&gt;0</f>
        <v>1</v>
      </c>
      <c r="R95" s="182" t="b">
        <f t="shared" si="18"/>
        <v>1</v>
      </c>
      <c r="S95" s="182" t="b">
        <f t="shared" si="23"/>
        <v>1</v>
      </c>
      <c r="T95" s="181" t="b">
        <f>COUNTIF('New Items'!$A$1:$A$175,A95)&gt;0</f>
        <v>0</v>
      </c>
      <c r="U95" s="181" t="b">
        <f>COUNTIF(Discontinued!$A$1:$A$150,A95)&gt;0</f>
        <v>0</v>
      </c>
    </row>
    <row r="96" spans="1:21" s="8" customFormat="1" ht="11.25" x14ac:dyDescent="0.2">
      <c r="A96" s="152">
        <v>10001993</v>
      </c>
      <c r="B96" s="231" t="s">
        <v>2794</v>
      </c>
      <c r="C96" s="118" t="s">
        <v>102</v>
      </c>
      <c r="D96" s="119" t="s">
        <v>2796</v>
      </c>
      <c r="E96" s="118" t="s">
        <v>769</v>
      </c>
      <c r="F96" s="120">
        <v>2</v>
      </c>
      <c r="G96" s="121">
        <f>Overview!$B$14</f>
        <v>14</v>
      </c>
      <c r="H96" s="114">
        <f t="shared" si="19"/>
        <v>14</v>
      </c>
      <c r="I96" s="114">
        <f>Overview!$E$14</f>
        <v>0</v>
      </c>
      <c r="J96" s="175">
        <f t="shared" si="20"/>
        <v>0</v>
      </c>
      <c r="K96" s="174">
        <f>Overview!$H$14</f>
        <v>0</v>
      </c>
      <c r="L96" s="176" t="e">
        <f t="shared" si="21"/>
        <v>#DIV/0!</v>
      </c>
      <c r="M96" s="179"/>
      <c r="N96" s="179" t="s">
        <v>963</v>
      </c>
      <c r="O96" s="141">
        <f t="shared" si="22"/>
        <v>0</v>
      </c>
      <c r="P96" s="181" t="b">
        <f>COUNTIF('Facility Data'!$A$1:$A$1500,"*"&amp;A96&amp;"*")&gt;0</f>
        <v>0</v>
      </c>
      <c r="Q96" s="181" t="b">
        <f>COUNTIF('Account Data'!$A$1:$A$1000,"*"&amp;A96&amp;"*")&gt;0</f>
        <v>0</v>
      </c>
      <c r="R96" s="182" t="b">
        <f t="shared" si="18"/>
        <v>0</v>
      </c>
      <c r="S96" s="182" t="b">
        <f t="shared" si="23"/>
        <v>0</v>
      </c>
      <c r="T96" s="181" t="b">
        <f>COUNTIF('New Items'!$A$1:$A$175,A96)&gt;0</f>
        <v>0</v>
      </c>
      <c r="U96" s="181" t="b">
        <f>COUNTIF(Discontinued!$A$1:$A$150,A96)&gt;0</f>
        <v>0</v>
      </c>
    </row>
    <row r="97" spans="1:21" s="8" customFormat="1" ht="11.25" x14ac:dyDescent="0.2">
      <c r="A97" s="152">
        <v>10002431</v>
      </c>
      <c r="B97" s="231" t="s">
        <v>65</v>
      </c>
      <c r="C97" s="118" t="s">
        <v>102</v>
      </c>
      <c r="D97" s="119" t="s">
        <v>2797</v>
      </c>
      <c r="E97" s="118" t="s">
        <v>769</v>
      </c>
      <c r="F97" s="120">
        <v>2</v>
      </c>
      <c r="G97" s="121">
        <f>Overview!$B$14</f>
        <v>14</v>
      </c>
      <c r="H97" s="114">
        <f t="shared" si="19"/>
        <v>14</v>
      </c>
      <c r="I97" s="114">
        <f>Overview!$E$14</f>
        <v>0</v>
      </c>
      <c r="J97" s="175">
        <f t="shared" si="20"/>
        <v>0</v>
      </c>
      <c r="K97" s="174">
        <f>Overview!$H$14</f>
        <v>0</v>
      </c>
      <c r="L97" s="176" t="e">
        <f t="shared" si="21"/>
        <v>#DIV/0!</v>
      </c>
      <c r="M97" s="179"/>
      <c r="N97" s="179" t="s">
        <v>963</v>
      </c>
      <c r="O97" s="141">
        <f t="shared" si="22"/>
        <v>0</v>
      </c>
      <c r="P97" s="181" t="b">
        <f>COUNTIF('Facility Data'!$A$1:$A$1500,"*"&amp;A97&amp;"*")&gt;0</f>
        <v>0</v>
      </c>
      <c r="Q97" s="181" t="b">
        <f>COUNTIF('Account Data'!$A$1:$A$1000,"*"&amp;A97&amp;"*")&gt;0</f>
        <v>1</v>
      </c>
      <c r="R97" s="182" t="b">
        <f t="shared" si="18"/>
        <v>0</v>
      </c>
      <c r="S97" s="182" t="b">
        <f t="shared" si="23"/>
        <v>1</v>
      </c>
      <c r="T97" s="181" t="b">
        <f>COUNTIF('New Items'!$A$1:$A$175,A97)&gt;0</f>
        <v>0</v>
      </c>
      <c r="U97" s="181" t="b">
        <f>COUNTIF(Discontinued!$A$1:$A$150,A97)&gt;0</f>
        <v>0</v>
      </c>
    </row>
    <row r="98" spans="1:21" s="8" customFormat="1" ht="11.25" x14ac:dyDescent="0.2">
      <c r="A98" s="152">
        <v>10033036</v>
      </c>
      <c r="B98" s="231" t="s">
        <v>2795</v>
      </c>
      <c r="C98" s="118" t="s">
        <v>102</v>
      </c>
      <c r="D98" s="119" t="s">
        <v>2798</v>
      </c>
      <c r="E98" s="118" t="s">
        <v>769</v>
      </c>
      <c r="F98" s="120">
        <v>2</v>
      </c>
      <c r="G98" s="121">
        <f>Overview!$B$14</f>
        <v>14</v>
      </c>
      <c r="H98" s="114">
        <f t="shared" si="19"/>
        <v>14</v>
      </c>
      <c r="I98" s="114">
        <f>Overview!$E$14</f>
        <v>0</v>
      </c>
      <c r="J98" s="175">
        <f t="shared" si="20"/>
        <v>0</v>
      </c>
      <c r="K98" s="174">
        <f>Overview!$H$14</f>
        <v>0</v>
      </c>
      <c r="L98" s="176" t="e">
        <f t="shared" si="21"/>
        <v>#DIV/0!</v>
      </c>
      <c r="M98" s="179" t="s">
        <v>1000</v>
      </c>
      <c r="N98" s="179" t="s">
        <v>963</v>
      </c>
      <c r="O98" s="141">
        <f t="shared" ref="O98:O103" si="24">I98</f>
        <v>0</v>
      </c>
      <c r="P98" s="181" t="b">
        <f>COUNTIF('Facility Data'!$A$1:$A$1500,"*"&amp;A98&amp;"*")&gt;0</f>
        <v>0</v>
      </c>
      <c r="Q98" s="181" t="b">
        <f>COUNTIF('Account Data'!$A$1:$A$1000,"*"&amp;A98&amp;"*")&gt;0</f>
        <v>0</v>
      </c>
      <c r="R98" s="182" t="b">
        <f t="shared" si="18"/>
        <v>0</v>
      </c>
      <c r="S98" s="182" t="b">
        <f t="shared" si="23"/>
        <v>0</v>
      </c>
      <c r="T98" s="181" t="b">
        <f>COUNTIF('New Items'!$A$1:$A$175,A98)&gt;0</f>
        <v>0</v>
      </c>
      <c r="U98" s="181" t="b">
        <f>COUNTIF(Discontinued!$A$1:$A$150,A98)&gt;0</f>
        <v>0</v>
      </c>
    </row>
    <row r="99" spans="1:21" s="8" customFormat="1" ht="11.25" x14ac:dyDescent="0.2">
      <c r="A99" s="152">
        <v>10127497</v>
      </c>
      <c r="B99" s="231" t="s">
        <v>3800</v>
      </c>
      <c r="C99" s="118" t="s">
        <v>102</v>
      </c>
      <c r="D99" s="119" t="s">
        <v>3795</v>
      </c>
      <c r="E99" s="118" t="s">
        <v>769</v>
      </c>
      <c r="F99" s="120">
        <v>2</v>
      </c>
      <c r="G99" s="121">
        <f>Overview!$B$14</f>
        <v>14</v>
      </c>
      <c r="H99" s="114">
        <f>G99-I99</f>
        <v>14</v>
      </c>
      <c r="I99" s="114">
        <f>Overview!$E$14</f>
        <v>0</v>
      </c>
      <c r="J99" s="175">
        <f>I99/F99</f>
        <v>0</v>
      </c>
      <c r="K99" s="174">
        <f>Overview!$H$14</f>
        <v>0</v>
      </c>
      <c r="L99" s="176" t="e">
        <f>(K99-J99)/K99</f>
        <v>#DIV/0!</v>
      </c>
      <c r="M99" s="179" t="s">
        <v>1000</v>
      </c>
      <c r="N99" s="179" t="s">
        <v>963</v>
      </c>
      <c r="O99" s="141">
        <f t="shared" si="24"/>
        <v>0</v>
      </c>
      <c r="P99" s="181" t="b">
        <f>COUNTIF('Facility Data'!$A$1:$A$1500,"*"&amp;A99&amp;"*")&gt;0</f>
        <v>0</v>
      </c>
      <c r="Q99" s="181" t="b">
        <f>COUNTIF('Account Data'!$A$1:$A$1000,"*"&amp;A99&amp;"*")&gt;0</f>
        <v>0</v>
      </c>
      <c r="R99" s="182" t="b">
        <f t="shared" si="18"/>
        <v>0</v>
      </c>
      <c r="S99" s="182" t="b">
        <f>IF(OR(Q99=TRUE,T99=TRUE),TRUE,FALSE)</f>
        <v>0</v>
      </c>
      <c r="T99" s="181" t="b">
        <f>COUNTIF('New Items'!$A$1:$A$175,A99)&gt;0</f>
        <v>0</v>
      </c>
      <c r="U99" s="181" t="b">
        <f>COUNTIF(Discontinued!$A$1:$A$150,A99)&gt;0</f>
        <v>0</v>
      </c>
    </row>
    <row r="100" spans="1:21" s="8" customFormat="1" ht="11.25" x14ac:dyDescent="0.2">
      <c r="A100" s="152">
        <v>10000830</v>
      </c>
      <c r="B100" s="231" t="s">
        <v>4744</v>
      </c>
      <c r="C100" s="118" t="s">
        <v>91</v>
      </c>
      <c r="D100" s="119" t="s">
        <v>4733</v>
      </c>
      <c r="E100" s="118" t="s">
        <v>769</v>
      </c>
      <c r="F100" s="120">
        <v>2</v>
      </c>
      <c r="G100" s="121">
        <f>Overview!$B$14</f>
        <v>14</v>
      </c>
      <c r="H100" s="114">
        <f>G100-I100</f>
        <v>14</v>
      </c>
      <c r="I100" s="114">
        <f>Overview!$E$14</f>
        <v>0</v>
      </c>
      <c r="J100" s="175">
        <f>I100/F100</f>
        <v>0</v>
      </c>
      <c r="K100" s="174">
        <f>Overview!$H$14</f>
        <v>0</v>
      </c>
      <c r="L100" s="176" t="e">
        <f>(K100-J100)/K100</f>
        <v>#DIV/0!</v>
      </c>
      <c r="M100" s="179"/>
      <c r="N100" s="179" t="s">
        <v>963</v>
      </c>
      <c r="O100" s="141">
        <f t="shared" si="24"/>
        <v>0</v>
      </c>
      <c r="P100" s="181" t="b">
        <f>COUNTIF('Facility Data'!$A$1:$A$1500,"*"&amp;A100&amp;"*")&gt;0</f>
        <v>1</v>
      </c>
      <c r="Q100" s="181" t="b">
        <f>COUNTIF('Account Data'!$A$1:$A$1000,"*"&amp;A100&amp;"*")&gt;0</f>
        <v>1</v>
      </c>
      <c r="R100" s="182" t="b">
        <f>IF(OR(P100=TRUE,T100=TRUE),TRUE,FALSE)</f>
        <v>1</v>
      </c>
      <c r="S100" s="182" t="b">
        <f>IF(OR(Q100=TRUE,T100=TRUE),TRUE,FALSE)</f>
        <v>1</v>
      </c>
      <c r="T100" s="181" t="b">
        <f>COUNTIF('New Items'!$A$1:$A$175,A100)&gt;0</f>
        <v>0</v>
      </c>
      <c r="U100" s="181" t="b">
        <f>COUNTIF(Discontinued!$A$1:$A$150,A100)&gt;0</f>
        <v>0</v>
      </c>
    </row>
    <row r="101" spans="1:21" s="8" customFormat="1" ht="11.25" x14ac:dyDescent="0.2">
      <c r="A101" s="152">
        <v>10002009</v>
      </c>
      <c r="B101" s="231" t="s">
        <v>4745</v>
      </c>
      <c r="C101" s="118" t="s">
        <v>91</v>
      </c>
      <c r="D101" s="119" t="s">
        <v>4746</v>
      </c>
      <c r="E101" s="118" t="s">
        <v>769</v>
      </c>
      <c r="F101" s="120">
        <v>2</v>
      </c>
      <c r="G101" s="121">
        <f>Overview!$B$14</f>
        <v>14</v>
      </c>
      <c r="H101" s="114">
        <f>G101-I101</f>
        <v>14</v>
      </c>
      <c r="I101" s="114">
        <f>Overview!$E$14</f>
        <v>0</v>
      </c>
      <c r="J101" s="175">
        <f>I101/F101</f>
        <v>0</v>
      </c>
      <c r="K101" s="174">
        <f>Overview!$H$14</f>
        <v>0</v>
      </c>
      <c r="L101" s="176" t="e">
        <f>(K101-J101)/K101</f>
        <v>#DIV/0!</v>
      </c>
      <c r="M101" s="179"/>
      <c r="N101" s="179" t="s">
        <v>963</v>
      </c>
      <c r="O101" s="141">
        <f t="shared" si="24"/>
        <v>0</v>
      </c>
      <c r="P101" s="181" t="b">
        <f>COUNTIF('Facility Data'!$A$1:$A$1500,"*"&amp;A101&amp;"*")&gt;0</f>
        <v>0</v>
      </c>
      <c r="Q101" s="181" t="b">
        <f>COUNTIF('Account Data'!$A$1:$A$1000,"*"&amp;A101&amp;"*")&gt;0</f>
        <v>0</v>
      </c>
      <c r="R101" s="182" t="b">
        <f>IF(OR(P101=TRUE,T101=TRUE),TRUE,FALSE)</f>
        <v>0</v>
      </c>
      <c r="S101" s="182" t="b">
        <f>IF(OR(Q101=TRUE,T101=TRUE),TRUE,FALSE)</f>
        <v>0</v>
      </c>
      <c r="T101" s="181" t="b">
        <f>COUNTIF('New Items'!$A$1:$A$175,A101)&gt;0</f>
        <v>0</v>
      </c>
      <c r="U101" s="181" t="b">
        <f>COUNTIF(Discontinued!$A$1:$A$150,A101)&gt;0</f>
        <v>0</v>
      </c>
    </row>
    <row r="102" spans="1:21" s="8" customFormat="1" ht="11.25" x14ac:dyDescent="0.2">
      <c r="A102" s="152">
        <v>10002432</v>
      </c>
      <c r="B102" s="231" t="s">
        <v>4747</v>
      </c>
      <c r="C102" s="118" t="s">
        <v>91</v>
      </c>
      <c r="D102" s="119" t="s">
        <v>4748</v>
      </c>
      <c r="E102" s="118" t="s">
        <v>769</v>
      </c>
      <c r="F102" s="120">
        <v>2</v>
      </c>
      <c r="G102" s="121">
        <f>Overview!$B$14</f>
        <v>14</v>
      </c>
      <c r="H102" s="114">
        <f>G102-I102</f>
        <v>14</v>
      </c>
      <c r="I102" s="114">
        <f>Overview!$E$14</f>
        <v>0</v>
      </c>
      <c r="J102" s="175">
        <f>I102/F102</f>
        <v>0</v>
      </c>
      <c r="K102" s="174">
        <f>Overview!$H$14</f>
        <v>0</v>
      </c>
      <c r="L102" s="176" t="e">
        <f>(K102-J102)/K102</f>
        <v>#DIV/0!</v>
      </c>
      <c r="M102" s="179"/>
      <c r="N102" s="179" t="s">
        <v>963</v>
      </c>
      <c r="O102" s="141">
        <f t="shared" si="24"/>
        <v>0</v>
      </c>
      <c r="P102" s="181" t="b">
        <f>COUNTIF('Facility Data'!$A$1:$A$1500,"*"&amp;A102&amp;"*")&gt;0</f>
        <v>0</v>
      </c>
      <c r="Q102" s="181" t="b">
        <f>COUNTIF('Account Data'!$A$1:$A$1000,"*"&amp;A102&amp;"*")&gt;0</f>
        <v>1</v>
      </c>
      <c r="R102" s="182" t="b">
        <f>IF(OR(P102=TRUE,T102=TRUE),TRUE,FALSE)</f>
        <v>0</v>
      </c>
      <c r="S102" s="182" t="b">
        <f>IF(OR(Q102=TRUE,T102=TRUE),TRUE,FALSE)</f>
        <v>1</v>
      </c>
      <c r="T102" s="181" t="b">
        <f>COUNTIF('New Items'!$A$1:$A$175,A102)&gt;0</f>
        <v>0</v>
      </c>
      <c r="U102" s="181" t="b">
        <f>COUNTIF(Discontinued!$A$1:$A$150,A102)&gt;0</f>
        <v>0</v>
      </c>
    </row>
    <row r="103" spans="1:21" s="8" customFormat="1" ht="11.25" x14ac:dyDescent="0.2">
      <c r="A103" s="152">
        <v>10127494</v>
      </c>
      <c r="B103" s="231" t="s">
        <v>4786</v>
      </c>
      <c r="C103" s="118" t="s">
        <v>91</v>
      </c>
      <c r="D103" s="119" t="s">
        <v>4787</v>
      </c>
      <c r="E103" s="118" t="s">
        <v>769</v>
      </c>
      <c r="F103" s="120">
        <v>2</v>
      </c>
      <c r="G103" s="121">
        <f>Overview!$B$14</f>
        <v>14</v>
      </c>
      <c r="H103" s="114">
        <f>G103-I103</f>
        <v>14</v>
      </c>
      <c r="I103" s="114">
        <f>Overview!$E$14</f>
        <v>0</v>
      </c>
      <c r="J103" s="175">
        <f>I103/F103</f>
        <v>0</v>
      </c>
      <c r="K103" s="174">
        <f>Overview!$H$14</f>
        <v>0</v>
      </c>
      <c r="L103" s="176" t="e">
        <f>(K103-J103)/K103</f>
        <v>#DIV/0!</v>
      </c>
      <c r="M103" s="179" t="s">
        <v>1000</v>
      </c>
      <c r="N103" s="179" t="s">
        <v>963</v>
      </c>
      <c r="O103" s="141">
        <f t="shared" si="24"/>
        <v>0</v>
      </c>
      <c r="P103" s="181" t="b">
        <f>COUNTIF('Facility Data'!$A$1:$A$1500,"*"&amp;A103&amp;"*")&gt;0</f>
        <v>0</v>
      </c>
      <c r="Q103" s="181" t="b">
        <f>COUNTIF('Account Data'!$A$1:$A$1000,"*"&amp;A103&amp;"*")&gt;0</f>
        <v>0</v>
      </c>
      <c r="R103" s="182" t="b">
        <f t="shared" si="18"/>
        <v>0</v>
      </c>
      <c r="S103" s="182" t="b">
        <f>IF(OR(Q103=TRUE,T103=TRUE),TRUE,FALSE)</f>
        <v>0</v>
      </c>
      <c r="T103" s="181" t="b">
        <f>COUNTIF('New Items'!$A$1:$A$175,A103)&gt;0</f>
        <v>0</v>
      </c>
      <c r="U103" s="181" t="b">
        <f>COUNTIF(Discontinued!$A$1:$A$150,A103)&gt;0</f>
        <v>0</v>
      </c>
    </row>
    <row r="104" spans="1:21" s="8" customFormat="1" ht="11.25" x14ac:dyDescent="0.2">
      <c r="A104" s="152">
        <v>10000833</v>
      </c>
      <c r="B104" s="231" t="s">
        <v>59</v>
      </c>
      <c r="C104" s="118" t="s">
        <v>96</v>
      </c>
      <c r="D104" s="119" t="s">
        <v>633</v>
      </c>
      <c r="E104" s="118" t="s">
        <v>769</v>
      </c>
      <c r="F104" s="120">
        <v>2</v>
      </c>
      <c r="G104" s="121">
        <f>Overview!$B$14</f>
        <v>14</v>
      </c>
      <c r="H104" s="114">
        <f t="shared" si="19"/>
        <v>14</v>
      </c>
      <c r="I104" s="114">
        <f>Overview!$E$14</f>
        <v>0</v>
      </c>
      <c r="J104" s="175">
        <f t="shared" si="20"/>
        <v>0</v>
      </c>
      <c r="K104" s="174">
        <f>Overview!$H$14</f>
        <v>0</v>
      </c>
      <c r="L104" s="176" t="e">
        <f t="shared" si="21"/>
        <v>#DIV/0!</v>
      </c>
      <c r="M104" s="179"/>
      <c r="N104" s="179" t="s">
        <v>963</v>
      </c>
      <c r="O104" s="141">
        <f t="shared" si="22"/>
        <v>0</v>
      </c>
      <c r="P104" s="181" t="b">
        <f>COUNTIF('Facility Data'!$A$1:$A$1500,"*"&amp;A104&amp;"*")&gt;0</f>
        <v>1</v>
      </c>
      <c r="Q104" s="181" t="b">
        <f>COUNTIF('Account Data'!$A$1:$A$1000,"*"&amp;A104&amp;"*")&gt;0</f>
        <v>1</v>
      </c>
      <c r="R104" s="182" t="b">
        <f t="shared" si="18"/>
        <v>1</v>
      </c>
      <c r="S104" s="182" t="b">
        <f t="shared" si="23"/>
        <v>1</v>
      </c>
      <c r="T104" s="181" t="b">
        <f>COUNTIF('New Items'!$A$1:$A$175,A104)&gt;0</f>
        <v>0</v>
      </c>
      <c r="U104" s="181" t="b">
        <f>COUNTIF(Discontinued!$A$1:$A$150,A104)&gt;0</f>
        <v>0</v>
      </c>
    </row>
    <row r="105" spans="1:21" s="8" customFormat="1" ht="11.25" x14ac:dyDescent="0.2">
      <c r="A105" s="152">
        <v>10127498</v>
      </c>
      <c r="B105" s="231" t="s">
        <v>3798</v>
      </c>
      <c r="C105" s="118" t="s">
        <v>96</v>
      </c>
      <c r="D105" s="119" t="s">
        <v>3796</v>
      </c>
      <c r="E105" s="118" t="s">
        <v>769</v>
      </c>
      <c r="F105" s="120">
        <v>2</v>
      </c>
      <c r="G105" s="121">
        <f>Overview!$B$14</f>
        <v>14</v>
      </c>
      <c r="H105" s="114">
        <f>G105-I105</f>
        <v>14</v>
      </c>
      <c r="I105" s="114">
        <f>Overview!$E$14</f>
        <v>0</v>
      </c>
      <c r="J105" s="175">
        <f>I105/F105</f>
        <v>0</v>
      </c>
      <c r="K105" s="174">
        <f>Overview!$H$14</f>
        <v>0</v>
      </c>
      <c r="L105" s="176" t="e">
        <f>(K105-J105)/K105</f>
        <v>#DIV/0!</v>
      </c>
      <c r="M105" s="179" t="s">
        <v>1000</v>
      </c>
      <c r="N105" s="179" t="s">
        <v>963</v>
      </c>
      <c r="O105" s="141">
        <f>I105</f>
        <v>0</v>
      </c>
      <c r="P105" s="181" t="b">
        <f>COUNTIF('Facility Data'!$A$1:$A$1500,"*"&amp;A105&amp;"*")&gt;0</f>
        <v>0</v>
      </c>
      <c r="Q105" s="181" t="b">
        <f>COUNTIF('Account Data'!$A$1:$A$1000,"*"&amp;A105&amp;"*")&gt;0</f>
        <v>0</v>
      </c>
      <c r="R105" s="182" t="b">
        <f t="shared" si="18"/>
        <v>0</v>
      </c>
      <c r="S105" s="182" t="b">
        <f>IF(OR(Q105=TRUE,T105=TRUE),TRUE,FALSE)</f>
        <v>0</v>
      </c>
      <c r="T105" s="181" t="b">
        <f>COUNTIF('New Items'!$A$1:$A$175,A105)&gt;0</f>
        <v>0</v>
      </c>
      <c r="U105" s="181" t="b">
        <f>COUNTIF(Discontinued!$A$1:$A$150,A105)&gt;0</f>
        <v>0</v>
      </c>
    </row>
    <row r="106" spans="1:21" s="8" customFormat="1" ht="11.25" x14ac:dyDescent="0.2">
      <c r="A106" s="152">
        <v>10000834</v>
      </c>
      <c r="B106" s="231" t="s">
        <v>4749</v>
      </c>
      <c r="C106" s="118" t="s">
        <v>86</v>
      </c>
      <c r="D106" s="119" t="s">
        <v>4750</v>
      </c>
      <c r="E106" s="118" t="s">
        <v>769</v>
      </c>
      <c r="F106" s="120">
        <v>2</v>
      </c>
      <c r="G106" s="121">
        <f>Overview!$B$14</f>
        <v>14</v>
      </c>
      <c r="H106" s="114">
        <f>G106-I106</f>
        <v>14</v>
      </c>
      <c r="I106" s="114">
        <f>Overview!$E$14</f>
        <v>0</v>
      </c>
      <c r="J106" s="175">
        <f>I106/F106</f>
        <v>0</v>
      </c>
      <c r="K106" s="174">
        <f>Overview!$H$14</f>
        <v>0</v>
      </c>
      <c r="L106" s="176" t="e">
        <f>(K106-J106)/K106</f>
        <v>#DIV/0!</v>
      </c>
      <c r="M106" s="179"/>
      <c r="N106" s="179" t="s">
        <v>963</v>
      </c>
      <c r="O106" s="141">
        <f>I106</f>
        <v>0</v>
      </c>
      <c r="P106" s="181" t="b">
        <f>COUNTIF('Facility Data'!$A$1:$A$1500,"*"&amp;A106&amp;"*")&gt;0</f>
        <v>1</v>
      </c>
      <c r="Q106" s="181" t="b">
        <f>COUNTIF('Account Data'!$A$1:$A$1000,"*"&amp;A106&amp;"*")&gt;0</f>
        <v>1</v>
      </c>
      <c r="R106" s="182" t="b">
        <f>IF(OR(P106=TRUE,T106=TRUE),TRUE,FALSE)</f>
        <v>1</v>
      </c>
      <c r="S106" s="182" t="b">
        <f>IF(OR(Q106=TRUE,T106=TRUE),TRUE,FALSE)</f>
        <v>1</v>
      </c>
      <c r="T106" s="181" t="b">
        <f>COUNTIF('New Items'!$A$1:$A$175,A106)&gt;0</f>
        <v>0</v>
      </c>
      <c r="U106" s="181" t="b">
        <f>COUNTIF(Discontinued!$A$1:$A$150,A106)&gt;0</f>
        <v>0</v>
      </c>
    </row>
    <row r="107" spans="1:21" s="8" customFormat="1" ht="11.25" x14ac:dyDescent="0.2">
      <c r="A107" s="152">
        <v>10127495</v>
      </c>
      <c r="B107" s="231" t="s">
        <v>4788</v>
      </c>
      <c r="C107" s="118" t="s">
        <v>86</v>
      </c>
      <c r="D107" s="119" t="s">
        <v>4789</v>
      </c>
      <c r="E107" s="118" t="s">
        <v>769</v>
      </c>
      <c r="F107" s="120">
        <v>2</v>
      </c>
      <c r="G107" s="121">
        <f>Overview!$B$14</f>
        <v>14</v>
      </c>
      <c r="H107" s="114">
        <f t="shared" si="19"/>
        <v>14</v>
      </c>
      <c r="I107" s="114">
        <f>Overview!$E$14</f>
        <v>0</v>
      </c>
      <c r="J107" s="175">
        <f t="shared" si="20"/>
        <v>0</v>
      </c>
      <c r="K107" s="174">
        <f>Overview!$H$14</f>
        <v>0</v>
      </c>
      <c r="L107" s="176" t="e">
        <f t="shared" si="21"/>
        <v>#DIV/0!</v>
      </c>
      <c r="M107" s="179" t="s">
        <v>1000</v>
      </c>
      <c r="N107" s="179" t="s">
        <v>963</v>
      </c>
      <c r="O107" s="141">
        <f>I107</f>
        <v>0</v>
      </c>
      <c r="P107" s="181" t="b">
        <f>COUNTIF('Facility Data'!$A$1:$A$1500,"*"&amp;A107&amp;"*")&gt;0</f>
        <v>0</v>
      </c>
      <c r="Q107" s="181" t="b">
        <f>COUNTIF('Account Data'!$A$1:$A$1000,"*"&amp;A107&amp;"*")&gt;0</f>
        <v>0</v>
      </c>
      <c r="R107" s="182" t="b">
        <f t="shared" si="18"/>
        <v>0</v>
      </c>
      <c r="S107" s="182" t="b">
        <f t="shared" si="23"/>
        <v>0</v>
      </c>
      <c r="T107" s="181" t="b">
        <f>COUNTIF('New Items'!$A$1:$A$175,A107)&gt;0</f>
        <v>0</v>
      </c>
      <c r="U107" s="181" t="b">
        <f>COUNTIF(Discontinued!$A$1:$A$150,A107)&gt;0</f>
        <v>0</v>
      </c>
    </row>
    <row r="108" spans="1:21" s="8" customFormat="1" ht="11.25" x14ac:dyDescent="0.2">
      <c r="A108" s="152">
        <v>10000852</v>
      </c>
      <c r="B108" s="231" t="s">
        <v>1521</v>
      </c>
      <c r="C108" s="118" t="s">
        <v>100</v>
      </c>
      <c r="D108" s="119" t="s">
        <v>645</v>
      </c>
      <c r="E108" s="118" t="s">
        <v>769</v>
      </c>
      <c r="F108" s="120">
        <v>2</v>
      </c>
      <c r="G108" s="121">
        <f>Overview!$B$14</f>
        <v>14</v>
      </c>
      <c r="H108" s="114">
        <f t="shared" si="19"/>
        <v>14</v>
      </c>
      <c r="I108" s="114">
        <f>Overview!$E$14</f>
        <v>0</v>
      </c>
      <c r="J108" s="175">
        <f t="shared" si="20"/>
        <v>0</v>
      </c>
      <c r="K108" s="174">
        <f>Overview!$H$14</f>
        <v>0</v>
      </c>
      <c r="L108" s="176" t="e">
        <f t="shared" si="21"/>
        <v>#DIV/0!</v>
      </c>
      <c r="M108" s="179" t="s">
        <v>4406</v>
      </c>
      <c r="N108" s="179" t="s">
        <v>963</v>
      </c>
      <c r="O108" s="141">
        <f t="shared" si="22"/>
        <v>0</v>
      </c>
      <c r="P108" s="181" t="b">
        <f>COUNTIF('Facility Data'!$A$1:$A$1500,"*"&amp;A108&amp;"*")&gt;0</f>
        <v>1</v>
      </c>
      <c r="Q108" s="181" t="b">
        <f>COUNTIF('Account Data'!$A$1:$A$1000,"*"&amp;A108&amp;"*")&gt;0</f>
        <v>1</v>
      </c>
      <c r="R108" s="182" t="b">
        <f t="shared" si="18"/>
        <v>1</v>
      </c>
      <c r="S108" s="182" t="b">
        <f t="shared" si="23"/>
        <v>1</v>
      </c>
      <c r="T108" s="181" t="b">
        <f>COUNTIF('New Items'!$A$1:$A$175,A108)&gt;0</f>
        <v>0</v>
      </c>
      <c r="U108" s="181" t="b">
        <f>COUNTIF(Discontinued!$A$1:$A$150,A108)&gt;0</f>
        <v>0</v>
      </c>
    </row>
    <row r="109" spans="1:21" s="8" customFormat="1" ht="11.25" x14ac:dyDescent="0.2">
      <c r="A109" s="152">
        <v>10002011</v>
      </c>
      <c r="B109" s="231" t="s">
        <v>2800</v>
      </c>
      <c r="C109" s="118" t="s">
        <v>100</v>
      </c>
      <c r="D109" s="119" t="s">
        <v>2802</v>
      </c>
      <c r="E109" s="118" t="s">
        <v>769</v>
      </c>
      <c r="F109" s="120">
        <v>2</v>
      </c>
      <c r="G109" s="121">
        <f>Overview!$B$14</f>
        <v>14</v>
      </c>
      <c r="H109" s="114">
        <f t="shared" si="19"/>
        <v>14</v>
      </c>
      <c r="I109" s="114">
        <f>Overview!$E$14</f>
        <v>0</v>
      </c>
      <c r="J109" s="175">
        <f t="shared" si="20"/>
        <v>0</v>
      </c>
      <c r="K109" s="174">
        <f>Overview!$H$14</f>
        <v>0</v>
      </c>
      <c r="L109" s="176" t="e">
        <f t="shared" si="21"/>
        <v>#DIV/0!</v>
      </c>
      <c r="M109" s="179" t="s">
        <v>4406</v>
      </c>
      <c r="N109" s="179" t="s">
        <v>963</v>
      </c>
      <c r="O109" s="141">
        <f>I109</f>
        <v>0</v>
      </c>
      <c r="P109" s="181" t="b">
        <f>COUNTIF('Facility Data'!$A$1:$A$1500,"*"&amp;A109&amp;"*")&gt;0</f>
        <v>0</v>
      </c>
      <c r="Q109" s="181" t="b">
        <f>COUNTIF('Account Data'!$A$1:$A$1000,"*"&amp;A109&amp;"*")&gt;0</f>
        <v>0</v>
      </c>
      <c r="R109" s="182" t="b">
        <f t="shared" si="18"/>
        <v>0</v>
      </c>
      <c r="S109" s="182" t="b">
        <f t="shared" si="23"/>
        <v>0</v>
      </c>
      <c r="T109" s="181" t="b">
        <f>COUNTIF('New Items'!$A$1:$A$175,A109)&gt;0</f>
        <v>0</v>
      </c>
      <c r="U109" s="181" t="b">
        <f>COUNTIF(Discontinued!$A$1:$A$150,A109)&gt;0</f>
        <v>0</v>
      </c>
    </row>
    <row r="110" spans="1:21" s="8" customFormat="1" ht="11.25" x14ac:dyDescent="0.2">
      <c r="A110" s="152">
        <v>10002456</v>
      </c>
      <c r="B110" s="231" t="s">
        <v>63</v>
      </c>
      <c r="C110" s="118" t="s">
        <v>100</v>
      </c>
      <c r="D110" s="119" t="s">
        <v>2801</v>
      </c>
      <c r="E110" s="118" t="s">
        <v>769</v>
      </c>
      <c r="F110" s="120">
        <v>2</v>
      </c>
      <c r="G110" s="121">
        <f>Overview!$B$14</f>
        <v>14</v>
      </c>
      <c r="H110" s="114">
        <f t="shared" si="19"/>
        <v>14</v>
      </c>
      <c r="I110" s="114">
        <f>Overview!$E$14</f>
        <v>0</v>
      </c>
      <c r="J110" s="175">
        <f t="shared" si="20"/>
        <v>0</v>
      </c>
      <c r="K110" s="174">
        <f>Overview!$H$14</f>
        <v>0</v>
      </c>
      <c r="L110" s="176" t="e">
        <f t="shared" si="21"/>
        <v>#DIV/0!</v>
      </c>
      <c r="M110" s="179" t="s">
        <v>4406</v>
      </c>
      <c r="N110" s="179" t="s">
        <v>963</v>
      </c>
      <c r="O110" s="141">
        <f t="shared" si="22"/>
        <v>0</v>
      </c>
      <c r="P110" s="181" t="b">
        <f>COUNTIF('Facility Data'!$A$1:$A$1500,"*"&amp;A110&amp;"*")&gt;0</f>
        <v>0</v>
      </c>
      <c r="Q110" s="181" t="b">
        <f>COUNTIF('Account Data'!$A$1:$A$1000,"*"&amp;A110&amp;"*")&gt;0</f>
        <v>1</v>
      </c>
      <c r="R110" s="182" t="b">
        <f t="shared" si="18"/>
        <v>0</v>
      </c>
      <c r="S110" s="182" t="b">
        <f t="shared" si="23"/>
        <v>1</v>
      </c>
      <c r="T110" s="181" t="b">
        <f>COUNTIF('New Items'!$A$1:$A$175,A110)&gt;0</f>
        <v>0</v>
      </c>
      <c r="U110" s="181" t="b">
        <f>COUNTIF(Discontinued!$A$1:$A$150,A110)&gt;0</f>
        <v>0</v>
      </c>
    </row>
    <row r="111" spans="1:21" s="8" customFormat="1" ht="11.25" x14ac:dyDescent="0.2">
      <c r="A111" s="152">
        <v>10097747</v>
      </c>
      <c r="B111" s="231" t="s">
        <v>2862</v>
      </c>
      <c r="C111" s="118" t="s">
        <v>100</v>
      </c>
      <c r="D111" s="119" t="s">
        <v>2863</v>
      </c>
      <c r="E111" s="118" t="s">
        <v>769</v>
      </c>
      <c r="F111" s="120">
        <v>2</v>
      </c>
      <c r="G111" s="121">
        <f>Overview!$B$14</f>
        <v>14</v>
      </c>
      <c r="H111" s="114">
        <f t="shared" si="19"/>
        <v>14</v>
      </c>
      <c r="I111" s="114">
        <f>Overview!$E$14</f>
        <v>0</v>
      </c>
      <c r="J111" s="175">
        <f t="shared" si="20"/>
        <v>0</v>
      </c>
      <c r="K111" s="174">
        <f>Overview!$H$14</f>
        <v>0</v>
      </c>
      <c r="L111" s="176" t="e">
        <f t="shared" si="21"/>
        <v>#DIV/0!</v>
      </c>
      <c r="M111" s="179" t="s">
        <v>4406</v>
      </c>
      <c r="N111" s="179" t="s">
        <v>963</v>
      </c>
      <c r="O111" s="141">
        <f>I111</f>
        <v>0</v>
      </c>
      <c r="P111" s="181" t="b">
        <f>COUNTIF('Facility Data'!$A$1:$A$1500,"*"&amp;A111&amp;"*")&gt;0</f>
        <v>0</v>
      </c>
      <c r="Q111" s="181" t="b">
        <f>COUNTIF('Account Data'!$A$1:$A$1000,"*"&amp;A111&amp;"*")&gt;0</f>
        <v>0</v>
      </c>
      <c r="R111" s="182" t="b">
        <f t="shared" ref="R111:R142" si="25">IF(OR(P111=TRUE,T111=TRUE),TRUE,FALSE)</f>
        <v>0</v>
      </c>
      <c r="S111" s="182" t="b">
        <f t="shared" si="23"/>
        <v>0</v>
      </c>
      <c r="T111" s="181" t="b">
        <f>COUNTIF('New Items'!$A$1:$A$175,A111)&gt;0</f>
        <v>0</v>
      </c>
      <c r="U111" s="181" t="b">
        <f>COUNTIF(Discontinued!$A$1:$A$150,A111)&gt;0</f>
        <v>0</v>
      </c>
    </row>
    <row r="112" spans="1:21" s="8" customFormat="1" ht="11.25" x14ac:dyDescent="0.2">
      <c r="A112" s="152">
        <v>10000853</v>
      </c>
      <c r="B112" s="231" t="s">
        <v>4751</v>
      </c>
      <c r="C112" s="118" t="s">
        <v>89</v>
      </c>
      <c r="D112" s="119" t="s">
        <v>4735</v>
      </c>
      <c r="E112" s="118" t="s">
        <v>769</v>
      </c>
      <c r="F112" s="120">
        <v>2</v>
      </c>
      <c r="G112" s="121">
        <f>Overview!$B$14</f>
        <v>14</v>
      </c>
      <c r="H112" s="114">
        <f>G112-I112</f>
        <v>14</v>
      </c>
      <c r="I112" s="114">
        <f>Overview!$E$14</f>
        <v>0</v>
      </c>
      <c r="J112" s="175">
        <f>I112/F112</f>
        <v>0</v>
      </c>
      <c r="K112" s="174">
        <f>Overview!$H$14</f>
        <v>0</v>
      </c>
      <c r="L112" s="176" t="e">
        <f>(K112-J112)/K112</f>
        <v>#DIV/0!</v>
      </c>
      <c r="M112" s="179" t="s">
        <v>4406</v>
      </c>
      <c r="N112" s="179" t="s">
        <v>963</v>
      </c>
      <c r="O112" s="141">
        <f>I112</f>
        <v>0</v>
      </c>
      <c r="P112" s="181" t="b">
        <f>COUNTIF('Facility Data'!$A$1:$A$1500,"*"&amp;A112&amp;"*")&gt;0</f>
        <v>1</v>
      </c>
      <c r="Q112" s="181" t="b">
        <f>COUNTIF('Account Data'!$A$1:$A$1000,"*"&amp;A112&amp;"*")&gt;0</f>
        <v>1</v>
      </c>
      <c r="R112" s="182" t="b">
        <f>IF(OR(P112=TRUE,T112=TRUE),TRUE,FALSE)</f>
        <v>1</v>
      </c>
      <c r="S112" s="182" t="b">
        <f>IF(OR(Q112=TRUE,T112=TRUE),TRUE,FALSE)</f>
        <v>1</v>
      </c>
      <c r="T112" s="181" t="b">
        <f>COUNTIF('New Items'!$A$1:$A$175,A112)&gt;0</f>
        <v>0</v>
      </c>
      <c r="U112" s="181" t="b">
        <f>COUNTIF(Discontinued!$A$1:$A$150,A112)&gt;0</f>
        <v>0</v>
      </c>
    </row>
    <row r="113" spans="1:21" s="8" customFormat="1" ht="11.25" x14ac:dyDescent="0.2">
      <c r="A113" s="152">
        <v>10000831</v>
      </c>
      <c r="B113" s="231" t="s">
        <v>64</v>
      </c>
      <c r="C113" s="118" t="s">
        <v>101</v>
      </c>
      <c r="D113" s="119" t="s">
        <v>646</v>
      </c>
      <c r="E113" s="118" t="s">
        <v>769</v>
      </c>
      <c r="F113" s="120">
        <v>2</v>
      </c>
      <c r="G113" s="121">
        <f>Overview!$B$14</f>
        <v>14</v>
      </c>
      <c r="H113" s="114">
        <f t="shared" si="19"/>
        <v>14</v>
      </c>
      <c r="I113" s="114">
        <f>Overview!$E$14</f>
        <v>0</v>
      </c>
      <c r="J113" s="175">
        <f t="shared" si="20"/>
        <v>0</v>
      </c>
      <c r="K113" s="174">
        <f>Overview!$H$14</f>
        <v>0</v>
      </c>
      <c r="L113" s="176" t="e">
        <f t="shared" si="21"/>
        <v>#DIV/0!</v>
      </c>
      <c r="M113" s="179" t="s">
        <v>4406</v>
      </c>
      <c r="N113" s="179" t="s">
        <v>963</v>
      </c>
      <c r="O113" s="141">
        <f t="shared" si="22"/>
        <v>0</v>
      </c>
      <c r="P113" s="181" t="b">
        <f>COUNTIF('Facility Data'!$A$1:$A$1500,"*"&amp;A113&amp;"*")&gt;0</f>
        <v>1</v>
      </c>
      <c r="Q113" s="181" t="b">
        <f>COUNTIF('Account Data'!$A$1:$A$1000,"*"&amp;A113&amp;"*")&gt;0</f>
        <v>1</v>
      </c>
      <c r="R113" s="182" t="b">
        <f t="shared" si="25"/>
        <v>1</v>
      </c>
      <c r="S113" s="182" t="b">
        <f t="shared" si="23"/>
        <v>1</v>
      </c>
      <c r="T113" s="181" t="b">
        <f>COUNTIF('New Items'!$A$1:$A$175,A113)&gt;0</f>
        <v>0</v>
      </c>
      <c r="U113" s="181" t="b">
        <f>COUNTIF(Discontinued!$A$1:$A$150,A113)&gt;0</f>
        <v>0</v>
      </c>
    </row>
    <row r="114" spans="1:21" s="8" customFormat="1" ht="11.25" x14ac:dyDescent="0.2">
      <c r="A114" s="152">
        <v>10000832</v>
      </c>
      <c r="B114" s="231" t="s">
        <v>4752</v>
      </c>
      <c r="C114" s="118" t="s">
        <v>90</v>
      </c>
      <c r="D114" s="119" t="s">
        <v>4753</v>
      </c>
      <c r="E114" s="118" t="s">
        <v>769</v>
      </c>
      <c r="F114" s="120">
        <v>2</v>
      </c>
      <c r="G114" s="121">
        <f>Overview!$B$14</f>
        <v>14</v>
      </c>
      <c r="H114" s="114">
        <f>G114-I114</f>
        <v>14</v>
      </c>
      <c r="I114" s="114">
        <f>Overview!$E$14</f>
        <v>0</v>
      </c>
      <c r="J114" s="175">
        <f>I114/F114</f>
        <v>0</v>
      </c>
      <c r="K114" s="174">
        <f>Overview!$H$14</f>
        <v>0</v>
      </c>
      <c r="L114" s="176" t="e">
        <f>(K114-J114)/K114</f>
        <v>#DIV/0!</v>
      </c>
      <c r="M114" s="179" t="s">
        <v>4406</v>
      </c>
      <c r="N114" s="179" t="s">
        <v>963</v>
      </c>
      <c r="O114" s="141">
        <f>I114</f>
        <v>0</v>
      </c>
      <c r="P114" s="181" t="b">
        <f>COUNTIF('Facility Data'!$A$1:$A$1500,"*"&amp;A114&amp;"*")&gt;0</f>
        <v>1</v>
      </c>
      <c r="Q114" s="181" t="b">
        <f>COUNTIF('Account Data'!$A$1:$A$1000,"*"&amp;A114&amp;"*")&gt;0</f>
        <v>0</v>
      </c>
      <c r="R114" s="182" t="b">
        <f>IF(OR(P114=TRUE,T114=TRUE),TRUE,FALSE)</f>
        <v>1</v>
      </c>
      <c r="S114" s="182" t="b">
        <f>IF(OR(Q114=TRUE,T114=TRUE),TRUE,FALSE)</f>
        <v>0</v>
      </c>
      <c r="T114" s="181" t="b">
        <f>COUNTIF('New Items'!$A$1:$A$175,A114)&gt;0</f>
        <v>0</v>
      </c>
      <c r="U114" s="181" t="b">
        <f>COUNTIF(Discontinued!$A$1:$A$150,A114)&gt;0</f>
        <v>0</v>
      </c>
    </row>
    <row r="115" spans="1:21" s="8" customFormat="1" ht="11.25" x14ac:dyDescent="0.2">
      <c r="A115" s="152">
        <v>10000874</v>
      </c>
      <c r="B115" s="231" t="s">
        <v>34</v>
      </c>
      <c r="C115" s="118" t="s">
        <v>73</v>
      </c>
      <c r="D115" s="119" t="s">
        <v>648</v>
      </c>
      <c r="E115" s="118" t="s">
        <v>769</v>
      </c>
      <c r="F115" s="120">
        <v>2</v>
      </c>
      <c r="G115" s="121">
        <f>Overview!$B$14</f>
        <v>14</v>
      </c>
      <c r="H115" s="114">
        <f t="shared" si="19"/>
        <v>14</v>
      </c>
      <c r="I115" s="114">
        <f>Overview!$E$14</f>
        <v>0</v>
      </c>
      <c r="J115" s="175">
        <f t="shared" si="20"/>
        <v>0</v>
      </c>
      <c r="K115" s="174">
        <f>Overview!$H$14</f>
        <v>0</v>
      </c>
      <c r="L115" s="176" t="e">
        <f t="shared" si="21"/>
        <v>#DIV/0!</v>
      </c>
      <c r="M115" s="179"/>
      <c r="N115" s="179" t="s">
        <v>963</v>
      </c>
      <c r="O115" s="141">
        <f t="shared" si="22"/>
        <v>0</v>
      </c>
      <c r="P115" s="181" t="b">
        <f>COUNTIF('Facility Data'!$A$1:$A$1500,"*"&amp;A115&amp;"*")&gt;0</f>
        <v>0</v>
      </c>
      <c r="Q115" s="181" t="b">
        <f>COUNTIF('Account Data'!$A$1:$A$1000,"*"&amp;A115&amp;"*")&gt;0</f>
        <v>1</v>
      </c>
      <c r="R115" s="182" t="b">
        <f t="shared" si="25"/>
        <v>0</v>
      </c>
      <c r="S115" s="182" t="b">
        <f t="shared" si="23"/>
        <v>1</v>
      </c>
      <c r="T115" s="181" t="b">
        <f>COUNTIF('New Items'!$A$1:$A$175,A115)&gt;0</f>
        <v>0</v>
      </c>
      <c r="U115" s="181" t="b">
        <f>COUNTIF(Discontinued!$A$1:$A$150,A115)&gt;0</f>
        <v>0</v>
      </c>
    </row>
    <row r="116" spans="1:21" s="8" customFormat="1" ht="11.25" x14ac:dyDescent="0.2">
      <c r="A116" s="152">
        <v>10000877</v>
      </c>
      <c r="B116" s="231" t="s">
        <v>43</v>
      </c>
      <c r="C116" s="118" t="s">
        <v>82</v>
      </c>
      <c r="D116" s="119" t="s">
        <v>649</v>
      </c>
      <c r="E116" s="118" t="s">
        <v>769</v>
      </c>
      <c r="F116" s="120">
        <v>2</v>
      </c>
      <c r="G116" s="121">
        <f>Overview!$B$14</f>
        <v>14</v>
      </c>
      <c r="H116" s="114">
        <f t="shared" si="19"/>
        <v>14</v>
      </c>
      <c r="I116" s="114">
        <f>Overview!$E$14</f>
        <v>0</v>
      </c>
      <c r="J116" s="175">
        <f t="shared" si="20"/>
        <v>0</v>
      </c>
      <c r="K116" s="174">
        <f>Overview!$H$14</f>
        <v>0</v>
      </c>
      <c r="L116" s="176" t="e">
        <f t="shared" si="21"/>
        <v>#DIV/0!</v>
      </c>
      <c r="M116" s="179"/>
      <c r="N116" s="179" t="s">
        <v>963</v>
      </c>
      <c r="O116" s="141">
        <f t="shared" si="22"/>
        <v>0</v>
      </c>
      <c r="P116" s="181" t="b">
        <f>COUNTIF('Facility Data'!$A$1:$A$1500,"*"&amp;A116&amp;"*")&gt;0</f>
        <v>0</v>
      </c>
      <c r="Q116" s="181" t="b">
        <f>COUNTIF('Account Data'!$A$1:$A$1000,"*"&amp;A116&amp;"*")&gt;0</f>
        <v>1</v>
      </c>
      <c r="R116" s="182" t="b">
        <f t="shared" si="25"/>
        <v>0</v>
      </c>
      <c r="S116" s="182" t="b">
        <f t="shared" si="23"/>
        <v>1</v>
      </c>
      <c r="T116" s="181" t="b">
        <f>COUNTIF('New Items'!$A$1:$A$175,A116)&gt;0</f>
        <v>0</v>
      </c>
      <c r="U116" s="181" t="b">
        <f>COUNTIF(Discontinued!$A$1:$A$150,A116)&gt;0</f>
        <v>0</v>
      </c>
    </row>
    <row r="117" spans="1:21" s="8" customFormat="1" ht="11.25" x14ac:dyDescent="0.2">
      <c r="A117" s="152">
        <v>10000865</v>
      </c>
      <c r="B117" s="231" t="s">
        <v>1678</v>
      </c>
      <c r="C117" s="118" t="s">
        <v>70</v>
      </c>
      <c r="D117" s="119" t="s">
        <v>650</v>
      </c>
      <c r="E117" s="118" t="s">
        <v>769</v>
      </c>
      <c r="F117" s="120">
        <v>2</v>
      </c>
      <c r="G117" s="121">
        <f>Overview!$B$14</f>
        <v>14</v>
      </c>
      <c r="H117" s="114">
        <f t="shared" si="19"/>
        <v>14</v>
      </c>
      <c r="I117" s="114">
        <f>Overview!$E$14</f>
        <v>0</v>
      </c>
      <c r="J117" s="175">
        <f t="shared" si="20"/>
        <v>0</v>
      </c>
      <c r="K117" s="174">
        <f>Overview!$H$14</f>
        <v>0</v>
      </c>
      <c r="L117" s="176" t="e">
        <f t="shared" si="21"/>
        <v>#DIV/0!</v>
      </c>
      <c r="M117" s="179" t="s">
        <v>4369</v>
      </c>
      <c r="N117" s="179" t="s">
        <v>963</v>
      </c>
      <c r="O117" s="141">
        <f t="shared" si="22"/>
        <v>0</v>
      </c>
      <c r="P117" s="181" t="b">
        <f>COUNTIF('Facility Data'!$A$1:$A$1500,"*"&amp;A117&amp;"*")&gt;0</f>
        <v>1</v>
      </c>
      <c r="Q117" s="181" t="b">
        <f>COUNTIF('Account Data'!$A$1:$A$1000,"*"&amp;A117&amp;"*")&gt;0</f>
        <v>1</v>
      </c>
      <c r="R117" s="182" t="b">
        <f t="shared" si="25"/>
        <v>1</v>
      </c>
      <c r="S117" s="182" t="b">
        <f t="shared" si="23"/>
        <v>1</v>
      </c>
      <c r="T117" s="181" t="b">
        <f>COUNTIF('New Items'!$A$1:$A$175,A117)&gt;0</f>
        <v>0</v>
      </c>
      <c r="U117" s="181" t="b">
        <f>COUNTIF(Discontinued!$A$1:$A$150,A117)&gt;0</f>
        <v>0</v>
      </c>
    </row>
    <row r="118" spans="1:21" s="8" customFormat="1" ht="11.25" x14ac:dyDescent="0.2">
      <c r="A118" s="152">
        <v>10002012</v>
      </c>
      <c r="B118" s="231" t="s">
        <v>2815</v>
      </c>
      <c r="C118" s="118" t="s">
        <v>70</v>
      </c>
      <c r="D118" s="119" t="s">
        <v>2818</v>
      </c>
      <c r="E118" s="118" t="s">
        <v>769</v>
      </c>
      <c r="F118" s="120">
        <v>2</v>
      </c>
      <c r="G118" s="121">
        <f>Overview!$B$14</f>
        <v>14</v>
      </c>
      <c r="H118" s="114">
        <f t="shared" si="19"/>
        <v>14</v>
      </c>
      <c r="I118" s="114">
        <f>Overview!$E$14</f>
        <v>0</v>
      </c>
      <c r="J118" s="175">
        <f t="shared" si="20"/>
        <v>0</v>
      </c>
      <c r="K118" s="174">
        <f>Overview!$H$14</f>
        <v>0</v>
      </c>
      <c r="L118" s="176" t="e">
        <f t="shared" si="21"/>
        <v>#DIV/0!</v>
      </c>
      <c r="M118" s="179" t="s">
        <v>4369</v>
      </c>
      <c r="N118" s="179" t="s">
        <v>963</v>
      </c>
      <c r="O118" s="141">
        <f>I118</f>
        <v>0</v>
      </c>
      <c r="P118" s="181" t="b">
        <f>COUNTIF('Facility Data'!$A$1:$A$1500,"*"&amp;A118&amp;"*")&gt;0</f>
        <v>0</v>
      </c>
      <c r="Q118" s="181" t="b">
        <f>COUNTIF('Account Data'!$A$1:$A$1000,"*"&amp;A118&amp;"*")&gt;0</f>
        <v>0</v>
      </c>
      <c r="R118" s="182" t="b">
        <f t="shared" si="25"/>
        <v>0</v>
      </c>
      <c r="S118" s="182" t="b">
        <f t="shared" si="23"/>
        <v>0</v>
      </c>
      <c r="T118" s="181" t="b">
        <f>COUNTIF('New Items'!$A$1:$A$175,A118)&gt;0</f>
        <v>0</v>
      </c>
      <c r="U118" s="181" t="b">
        <f>COUNTIF(Discontinued!$A$1:$A$150,A118)&gt;0</f>
        <v>0</v>
      </c>
    </row>
    <row r="119" spans="1:21" s="8" customFormat="1" ht="11.25" x14ac:dyDescent="0.2">
      <c r="A119" s="152">
        <v>10002457</v>
      </c>
      <c r="B119" s="231" t="s">
        <v>31</v>
      </c>
      <c r="C119" s="118" t="s">
        <v>70</v>
      </c>
      <c r="D119" s="119" t="s">
        <v>2817</v>
      </c>
      <c r="E119" s="118" t="s">
        <v>769</v>
      </c>
      <c r="F119" s="120">
        <v>2</v>
      </c>
      <c r="G119" s="121">
        <f>Overview!$B$14</f>
        <v>14</v>
      </c>
      <c r="H119" s="114">
        <f t="shared" si="19"/>
        <v>14</v>
      </c>
      <c r="I119" s="114">
        <f>Overview!$E$14</f>
        <v>0</v>
      </c>
      <c r="J119" s="175">
        <f t="shared" si="20"/>
        <v>0</v>
      </c>
      <c r="K119" s="174">
        <f>Overview!$H$14</f>
        <v>0</v>
      </c>
      <c r="L119" s="176" t="e">
        <f t="shared" si="21"/>
        <v>#DIV/0!</v>
      </c>
      <c r="M119" s="179" t="s">
        <v>4369</v>
      </c>
      <c r="N119" s="179" t="s">
        <v>963</v>
      </c>
      <c r="O119" s="141">
        <f>I119</f>
        <v>0</v>
      </c>
      <c r="P119" s="181" t="b">
        <f>COUNTIF('Facility Data'!$A$1:$A$1500,"*"&amp;A119&amp;"*")&gt;0</f>
        <v>0</v>
      </c>
      <c r="Q119" s="181" t="b">
        <f>COUNTIF('Account Data'!$A$1:$A$1000,"*"&amp;A119&amp;"*")&gt;0</f>
        <v>1</v>
      </c>
      <c r="R119" s="182" t="b">
        <f t="shared" si="25"/>
        <v>0</v>
      </c>
      <c r="S119" s="182" t="b">
        <f t="shared" si="23"/>
        <v>1</v>
      </c>
      <c r="T119" s="181" t="b">
        <f>COUNTIF('New Items'!$A$1:$A$175,A119)&gt;0</f>
        <v>0</v>
      </c>
      <c r="U119" s="181" t="b">
        <f>COUNTIF(Discontinued!$A$1:$A$150,A119)&gt;0</f>
        <v>0</v>
      </c>
    </row>
    <row r="120" spans="1:21" s="8" customFormat="1" ht="11.25" x14ac:dyDescent="0.2">
      <c r="A120" s="152">
        <v>10120635</v>
      </c>
      <c r="B120" s="231" t="s">
        <v>2816</v>
      </c>
      <c r="C120" s="118" t="s">
        <v>70</v>
      </c>
      <c r="D120" s="119" t="s">
        <v>2819</v>
      </c>
      <c r="E120" s="118" t="s">
        <v>769</v>
      </c>
      <c r="F120" s="120">
        <v>2</v>
      </c>
      <c r="G120" s="121">
        <f>Overview!$B$14</f>
        <v>14</v>
      </c>
      <c r="H120" s="114">
        <f t="shared" si="19"/>
        <v>14</v>
      </c>
      <c r="I120" s="114">
        <f>Overview!$E$14</f>
        <v>0</v>
      </c>
      <c r="J120" s="175">
        <f t="shared" si="20"/>
        <v>0</v>
      </c>
      <c r="K120" s="174">
        <f>Overview!$H$14</f>
        <v>0</v>
      </c>
      <c r="L120" s="176" t="e">
        <f t="shared" si="21"/>
        <v>#DIV/0!</v>
      </c>
      <c r="M120" s="179" t="s">
        <v>4369</v>
      </c>
      <c r="N120" s="179" t="s">
        <v>963</v>
      </c>
      <c r="O120" s="141">
        <f t="shared" si="22"/>
        <v>0</v>
      </c>
      <c r="P120" s="181" t="b">
        <f>COUNTIF('Facility Data'!$A$1:$A$1500,"*"&amp;A120&amp;"*")&gt;0</f>
        <v>0</v>
      </c>
      <c r="Q120" s="181" t="b">
        <f>COUNTIF('Account Data'!$A$1:$A$1000,"*"&amp;A120&amp;"*")&gt;0</f>
        <v>0</v>
      </c>
      <c r="R120" s="182" t="b">
        <f t="shared" si="25"/>
        <v>0</v>
      </c>
      <c r="S120" s="182" t="b">
        <f t="shared" si="23"/>
        <v>0</v>
      </c>
      <c r="T120" s="181" t="b">
        <f>COUNTIF('New Items'!$A$1:$A$175,A120)&gt;0</f>
        <v>0</v>
      </c>
      <c r="U120" s="181" t="b">
        <f>COUNTIF(Discontinued!$A$1:$A$150,A120)&gt;0</f>
        <v>0</v>
      </c>
    </row>
    <row r="121" spans="1:21" s="8" customFormat="1" ht="11.25" x14ac:dyDescent="0.2">
      <c r="A121" s="152">
        <v>10000863</v>
      </c>
      <c r="B121" s="231" t="s">
        <v>4754</v>
      </c>
      <c r="C121" s="118" t="s">
        <v>81</v>
      </c>
      <c r="D121" s="119" t="s">
        <v>4755</v>
      </c>
      <c r="E121" s="118" t="s">
        <v>769</v>
      </c>
      <c r="F121" s="120">
        <v>2</v>
      </c>
      <c r="G121" s="121">
        <f>Overview!$B$14</f>
        <v>14</v>
      </c>
      <c r="H121" s="114">
        <f>G121-I121</f>
        <v>14</v>
      </c>
      <c r="I121" s="114">
        <f>Overview!$E$14</f>
        <v>0</v>
      </c>
      <c r="J121" s="175">
        <f>I121/F121</f>
        <v>0</v>
      </c>
      <c r="K121" s="174">
        <f>Overview!$H$14</f>
        <v>0</v>
      </c>
      <c r="L121" s="176" t="e">
        <f>(K121-J121)/K121</f>
        <v>#DIV/0!</v>
      </c>
      <c r="M121" s="179" t="s">
        <v>4369</v>
      </c>
      <c r="N121" s="179" t="s">
        <v>963</v>
      </c>
      <c r="O121" s="141">
        <f>I121</f>
        <v>0</v>
      </c>
      <c r="P121" s="181" t="b">
        <f>COUNTIF('Facility Data'!$A$1:$A$1500,"*"&amp;A121&amp;"*")&gt;0</f>
        <v>1</v>
      </c>
      <c r="Q121" s="181" t="b">
        <f>COUNTIF('Account Data'!$A$1:$A$1000,"*"&amp;A121&amp;"*")&gt;0</f>
        <v>1</v>
      </c>
      <c r="R121" s="182" t="b">
        <f>IF(OR(P121=TRUE,T121=TRUE),TRUE,FALSE)</f>
        <v>1</v>
      </c>
      <c r="S121" s="182" t="b">
        <f>IF(OR(Q121=TRUE,T121=TRUE),TRUE,FALSE)</f>
        <v>1</v>
      </c>
      <c r="T121" s="181" t="b">
        <f>COUNTIF('New Items'!$A$1:$A$175,A121)&gt;0</f>
        <v>0</v>
      </c>
      <c r="U121" s="181" t="b">
        <f>COUNTIF(Discontinued!$A$1:$A$150,A121)&gt;0</f>
        <v>0</v>
      </c>
    </row>
    <row r="122" spans="1:21" s="8" customFormat="1" ht="11.25" x14ac:dyDescent="0.2">
      <c r="A122" s="152">
        <v>10120690</v>
      </c>
      <c r="B122" s="231" t="s">
        <v>3793</v>
      </c>
      <c r="C122" s="118" t="s">
        <v>1053</v>
      </c>
      <c r="D122" s="119" t="s">
        <v>1054</v>
      </c>
      <c r="E122" s="118" t="s">
        <v>769</v>
      </c>
      <c r="F122" s="120">
        <v>2</v>
      </c>
      <c r="G122" s="121">
        <f>Overview!$B$14</f>
        <v>14</v>
      </c>
      <c r="H122" s="114">
        <f>G122-I122</f>
        <v>14</v>
      </c>
      <c r="I122" s="114">
        <f>Overview!$E$14</f>
        <v>0</v>
      </c>
      <c r="J122" s="175">
        <f>I122/F122</f>
        <v>0</v>
      </c>
      <c r="K122" s="174">
        <f>Overview!$H$14</f>
        <v>0</v>
      </c>
      <c r="L122" s="176" t="e">
        <f>(K122-J122)/K122</f>
        <v>#DIV/0!</v>
      </c>
      <c r="M122" s="179" t="s">
        <v>4369</v>
      </c>
      <c r="N122" s="179" t="s">
        <v>963</v>
      </c>
      <c r="O122" s="141">
        <f>I122</f>
        <v>0</v>
      </c>
      <c r="P122" s="181" t="b">
        <f>COUNTIF('Facility Data'!$A$1:$A$1500,"*"&amp;A122&amp;"*")&gt;0</f>
        <v>1</v>
      </c>
      <c r="Q122" s="181" t="b">
        <f>COUNTIF('Account Data'!$A$1:$A$1000,"*"&amp;A122&amp;"*")&gt;0</f>
        <v>0</v>
      </c>
      <c r="R122" s="182" t="b">
        <f t="shared" si="25"/>
        <v>1</v>
      </c>
      <c r="S122" s="182" t="b">
        <f>IF(OR(Q122=TRUE,T122=TRUE),TRUE,FALSE)</f>
        <v>0</v>
      </c>
      <c r="T122" s="181" t="b">
        <f>COUNTIF('New Items'!$A$1:$A$175,A122)&gt;0</f>
        <v>0</v>
      </c>
      <c r="U122" s="181" t="b">
        <f>COUNTIF(Discontinued!$A$1:$A$150,A122)&gt;0</f>
        <v>0</v>
      </c>
    </row>
    <row r="123" spans="1:21" s="8" customFormat="1" ht="11.25" x14ac:dyDescent="0.2">
      <c r="A123" s="152">
        <v>10001700</v>
      </c>
      <c r="B123" s="231" t="s">
        <v>30</v>
      </c>
      <c r="C123" s="118" t="s">
        <v>69</v>
      </c>
      <c r="D123" s="119" t="s">
        <v>634</v>
      </c>
      <c r="E123" s="118" t="s">
        <v>769</v>
      </c>
      <c r="F123" s="120">
        <v>2</v>
      </c>
      <c r="G123" s="121">
        <f>Overview!$B$14</f>
        <v>14</v>
      </c>
      <c r="H123" s="114">
        <f t="shared" si="19"/>
        <v>14</v>
      </c>
      <c r="I123" s="114">
        <f>Overview!$E$14</f>
        <v>0</v>
      </c>
      <c r="J123" s="175">
        <f t="shared" si="20"/>
        <v>0</v>
      </c>
      <c r="K123" s="174">
        <f>Overview!$H$14</f>
        <v>0</v>
      </c>
      <c r="L123" s="176" t="e">
        <f t="shared" si="21"/>
        <v>#DIV/0!</v>
      </c>
      <c r="M123" s="179" t="s">
        <v>4369</v>
      </c>
      <c r="N123" s="179" t="s">
        <v>963</v>
      </c>
      <c r="O123" s="141">
        <f t="shared" si="22"/>
        <v>0</v>
      </c>
      <c r="P123" s="181" t="b">
        <f>COUNTIF('Facility Data'!$A$1:$A$1500,"*"&amp;A123&amp;"*")&gt;0</f>
        <v>1</v>
      </c>
      <c r="Q123" s="181" t="b">
        <f>COUNTIF('Account Data'!$A$1:$A$1000,"*"&amp;A123&amp;"*")&gt;0</f>
        <v>1</v>
      </c>
      <c r="R123" s="182" t="b">
        <f t="shared" si="25"/>
        <v>1</v>
      </c>
      <c r="S123" s="182" t="b">
        <f t="shared" si="23"/>
        <v>1</v>
      </c>
      <c r="T123" s="181" t="b">
        <f>COUNTIF('New Items'!$A$1:$A$175,A123)&gt;0</f>
        <v>0</v>
      </c>
      <c r="U123" s="181" t="b">
        <f>COUNTIF(Discontinued!$A$1:$A$150,A123)&gt;0</f>
        <v>0</v>
      </c>
    </row>
    <row r="124" spans="1:21" s="8" customFormat="1" ht="11.25" x14ac:dyDescent="0.2">
      <c r="A124" s="152">
        <v>10001699</v>
      </c>
      <c r="B124" s="231" t="s">
        <v>33</v>
      </c>
      <c r="C124" s="118" t="s">
        <v>72</v>
      </c>
      <c r="D124" s="119" t="s">
        <v>635</v>
      </c>
      <c r="E124" s="118" t="s">
        <v>769</v>
      </c>
      <c r="F124" s="120">
        <v>2</v>
      </c>
      <c r="G124" s="121">
        <f>Overview!$B$14</f>
        <v>14</v>
      </c>
      <c r="H124" s="114">
        <f t="shared" si="19"/>
        <v>14</v>
      </c>
      <c r="I124" s="114">
        <f>Overview!$E$14</f>
        <v>0</v>
      </c>
      <c r="J124" s="175">
        <f t="shared" si="20"/>
        <v>0</v>
      </c>
      <c r="K124" s="174">
        <f>Overview!$H$14</f>
        <v>0</v>
      </c>
      <c r="L124" s="176" t="e">
        <f t="shared" si="21"/>
        <v>#DIV/0!</v>
      </c>
      <c r="M124" s="179" t="s">
        <v>4369</v>
      </c>
      <c r="N124" s="179" t="s">
        <v>963</v>
      </c>
      <c r="O124" s="141">
        <f t="shared" si="22"/>
        <v>0</v>
      </c>
      <c r="P124" s="181" t="b">
        <f>COUNTIF('Facility Data'!$A$1:$A$1500,"*"&amp;A124&amp;"*")&gt;0</f>
        <v>1</v>
      </c>
      <c r="Q124" s="181" t="b">
        <f>COUNTIF('Account Data'!$A$1:$A$1000,"*"&amp;A124&amp;"*")&gt;0</f>
        <v>1</v>
      </c>
      <c r="R124" s="182" t="b">
        <f t="shared" si="25"/>
        <v>1</v>
      </c>
      <c r="S124" s="182" t="b">
        <f t="shared" si="23"/>
        <v>1</v>
      </c>
      <c r="T124" s="181" t="b">
        <f>COUNTIF('New Items'!$A$1:$A$175,A124)&gt;0</f>
        <v>0</v>
      </c>
      <c r="U124" s="181" t="b">
        <f>COUNTIF(Discontinued!$A$1:$A$150,A124)&gt;0</f>
        <v>0</v>
      </c>
    </row>
    <row r="125" spans="1:21" s="8" customFormat="1" ht="11.25" x14ac:dyDescent="0.2">
      <c r="A125" s="152">
        <v>10002687</v>
      </c>
      <c r="B125" s="231" t="s">
        <v>1701</v>
      </c>
      <c r="C125" s="118" t="s">
        <v>1702</v>
      </c>
      <c r="D125" s="119" t="s">
        <v>1061</v>
      </c>
      <c r="E125" s="118" t="s">
        <v>769</v>
      </c>
      <c r="F125" s="120">
        <v>2</v>
      </c>
      <c r="G125" s="121">
        <f>Overview!$B$14</f>
        <v>14</v>
      </c>
      <c r="H125" s="114">
        <f t="shared" si="19"/>
        <v>14</v>
      </c>
      <c r="I125" s="114">
        <f>Overview!$E$14</f>
        <v>0</v>
      </c>
      <c r="J125" s="175">
        <f t="shared" si="20"/>
        <v>0</v>
      </c>
      <c r="K125" s="174">
        <f>Overview!$H$14</f>
        <v>0</v>
      </c>
      <c r="L125" s="176" t="e">
        <f t="shared" si="21"/>
        <v>#DIV/0!</v>
      </c>
      <c r="M125" s="179" t="s">
        <v>4369</v>
      </c>
      <c r="N125" s="179" t="s">
        <v>963</v>
      </c>
      <c r="O125" s="141">
        <f>I125</f>
        <v>0</v>
      </c>
      <c r="P125" s="181" t="b">
        <f>COUNTIF('Facility Data'!$A$1:$A$1500,"*"&amp;A125&amp;"*")&gt;0</f>
        <v>0</v>
      </c>
      <c r="Q125" s="181" t="b">
        <f>COUNTIF('Account Data'!$A$1:$A$1000,"*"&amp;A125&amp;"*")&gt;0</f>
        <v>0</v>
      </c>
      <c r="R125" s="182" t="b">
        <f t="shared" si="25"/>
        <v>0</v>
      </c>
      <c r="S125" s="182" t="b">
        <f t="shared" si="23"/>
        <v>0</v>
      </c>
      <c r="T125" s="181" t="b">
        <f>COUNTIF('New Items'!$A$1:$A$175,A125)&gt;0</f>
        <v>0</v>
      </c>
      <c r="U125" s="181" t="b">
        <f>COUNTIF(Discontinued!$A$1:$A$150,A125)&gt;0</f>
        <v>0</v>
      </c>
    </row>
    <row r="126" spans="1:21" s="8" customFormat="1" ht="11.25" x14ac:dyDescent="0.2">
      <c r="A126" s="152">
        <v>10000857</v>
      </c>
      <c r="B126" s="231" t="s">
        <v>1267</v>
      </c>
      <c r="C126" s="118" t="s">
        <v>1266</v>
      </c>
      <c r="D126" s="119" t="s">
        <v>1268</v>
      </c>
      <c r="E126" s="118" t="s">
        <v>769</v>
      </c>
      <c r="F126" s="120">
        <v>2</v>
      </c>
      <c r="G126" s="121">
        <f>Overview!$B$14</f>
        <v>14</v>
      </c>
      <c r="H126" s="114">
        <f t="shared" si="19"/>
        <v>14</v>
      </c>
      <c r="I126" s="114">
        <f>Overview!$E$14</f>
        <v>0</v>
      </c>
      <c r="J126" s="175">
        <f t="shared" si="20"/>
        <v>0</v>
      </c>
      <c r="K126" s="174">
        <f>Overview!$H$14</f>
        <v>0</v>
      </c>
      <c r="L126" s="176" t="e">
        <f t="shared" si="21"/>
        <v>#DIV/0!</v>
      </c>
      <c r="M126" s="179" t="s">
        <v>4369</v>
      </c>
      <c r="N126" s="179" t="s">
        <v>963</v>
      </c>
      <c r="O126" s="141">
        <f t="shared" si="22"/>
        <v>0</v>
      </c>
      <c r="P126" s="181" t="b">
        <f>COUNTIF('Facility Data'!$A$1:$A$1500,"*"&amp;A126&amp;"*")&gt;0</f>
        <v>0</v>
      </c>
      <c r="Q126" s="181" t="b">
        <f>COUNTIF('Account Data'!$A$1:$A$1000,"*"&amp;A126&amp;"*")&gt;0</f>
        <v>0</v>
      </c>
      <c r="R126" s="182" t="b">
        <f t="shared" si="25"/>
        <v>0</v>
      </c>
      <c r="S126" s="182" t="b">
        <f t="shared" si="23"/>
        <v>0</v>
      </c>
      <c r="T126" s="181" t="b">
        <f>COUNTIF('New Items'!$A$1:$A$175,A126)&gt;0</f>
        <v>0</v>
      </c>
      <c r="U126" s="181" t="b">
        <f>COUNTIF(Discontinued!$A$1:$A$150,A126)&gt;0</f>
        <v>0</v>
      </c>
    </row>
    <row r="127" spans="1:21" s="8" customFormat="1" ht="11.25" x14ac:dyDescent="0.2">
      <c r="A127" s="152">
        <v>10087790</v>
      </c>
      <c r="B127" s="231" t="s">
        <v>32</v>
      </c>
      <c r="C127" s="118" t="s">
        <v>71</v>
      </c>
      <c r="D127" s="119" t="s">
        <v>651</v>
      </c>
      <c r="E127" s="118" t="s">
        <v>769</v>
      </c>
      <c r="F127" s="120">
        <v>2</v>
      </c>
      <c r="G127" s="121">
        <f>Overview!$B$14</f>
        <v>14</v>
      </c>
      <c r="H127" s="114">
        <f t="shared" si="19"/>
        <v>14</v>
      </c>
      <c r="I127" s="114">
        <f>Overview!$E$14</f>
        <v>0</v>
      </c>
      <c r="J127" s="175">
        <f t="shared" si="20"/>
        <v>0</v>
      </c>
      <c r="K127" s="174">
        <f>Overview!$H$14</f>
        <v>0</v>
      </c>
      <c r="L127" s="176" t="e">
        <f t="shared" si="21"/>
        <v>#DIV/0!</v>
      </c>
      <c r="M127" s="179" t="s">
        <v>4369</v>
      </c>
      <c r="N127" s="179" t="s">
        <v>963</v>
      </c>
      <c r="O127" s="141">
        <f>I127</f>
        <v>0</v>
      </c>
      <c r="P127" s="181" t="b">
        <f>COUNTIF('Facility Data'!$A$1:$A$1500,"*"&amp;A127&amp;"*")&gt;0</f>
        <v>1</v>
      </c>
      <c r="Q127" s="181" t="b">
        <f>COUNTIF('Account Data'!$A$1:$A$1000,"*"&amp;A127&amp;"*")&gt;0</f>
        <v>1</v>
      </c>
      <c r="R127" s="182" t="b">
        <f t="shared" si="25"/>
        <v>1</v>
      </c>
      <c r="S127" s="182" t="b">
        <f t="shared" si="23"/>
        <v>1</v>
      </c>
      <c r="T127" s="181" t="b">
        <f>COUNTIF('New Items'!$A$1:$A$175,A127)&gt;0</f>
        <v>0</v>
      </c>
      <c r="U127" s="181" t="b">
        <f>COUNTIF(Discontinued!$A$1:$A$150,A127)&gt;0</f>
        <v>0</v>
      </c>
    </row>
    <row r="128" spans="1:21" s="8" customFormat="1" ht="11.25" x14ac:dyDescent="0.2">
      <c r="A128" s="152">
        <v>10087798</v>
      </c>
      <c r="B128" s="231" t="s">
        <v>1703</v>
      </c>
      <c r="C128" s="118" t="s">
        <v>1704</v>
      </c>
      <c r="D128" s="119" t="s">
        <v>1294</v>
      </c>
      <c r="E128" s="118" t="s">
        <v>769</v>
      </c>
      <c r="F128" s="120">
        <v>2</v>
      </c>
      <c r="G128" s="121">
        <f>Overview!$B$14</f>
        <v>14</v>
      </c>
      <c r="H128" s="114">
        <f t="shared" si="19"/>
        <v>14</v>
      </c>
      <c r="I128" s="114">
        <f>Overview!$E$14</f>
        <v>0</v>
      </c>
      <c r="J128" s="175">
        <f t="shared" si="20"/>
        <v>0</v>
      </c>
      <c r="K128" s="174">
        <f>Overview!$H$14</f>
        <v>0</v>
      </c>
      <c r="L128" s="176" t="e">
        <f t="shared" si="21"/>
        <v>#DIV/0!</v>
      </c>
      <c r="M128" s="179" t="s">
        <v>4369</v>
      </c>
      <c r="N128" s="179" t="s">
        <v>963</v>
      </c>
      <c r="O128" s="141">
        <f t="shared" si="22"/>
        <v>0</v>
      </c>
      <c r="P128" s="181" t="b">
        <f>COUNTIF('Facility Data'!$A$1:$A$1500,"*"&amp;A128&amp;"*")&gt;0</f>
        <v>0</v>
      </c>
      <c r="Q128" s="181" t="b">
        <f>COUNTIF('Account Data'!$A$1:$A$1000,"*"&amp;A128&amp;"*")&gt;0</f>
        <v>0</v>
      </c>
      <c r="R128" s="182" t="b">
        <f t="shared" si="25"/>
        <v>0</v>
      </c>
      <c r="S128" s="182" t="b">
        <f t="shared" si="23"/>
        <v>0</v>
      </c>
      <c r="T128" s="181" t="b">
        <f>COUNTIF('New Items'!$A$1:$A$175,A128)&gt;0</f>
        <v>0</v>
      </c>
      <c r="U128" s="181" t="b">
        <f>COUNTIF(Discontinued!$A$1:$A$150,A128)&gt;0</f>
        <v>0</v>
      </c>
    </row>
    <row r="129" spans="1:21" s="8" customFormat="1" ht="11.25" x14ac:dyDescent="0.2">
      <c r="A129" s="152">
        <v>10021944</v>
      </c>
      <c r="B129" s="231" t="s">
        <v>3265</v>
      </c>
      <c r="C129" s="118" t="s">
        <v>926</v>
      </c>
      <c r="D129" s="119" t="s">
        <v>922</v>
      </c>
      <c r="E129" s="118" t="s">
        <v>769</v>
      </c>
      <c r="F129" s="120">
        <v>2</v>
      </c>
      <c r="G129" s="121">
        <f>Overview!$B$14</f>
        <v>14</v>
      </c>
      <c r="H129" s="114">
        <f t="shared" si="19"/>
        <v>14</v>
      </c>
      <c r="I129" s="114">
        <f>Overview!$E$14</f>
        <v>0</v>
      </c>
      <c r="J129" s="175">
        <f t="shared" si="20"/>
        <v>0</v>
      </c>
      <c r="K129" s="174">
        <f>Overview!$H$14</f>
        <v>0</v>
      </c>
      <c r="L129" s="176" t="e">
        <f t="shared" si="21"/>
        <v>#DIV/0!</v>
      </c>
      <c r="M129" s="179" t="s">
        <v>921</v>
      </c>
      <c r="N129" s="179" t="s">
        <v>963</v>
      </c>
      <c r="O129" s="141">
        <f t="shared" si="22"/>
        <v>0</v>
      </c>
      <c r="P129" s="181" t="b">
        <f>COUNTIF('Facility Data'!$A$1:$A$1500,"*"&amp;A129&amp;"*")&gt;0</f>
        <v>0</v>
      </c>
      <c r="Q129" s="181" t="b">
        <f>COUNTIF('Account Data'!$A$1:$A$1000,"*"&amp;A129&amp;"*")&gt;0</f>
        <v>1</v>
      </c>
      <c r="R129" s="182" t="b">
        <f t="shared" si="25"/>
        <v>0</v>
      </c>
      <c r="S129" s="182" t="b">
        <f t="shared" si="23"/>
        <v>1</v>
      </c>
      <c r="T129" s="181" t="b">
        <f>COUNTIF('New Items'!$A$1:$A$175,A129)&gt;0</f>
        <v>0</v>
      </c>
      <c r="U129" s="181" t="b">
        <f>COUNTIF(Discontinued!$A$1:$A$150,A129)&gt;0</f>
        <v>0</v>
      </c>
    </row>
    <row r="130" spans="1:21" s="8" customFormat="1" ht="11.25" x14ac:dyDescent="0.2">
      <c r="A130" s="152">
        <v>10021945</v>
      </c>
      <c r="B130" s="231" t="s">
        <v>3266</v>
      </c>
      <c r="C130" s="118" t="s">
        <v>927</v>
      </c>
      <c r="D130" s="119" t="s">
        <v>925</v>
      </c>
      <c r="E130" s="118" t="s">
        <v>769</v>
      </c>
      <c r="F130" s="120">
        <v>2</v>
      </c>
      <c r="G130" s="121">
        <f>Overview!$B$14</f>
        <v>14</v>
      </c>
      <c r="H130" s="114">
        <f t="shared" si="19"/>
        <v>14</v>
      </c>
      <c r="I130" s="114">
        <f>Overview!$E$14</f>
        <v>0</v>
      </c>
      <c r="J130" s="175">
        <f t="shared" si="20"/>
        <v>0</v>
      </c>
      <c r="K130" s="174">
        <f>Overview!$H$14</f>
        <v>0</v>
      </c>
      <c r="L130" s="176" t="e">
        <f t="shared" si="21"/>
        <v>#DIV/0!</v>
      </c>
      <c r="M130" s="179" t="s">
        <v>921</v>
      </c>
      <c r="N130" s="179" t="s">
        <v>963</v>
      </c>
      <c r="O130" s="141">
        <f t="shared" si="22"/>
        <v>0</v>
      </c>
      <c r="P130" s="181" t="b">
        <f>COUNTIF('Facility Data'!$A$1:$A$1500,"*"&amp;A130&amp;"*")&gt;0</f>
        <v>0</v>
      </c>
      <c r="Q130" s="181" t="b">
        <f>COUNTIF('Account Data'!$A$1:$A$1000,"*"&amp;A130&amp;"*")&gt;0</f>
        <v>0</v>
      </c>
      <c r="R130" s="182" t="b">
        <f t="shared" si="25"/>
        <v>0</v>
      </c>
      <c r="S130" s="182" t="b">
        <f t="shared" si="23"/>
        <v>0</v>
      </c>
      <c r="T130" s="181" t="b">
        <f>COUNTIF('New Items'!$A$1:$A$175,A130)&gt;0</f>
        <v>0</v>
      </c>
      <c r="U130" s="181" t="b">
        <f>COUNTIF(Discontinued!$A$1:$A$150,A130)&gt;0</f>
        <v>0</v>
      </c>
    </row>
    <row r="131" spans="1:21" s="8" customFormat="1" ht="11.25" x14ac:dyDescent="0.2">
      <c r="A131" s="152">
        <v>10021904</v>
      </c>
      <c r="B131" s="231" t="s">
        <v>3267</v>
      </c>
      <c r="C131" s="118" t="s">
        <v>928</v>
      </c>
      <c r="D131" s="119" t="s">
        <v>923</v>
      </c>
      <c r="E131" s="118" t="s">
        <v>769</v>
      </c>
      <c r="F131" s="120">
        <v>2</v>
      </c>
      <c r="G131" s="121">
        <f>Overview!$B$14</f>
        <v>14</v>
      </c>
      <c r="H131" s="114">
        <f t="shared" si="19"/>
        <v>14</v>
      </c>
      <c r="I131" s="114">
        <f>Overview!$E$14</f>
        <v>0</v>
      </c>
      <c r="J131" s="175">
        <f t="shared" si="20"/>
        <v>0</v>
      </c>
      <c r="K131" s="174">
        <f>Overview!$H$14</f>
        <v>0</v>
      </c>
      <c r="L131" s="176" t="e">
        <f t="shared" si="21"/>
        <v>#DIV/0!</v>
      </c>
      <c r="M131" s="179" t="s">
        <v>921</v>
      </c>
      <c r="N131" s="179" t="s">
        <v>963</v>
      </c>
      <c r="O131" s="141">
        <f t="shared" si="22"/>
        <v>0</v>
      </c>
      <c r="P131" s="181" t="b">
        <f>COUNTIF('Facility Data'!$A$1:$A$1500,"*"&amp;A131&amp;"*")&gt;0</f>
        <v>0</v>
      </c>
      <c r="Q131" s="181" t="b">
        <f>COUNTIF('Account Data'!$A$1:$A$1000,"*"&amp;A131&amp;"*")&gt;0</f>
        <v>1</v>
      </c>
      <c r="R131" s="182" t="b">
        <f t="shared" si="25"/>
        <v>0</v>
      </c>
      <c r="S131" s="182" t="b">
        <f t="shared" si="23"/>
        <v>1</v>
      </c>
      <c r="T131" s="181" t="b">
        <f>COUNTIF('New Items'!$A$1:$A$175,A131)&gt;0</f>
        <v>0</v>
      </c>
      <c r="U131" s="181" t="b">
        <f>COUNTIF(Discontinued!$A$1:$A$150,A131)&gt;0</f>
        <v>0</v>
      </c>
    </row>
    <row r="132" spans="1:21" s="8" customFormat="1" ht="11.25" x14ac:dyDescent="0.2">
      <c r="A132" s="152">
        <v>10021907</v>
      </c>
      <c r="B132" s="231" t="s">
        <v>3268</v>
      </c>
      <c r="C132" s="118" t="s">
        <v>929</v>
      </c>
      <c r="D132" s="119" t="s">
        <v>924</v>
      </c>
      <c r="E132" s="118" t="s">
        <v>769</v>
      </c>
      <c r="F132" s="120">
        <v>2</v>
      </c>
      <c r="G132" s="121">
        <f>Overview!$B$14</f>
        <v>14</v>
      </c>
      <c r="H132" s="114">
        <f t="shared" si="19"/>
        <v>14</v>
      </c>
      <c r="I132" s="114">
        <f>Overview!$E$14</f>
        <v>0</v>
      </c>
      <c r="J132" s="175">
        <f t="shared" si="20"/>
        <v>0</v>
      </c>
      <c r="K132" s="174">
        <f>Overview!$H$14</f>
        <v>0</v>
      </c>
      <c r="L132" s="176" t="e">
        <f t="shared" si="21"/>
        <v>#DIV/0!</v>
      </c>
      <c r="M132" s="179" t="s">
        <v>921</v>
      </c>
      <c r="N132" s="179" t="s">
        <v>963</v>
      </c>
      <c r="O132" s="141">
        <f t="shared" si="22"/>
        <v>0</v>
      </c>
      <c r="P132" s="181" t="b">
        <f>COUNTIF('Facility Data'!$A$1:$A$1500,"*"&amp;A132&amp;"*")&gt;0</f>
        <v>0</v>
      </c>
      <c r="Q132" s="181" t="b">
        <f>COUNTIF('Account Data'!$A$1:$A$1000,"*"&amp;A132&amp;"*")&gt;0</f>
        <v>1</v>
      </c>
      <c r="R132" s="182" t="b">
        <f t="shared" si="25"/>
        <v>0</v>
      </c>
      <c r="S132" s="182" t="b">
        <f t="shared" si="23"/>
        <v>1</v>
      </c>
      <c r="T132" s="181" t="b">
        <f>COUNTIF('New Items'!$A$1:$A$175,A132)&gt;0</f>
        <v>0</v>
      </c>
      <c r="U132" s="181" t="b">
        <f>COUNTIF(Discontinued!$A$1:$A$150,A132)&gt;0</f>
        <v>0</v>
      </c>
    </row>
    <row r="133" spans="1:21" s="8" customFormat="1" ht="11.25" x14ac:dyDescent="0.2">
      <c r="A133" s="152">
        <v>10000904</v>
      </c>
      <c r="B133" s="231" t="s">
        <v>60</v>
      </c>
      <c r="C133" s="118" t="s">
        <v>97</v>
      </c>
      <c r="D133" s="119" t="s">
        <v>652</v>
      </c>
      <c r="E133" s="118" t="s">
        <v>769</v>
      </c>
      <c r="F133" s="120">
        <v>2</v>
      </c>
      <c r="G133" s="121">
        <f>Overview!$B$14</f>
        <v>14</v>
      </c>
      <c r="H133" s="114">
        <f t="shared" si="19"/>
        <v>14</v>
      </c>
      <c r="I133" s="114">
        <f>Overview!$E$14</f>
        <v>0</v>
      </c>
      <c r="J133" s="175">
        <f t="shared" si="20"/>
        <v>0</v>
      </c>
      <c r="K133" s="174">
        <f>Overview!$H$14</f>
        <v>0</v>
      </c>
      <c r="L133" s="176" t="e">
        <f t="shared" si="21"/>
        <v>#DIV/0!</v>
      </c>
      <c r="M133" s="179"/>
      <c r="N133" s="179" t="s">
        <v>963</v>
      </c>
      <c r="O133" s="141">
        <f t="shared" si="22"/>
        <v>0</v>
      </c>
      <c r="P133" s="181" t="b">
        <f>COUNTIF('Facility Data'!$A$1:$A$1500,"*"&amp;A133&amp;"*")&gt;0</f>
        <v>1</v>
      </c>
      <c r="Q133" s="181" t="b">
        <f>COUNTIF('Account Data'!$A$1:$A$1000,"*"&amp;A133&amp;"*")&gt;0</f>
        <v>1</v>
      </c>
      <c r="R133" s="182" t="b">
        <f t="shared" si="25"/>
        <v>1</v>
      </c>
      <c r="S133" s="182" t="b">
        <f t="shared" si="23"/>
        <v>1</v>
      </c>
      <c r="T133" s="181" t="b">
        <f>COUNTIF('New Items'!$A$1:$A$175,A133)&gt;0</f>
        <v>0</v>
      </c>
      <c r="U133" s="181" t="b">
        <f>COUNTIF(Discontinued!$A$1:$A$150,A133)&gt;0</f>
        <v>0</v>
      </c>
    </row>
    <row r="134" spans="1:21" s="8" customFormat="1" ht="11.25" x14ac:dyDescent="0.2">
      <c r="A134" s="152">
        <v>10000905</v>
      </c>
      <c r="B134" s="231" t="s">
        <v>4756</v>
      </c>
      <c r="C134" s="118" t="s">
        <v>87</v>
      </c>
      <c r="D134" s="119" t="s">
        <v>4737</v>
      </c>
      <c r="E134" s="118" t="s">
        <v>769</v>
      </c>
      <c r="F134" s="120">
        <v>2</v>
      </c>
      <c r="G134" s="121">
        <f>Overview!$B$14</f>
        <v>14</v>
      </c>
      <c r="H134" s="114">
        <f>G134-I134</f>
        <v>14</v>
      </c>
      <c r="I134" s="114">
        <f>Overview!$E$14</f>
        <v>0</v>
      </c>
      <c r="J134" s="175">
        <f>I134/F134</f>
        <v>0</v>
      </c>
      <c r="K134" s="174">
        <f>Overview!$H$14</f>
        <v>0</v>
      </c>
      <c r="L134" s="176" t="e">
        <f>(K134-J134)/K134</f>
        <v>#DIV/0!</v>
      </c>
      <c r="M134" s="179"/>
      <c r="N134" s="179" t="s">
        <v>963</v>
      </c>
      <c r="O134" s="141">
        <f>I134</f>
        <v>0</v>
      </c>
      <c r="P134" s="181" t="b">
        <f>COUNTIF('Facility Data'!$A$1:$A$1500,"*"&amp;A134&amp;"*")&gt;0</f>
        <v>1</v>
      </c>
      <c r="Q134" s="181" t="b">
        <f>COUNTIF('Account Data'!$A$1:$A$1000,"*"&amp;A134&amp;"*")&gt;0</f>
        <v>1</v>
      </c>
      <c r="R134" s="182" t="b">
        <f>IF(OR(P134=TRUE,T134=TRUE),TRUE,FALSE)</f>
        <v>1</v>
      </c>
      <c r="S134" s="182" t="b">
        <f>IF(OR(Q134=TRUE,T134=TRUE),TRUE,FALSE)</f>
        <v>1</v>
      </c>
      <c r="T134" s="181" t="b">
        <f>COUNTIF('New Items'!$A$1:$A$175,A134)&gt;0</f>
        <v>0</v>
      </c>
      <c r="U134" s="181" t="b">
        <f>COUNTIF(Discontinued!$A$1:$A$150,A134)&gt;0</f>
        <v>0</v>
      </c>
    </row>
    <row r="135" spans="1:21" s="8" customFormat="1" ht="11.25" x14ac:dyDescent="0.2">
      <c r="A135" s="152">
        <v>10126463</v>
      </c>
      <c r="B135" s="231" t="s">
        <v>3957</v>
      </c>
      <c r="C135" s="118" t="s">
        <v>3958</v>
      </c>
      <c r="D135" s="119" t="s">
        <v>3773</v>
      </c>
      <c r="E135" s="118" t="s">
        <v>769</v>
      </c>
      <c r="F135" s="120">
        <v>2</v>
      </c>
      <c r="G135" s="121">
        <f>Overview!$B$14</f>
        <v>14</v>
      </c>
      <c r="H135" s="114">
        <f>G135-I135</f>
        <v>14</v>
      </c>
      <c r="I135" s="114">
        <f>Overview!$E$14</f>
        <v>0</v>
      </c>
      <c r="J135" s="175">
        <f>I135/F135</f>
        <v>0</v>
      </c>
      <c r="K135" s="174">
        <f>Overview!$H$14</f>
        <v>0</v>
      </c>
      <c r="L135" s="176" t="e">
        <f>(K135-J135)/K135</f>
        <v>#DIV/0!</v>
      </c>
      <c r="M135" s="179"/>
      <c r="N135" s="179" t="s">
        <v>963</v>
      </c>
      <c r="O135" s="141">
        <f>I135</f>
        <v>0</v>
      </c>
      <c r="P135" s="181" t="b">
        <f>COUNTIF('Facility Data'!$A$1:$A$1500,"*"&amp;A135&amp;"*")&gt;0</f>
        <v>1</v>
      </c>
      <c r="Q135" s="181" t="b">
        <f>COUNTIF('Account Data'!$A$1:$A$1000,"*"&amp;A135&amp;"*")&gt;0</f>
        <v>0</v>
      </c>
      <c r="R135" s="182" t="b">
        <f t="shared" si="25"/>
        <v>1</v>
      </c>
      <c r="S135" s="182" t="b">
        <f>IF(OR(Q135=TRUE,T135=TRUE),TRUE,FALSE)</f>
        <v>0</v>
      </c>
      <c r="T135" s="181" t="b">
        <f>COUNTIF('New Items'!$A$1:$A$175,A135)&gt;0</f>
        <v>0</v>
      </c>
      <c r="U135" s="181" t="b">
        <f>COUNTIF(Discontinued!$A$1:$A$150,A135)&gt;0</f>
        <v>0</v>
      </c>
    </row>
    <row r="136" spans="1:21" s="8" customFormat="1" ht="11.25" x14ac:dyDescent="0.2">
      <c r="A136" s="152">
        <v>10105905</v>
      </c>
      <c r="B136" s="231" t="s">
        <v>4046</v>
      </c>
      <c r="C136" s="118" t="s">
        <v>798</v>
      </c>
      <c r="D136" s="119" t="s">
        <v>796</v>
      </c>
      <c r="E136" s="118" t="s">
        <v>769</v>
      </c>
      <c r="F136" s="120">
        <v>2</v>
      </c>
      <c r="G136" s="121">
        <f>Overview!$B$14</f>
        <v>14</v>
      </c>
      <c r="H136" s="114">
        <f t="shared" si="19"/>
        <v>14</v>
      </c>
      <c r="I136" s="114">
        <f>Overview!$E$14</f>
        <v>0</v>
      </c>
      <c r="J136" s="175">
        <f t="shared" si="20"/>
        <v>0</v>
      </c>
      <c r="K136" s="174">
        <f>Overview!$H$14</f>
        <v>0</v>
      </c>
      <c r="L136" s="176" t="e">
        <f t="shared" si="21"/>
        <v>#DIV/0!</v>
      </c>
      <c r="M136" s="179"/>
      <c r="N136" s="179" t="s">
        <v>963</v>
      </c>
      <c r="O136" s="141">
        <f t="shared" si="22"/>
        <v>0</v>
      </c>
      <c r="P136" s="181" t="b">
        <f>COUNTIF('Facility Data'!$A$1:$A$1500,"*"&amp;A136&amp;"*")&gt;0</f>
        <v>1</v>
      </c>
      <c r="Q136" s="181" t="b">
        <f>COUNTIF('Account Data'!$A$1:$A$1000,"*"&amp;A136&amp;"*")&gt;0</f>
        <v>1</v>
      </c>
      <c r="R136" s="182" t="b">
        <f t="shared" si="25"/>
        <v>1</v>
      </c>
      <c r="S136" s="182" t="b">
        <f t="shared" si="23"/>
        <v>1</v>
      </c>
      <c r="T136" s="181" t="b">
        <f>COUNTIF('New Items'!$A$1:$A$175,A136)&gt;0</f>
        <v>0</v>
      </c>
      <c r="U136" s="181" t="b">
        <f>COUNTIF(Discontinued!$A$1:$A$150,A136)&gt;0</f>
        <v>0</v>
      </c>
    </row>
    <row r="137" spans="1:21" s="8" customFormat="1" ht="11.25" x14ac:dyDescent="0.2">
      <c r="A137" s="152">
        <v>10119253</v>
      </c>
      <c r="B137" s="231" t="s">
        <v>4757</v>
      </c>
      <c r="C137" s="118" t="s">
        <v>1055</v>
      </c>
      <c r="D137" s="119" t="s">
        <v>4758</v>
      </c>
      <c r="E137" s="118" t="s">
        <v>769</v>
      </c>
      <c r="F137" s="120">
        <v>2</v>
      </c>
      <c r="G137" s="121">
        <f>Overview!$B$14</f>
        <v>14</v>
      </c>
      <c r="H137" s="114">
        <f>G137-I137</f>
        <v>14</v>
      </c>
      <c r="I137" s="114">
        <f>Overview!$E$14</f>
        <v>0</v>
      </c>
      <c r="J137" s="175">
        <f>I137/F137</f>
        <v>0</v>
      </c>
      <c r="K137" s="174">
        <f>Overview!$H$14</f>
        <v>0</v>
      </c>
      <c r="L137" s="176" t="e">
        <f>(K137-J137)/K137</f>
        <v>#DIV/0!</v>
      </c>
      <c r="M137" s="179"/>
      <c r="N137" s="179" t="s">
        <v>963</v>
      </c>
      <c r="O137" s="141">
        <f>I137</f>
        <v>0</v>
      </c>
      <c r="P137" s="181" t="b">
        <f>COUNTIF('Facility Data'!$A$1:$A$1500,"*"&amp;A137&amp;"*")&gt;0</f>
        <v>1</v>
      </c>
      <c r="Q137" s="181" t="b">
        <f>COUNTIF('Account Data'!$A$1:$A$1000,"*"&amp;A137&amp;"*")&gt;0</f>
        <v>0</v>
      </c>
      <c r="R137" s="182" t="b">
        <f>IF(OR(P137=TRUE,T137=TRUE),TRUE,FALSE)</f>
        <v>1</v>
      </c>
      <c r="S137" s="182" t="b">
        <f>IF(OR(Q137=TRUE,T137=TRUE),TRUE,FALSE)</f>
        <v>0</v>
      </c>
      <c r="T137" s="181" t="b">
        <f>COUNTIF('New Items'!$A$1:$A$175,A137)&gt;0</f>
        <v>0</v>
      </c>
      <c r="U137" s="181" t="b">
        <f>COUNTIF(Discontinued!$A$1:$A$150,A137)&gt;0</f>
        <v>0</v>
      </c>
    </row>
    <row r="138" spans="1:21" s="8" customFormat="1" ht="11.25" x14ac:dyDescent="0.2">
      <c r="A138" s="152">
        <v>10105908</v>
      </c>
      <c r="B138" s="231" t="s">
        <v>1056</v>
      </c>
      <c r="C138" s="118" t="s">
        <v>1057</v>
      </c>
      <c r="D138" s="119" t="s">
        <v>1058</v>
      </c>
      <c r="E138" s="118" t="s">
        <v>769</v>
      </c>
      <c r="F138" s="120">
        <v>2</v>
      </c>
      <c r="G138" s="121">
        <f>Overview!$B$14</f>
        <v>14</v>
      </c>
      <c r="H138" s="114">
        <f t="shared" si="19"/>
        <v>14</v>
      </c>
      <c r="I138" s="114">
        <f>Overview!$E$14</f>
        <v>0</v>
      </c>
      <c r="J138" s="175">
        <f t="shared" si="20"/>
        <v>0</v>
      </c>
      <c r="K138" s="174">
        <f>Overview!$H$14</f>
        <v>0</v>
      </c>
      <c r="L138" s="176" t="e">
        <f t="shared" si="21"/>
        <v>#DIV/0!</v>
      </c>
      <c r="M138" s="179"/>
      <c r="N138" s="179" t="s">
        <v>963</v>
      </c>
      <c r="O138" s="141">
        <f t="shared" si="22"/>
        <v>0</v>
      </c>
      <c r="P138" s="181" t="b">
        <f>COUNTIF('Facility Data'!$A$1:$A$1500,"*"&amp;A138&amp;"*")&gt;0</f>
        <v>1</v>
      </c>
      <c r="Q138" s="181" t="b">
        <f>COUNTIF('Account Data'!$A$1:$A$1000,"*"&amp;A138&amp;"*")&gt;0</f>
        <v>0</v>
      </c>
      <c r="R138" s="182" t="b">
        <f t="shared" si="25"/>
        <v>1</v>
      </c>
      <c r="S138" s="182" t="b">
        <f t="shared" si="23"/>
        <v>0</v>
      </c>
      <c r="T138" s="181" t="b">
        <f>COUNTIF('New Items'!$A$1:$A$175,A138)&gt;0</f>
        <v>0</v>
      </c>
      <c r="U138" s="181" t="b">
        <f>COUNTIF(Discontinued!$A$1:$A$150,A138)&gt;0</f>
        <v>0</v>
      </c>
    </row>
    <row r="139" spans="1:21" s="8" customFormat="1" ht="11.25" x14ac:dyDescent="0.2">
      <c r="A139" s="152">
        <v>10001994</v>
      </c>
      <c r="B139" s="231" t="s">
        <v>114</v>
      </c>
      <c r="C139" s="118" t="s">
        <v>103</v>
      </c>
      <c r="D139" s="119" t="s">
        <v>653</v>
      </c>
      <c r="E139" s="118" t="s">
        <v>769</v>
      </c>
      <c r="F139" s="120">
        <v>2</v>
      </c>
      <c r="G139" s="121">
        <f>Overview!$B$14</f>
        <v>14</v>
      </c>
      <c r="H139" s="114">
        <f t="shared" si="19"/>
        <v>14</v>
      </c>
      <c r="I139" s="114">
        <f>Overview!$E$14</f>
        <v>0</v>
      </c>
      <c r="J139" s="175">
        <f t="shared" si="20"/>
        <v>0</v>
      </c>
      <c r="K139" s="174">
        <f>Overview!$H$14</f>
        <v>0</v>
      </c>
      <c r="L139" s="176" t="e">
        <f t="shared" si="21"/>
        <v>#DIV/0!</v>
      </c>
      <c r="M139" s="179"/>
      <c r="N139" s="179" t="s">
        <v>963</v>
      </c>
      <c r="O139" s="141">
        <f>I139</f>
        <v>0</v>
      </c>
      <c r="P139" s="181" t="b">
        <f>COUNTIF('Facility Data'!$A$1:$A$1500,"*"&amp;A139&amp;"*")&gt;0</f>
        <v>1</v>
      </c>
      <c r="Q139" s="181" t="b">
        <f>COUNTIF('Account Data'!$A$1:$A$1000,"*"&amp;A139&amp;"*")&gt;0</f>
        <v>1</v>
      </c>
      <c r="R139" s="182" t="b">
        <f t="shared" si="25"/>
        <v>1</v>
      </c>
      <c r="S139" s="182" t="b">
        <f t="shared" si="23"/>
        <v>1</v>
      </c>
      <c r="T139" s="181" t="b">
        <f>COUNTIF('New Items'!$A$1:$A$175,A139)&gt;0</f>
        <v>0</v>
      </c>
      <c r="U139" s="181" t="b">
        <f>COUNTIF(Discontinued!$A$1:$A$150,A139)&gt;0</f>
        <v>0</v>
      </c>
    </row>
    <row r="140" spans="1:21" s="8" customFormat="1" ht="11.25" x14ac:dyDescent="0.2">
      <c r="A140" s="152">
        <v>10003047</v>
      </c>
      <c r="B140" s="231" t="s">
        <v>4759</v>
      </c>
      <c r="C140" s="118" t="s">
        <v>1604</v>
      </c>
      <c r="D140" s="119" t="s">
        <v>4760</v>
      </c>
      <c r="E140" s="118" t="s">
        <v>769</v>
      </c>
      <c r="F140" s="120">
        <v>2</v>
      </c>
      <c r="G140" s="121">
        <f>Overview!$B$14</f>
        <v>14</v>
      </c>
      <c r="H140" s="114">
        <f>G140-I140</f>
        <v>14</v>
      </c>
      <c r="I140" s="114">
        <f>Overview!$E$14</f>
        <v>0</v>
      </c>
      <c r="J140" s="175">
        <f>I140/F140</f>
        <v>0</v>
      </c>
      <c r="K140" s="174">
        <f>Overview!$H$14</f>
        <v>0</v>
      </c>
      <c r="L140" s="176" t="e">
        <f>(K140-J140)/K140</f>
        <v>#DIV/0!</v>
      </c>
      <c r="M140" s="179"/>
      <c r="N140" s="179" t="s">
        <v>963</v>
      </c>
      <c r="O140" s="141">
        <f>I140</f>
        <v>0</v>
      </c>
      <c r="P140" s="181" t="b">
        <f>COUNTIF('Facility Data'!$A$1:$A$1500,"*"&amp;A140&amp;"*")&gt;0</f>
        <v>0</v>
      </c>
      <c r="Q140" s="181" t="b">
        <f>COUNTIF('Account Data'!$A$1:$A$1000,"*"&amp;A140&amp;"*")&gt;0</f>
        <v>0</v>
      </c>
      <c r="R140" s="182" t="b">
        <f>IF(OR(P140=TRUE,T140=TRUE),TRUE,FALSE)</f>
        <v>0</v>
      </c>
      <c r="S140" s="182" t="b">
        <f>IF(OR(Q140=TRUE,T140=TRUE),TRUE,FALSE)</f>
        <v>0</v>
      </c>
      <c r="T140" s="181" t="b">
        <f>COUNTIF('New Items'!$A$1:$A$175,A140)&gt;0</f>
        <v>0</v>
      </c>
      <c r="U140" s="181" t="b">
        <f>COUNTIF(Discontinued!$A$1:$A$150,A140)&gt;0</f>
        <v>0</v>
      </c>
    </row>
    <row r="141" spans="1:21" s="8" customFormat="1" ht="11.25" x14ac:dyDescent="0.2">
      <c r="A141" s="152">
        <v>10086453</v>
      </c>
      <c r="B141" s="231" t="s">
        <v>61</v>
      </c>
      <c r="C141" s="118" t="s">
        <v>98</v>
      </c>
      <c r="D141" s="119" t="s">
        <v>654</v>
      </c>
      <c r="E141" s="118" t="s">
        <v>769</v>
      </c>
      <c r="F141" s="120">
        <v>2</v>
      </c>
      <c r="G141" s="121">
        <f>Overview!$B$14</f>
        <v>14</v>
      </c>
      <c r="H141" s="114">
        <f t="shared" si="19"/>
        <v>14</v>
      </c>
      <c r="I141" s="114">
        <f>Overview!$E$14</f>
        <v>0</v>
      </c>
      <c r="J141" s="175">
        <f t="shared" si="20"/>
        <v>0</v>
      </c>
      <c r="K141" s="174">
        <f>Overview!$H$14</f>
        <v>0</v>
      </c>
      <c r="L141" s="176" t="e">
        <f t="shared" si="21"/>
        <v>#DIV/0!</v>
      </c>
      <c r="M141" s="179"/>
      <c r="N141" s="179" t="s">
        <v>963</v>
      </c>
      <c r="O141" s="141">
        <f>I141</f>
        <v>0</v>
      </c>
      <c r="P141" s="181" t="b">
        <f>COUNTIF('Facility Data'!$A$1:$A$1500,"*"&amp;A141&amp;"*")&gt;0</f>
        <v>0</v>
      </c>
      <c r="Q141" s="181" t="b">
        <f>COUNTIF('Account Data'!$A$1:$A$1000,"*"&amp;A141&amp;"*")&gt;0</f>
        <v>0</v>
      </c>
      <c r="R141" s="182" t="b">
        <f t="shared" si="25"/>
        <v>0</v>
      </c>
      <c r="S141" s="182" t="b">
        <f t="shared" si="23"/>
        <v>0</v>
      </c>
      <c r="T141" s="181" t="b">
        <f>COUNTIF('New Items'!$A$1:$A$175,A141)&gt;0</f>
        <v>0</v>
      </c>
      <c r="U141" s="181" t="b">
        <f>COUNTIF(Discontinued!$A$1:$A$150,A141)&gt;0</f>
        <v>0</v>
      </c>
    </row>
    <row r="142" spans="1:21" s="8" customFormat="1" ht="11.25" x14ac:dyDescent="0.2">
      <c r="A142" s="152">
        <v>10000891</v>
      </c>
      <c r="B142" s="231" t="s">
        <v>1601</v>
      </c>
      <c r="C142" s="118" t="s">
        <v>1602</v>
      </c>
      <c r="D142" s="119" t="s">
        <v>1600</v>
      </c>
      <c r="E142" s="118" t="s">
        <v>769</v>
      </c>
      <c r="F142" s="120">
        <v>2</v>
      </c>
      <c r="G142" s="121">
        <f>Overview!$B$14</f>
        <v>14</v>
      </c>
      <c r="H142" s="114">
        <f t="shared" si="19"/>
        <v>14</v>
      </c>
      <c r="I142" s="114">
        <f>Overview!$E$14</f>
        <v>0</v>
      </c>
      <c r="J142" s="175">
        <f t="shared" si="20"/>
        <v>0</v>
      </c>
      <c r="K142" s="174">
        <f>Overview!$H$14</f>
        <v>0</v>
      </c>
      <c r="L142" s="176" t="e">
        <f t="shared" si="21"/>
        <v>#DIV/0!</v>
      </c>
      <c r="M142" s="179"/>
      <c r="N142" s="179" t="s">
        <v>963</v>
      </c>
      <c r="O142" s="141">
        <f t="shared" si="22"/>
        <v>0</v>
      </c>
      <c r="P142" s="181" t="b">
        <f>COUNTIF('Facility Data'!$A$1:$A$1500,"*"&amp;A142&amp;"*")&gt;0</f>
        <v>0</v>
      </c>
      <c r="Q142" s="181" t="b">
        <f>COUNTIF('Account Data'!$A$1:$A$1000,"*"&amp;A142&amp;"*")&gt;0</f>
        <v>0</v>
      </c>
      <c r="R142" s="182" t="b">
        <f t="shared" si="25"/>
        <v>0</v>
      </c>
      <c r="S142" s="182" t="b">
        <f t="shared" si="23"/>
        <v>0</v>
      </c>
      <c r="T142" s="181" t="b">
        <f>COUNTIF('New Items'!$A$1:$A$175,A142)&gt;0</f>
        <v>0</v>
      </c>
      <c r="U142" s="181" t="b">
        <f>COUNTIF(Discontinued!$A$1:$A$150,A142)&gt;0</f>
        <v>0</v>
      </c>
    </row>
    <row r="143" spans="1:21" s="8" customFormat="1" ht="11.25" x14ac:dyDescent="0.2">
      <c r="A143" s="152">
        <v>10000840</v>
      </c>
      <c r="B143" s="231" t="s">
        <v>27</v>
      </c>
      <c r="C143" s="118" t="s">
        <v>66</v>
      </c>
      <c r="D143" s="119" t="s">
        <v>4116</v>
      </c>
      <c r="E143" s="118" t="s">
        <v>769</v>
      </c>
      <c r="F143" s="120">
        <v>2</v>
      </c>
      <c r="G143" s="121">
        <f>Overview!$B$14</f>
        <v>14</v>
      </c>
      <c r="H143" s="114">
        <f t="shared" si="19"/>
        <v>14</v>
      </c>
      <c r="I143" s="114">
        <f>Overview!$E$14</f>
        <v>0</v>
      </c>
      <c r="J143" s="175">
        <f t="shared" si="20"/>
        <v>0</v>
      </c>
      <c r="K143" s="174">
        <f>Overview!$H$14</f>
        <v>0</v>
      </c>
      <c r="L143" s="176" t="e">
        <f t="shared" si="21"/>
        <v>#DIV/0!</v>
      </c>
      <c r="M143" s="179" t="s">
        <v>953</v>
      </c>
      <c r="N143" s="179" t="s">
        <v>963</v>
      </c>
      <c r="O143" s="141">
        <f>I143</f>
        <v>0</v>
      </c>
      <c r="P143" s="181" t="b">
        <f>COUNTIF('Facility Data'!$A$1:$A$1500,"*"&amp;A143&amp;"*")&gt;0</f>
        <v>0</v>
      </c>
      <c r="Q143" s="181" t="b">
        <f>COUNTIF('Account Data'!$A$1:$A$1000,"*"&amp;A143&amp;"*")&gt;0</f>
        <v>0</v>
      </c>
      <c r="R143" s="182" t="b">
        <f t="shared" ref="R143:R176" si="26">IF(OR(P143=TRUE,T143=TRUE),TRUE,FALSE)</f>
        <v>0</v>
      </c>
      <c r="S143" s="182" t="b">
        <f t="shared" si="23"/>
        <v>0</v>
      </c>
      <c r="T143" s="181" t="b">
        <f>COUNTIF('New Items'!$A$1:$A$175,A143)&gt;0</f>
        <v>0</v>
      </c>
      <c r="U143" s="181" t="b">
        <f>COUNTIF(Discontinued!$A$1:$A$150,A143)&gt;0</f>
        <v>0</v>
      </c>
    </row>
    <row r="144" spans="1:21" s="8" customFormat="1" ht="11.25" x14ac:dyDescent="0.2">
      <c r="A144" s="152">
        <v>10002610</v>
      </c>
      <c r="B144" s="231" t="s">
        <v>2820</v>
      </c>
      <c r="C144" s="118" t="s">
        <v>66</v>
      </c>
      <c r="D144" s="119" t="s">
        <v>4118</v>
      </c>
      <c r="E144" s="118" t="s">
        <v>769</v>
      </c>
      <c r="F144" s="120">
        <v>2</v>
      </c>
      <c r="G144" s="121">
        <f>Overview!$B$14</f>
        <v>14</v>
      </c>
      <c r="H144" s="114">
        <f t="shared" si="19"/>
        <v>14</v>
      </c>
      <c r="I144" s="114">
        <f>Overview!$E$14</f>
        <v>0</v>
      </c>
      <c r="J144" s="175">
        <f t="shared" si="20"/>
        <v>0</v>
      </c>
      <c r="K144" s="174">
        <f>Overview!$H$14</f>
        <v>0</v>
      </c>
      <c r="L144" s="176" t="e">
        <f t="shared" si="21"/>
        <v>#DIV/0!</v>
      </c>
      <c r="M144" s="179" t="s">
        <v>953</v>
      </c>
      <c r="N144" s="179" t="s">
        <v>963</v>
      </c>
      <c r="O144" s="141">
        <f t="shared" si="22"/>
        <v>0</v>
      </c>
      <c r="P144" s="181" t="b">
        <f>COUNTIF('Facility Data'!$A$1:$A$1500,"*"&amp;A144&amp;"*")&gt;0</f>
        <v>0</v>
      </c>
      <c r="Q144" s="181" t="b">
        <f>COUNTIF('Account Data'!$A$1:$A$1000,"*"&amp;A144&amp;"*")&gt;0</f>
        <v>0</v>
      </c>
      <c r="R144" s="182" t="b">
        <f t="shared" si="26"/>
        <v>0</v>
      </c>
      <c r="S144" s="182" t="b">
        <f t="shared" si="23"/>
        <v>0</v>
      </c>
      <c r="T144" s="181" t="b">
        <f>COUNTIF('New Items'!$A$1:$A$175,A144)&gt;0</f>
        <v>0</v>
      </c>
      <c r="U144" s="181" t="b">
        <f>COUNTIF(Discontinued!$A$1:$A$150,A144)&gt;0</f>
        <v>0</v>
      </c>
    </row>
    <row r="145" spans="1:21" s="8" customFormat="1" ht="11.25" x14ac:dyDescent="0.2">
      <c r="A145" s="152">
        <v>10000841</v>
      </c>
      <c r="B145" s="231" t="s">
        <v>4790</v>
      </c>
      <c r="C145" s="118" t="s">
        <v>80</v>
      </c>
      <c r="D145" s="119" t="s">
        <v>4780</v>
      </c>
      <c r="E145" s="118" t="s">
        <v>769</v>
      </c>
      <c r="F145" s="120">
        <v>2</v>
      </c>
      <c r="G145" s="121">
        <f>Overview!$B$14</f>
        <v>14</v>
      </c>
      <c r="H145" s="114">
        <f t="shared" si="19"/>
        <v>14</v>
      </c>
      <c r="I145" s="114">
        <f>Overview!$E$14</f>
        <v>0</v>
      </c>
      <c r="J145" s="175">
        <f t="shared" si="20"/>
        <v>0</v>
      </c>
      <c r="K145" s="174">
        <f>Overview!$H$14</f>
        <v>0</v>
      </c>
      <c r="L145" s="176" t="e">
        <f t="shared" si="21"/>
        <v>#DIV/0!</v>
      </c>
      <c r="M145" s="179" t="s">
        <v>953</v>
      </c>
      <c r="N145" s="179" t="s">
        <v>963</v>
      </c>
      <c r="O145" s="141">
        <f>I145</f>
        <v>0</v>
      </c>
      <c r="P145" s="181" t="b">
        <f>COUNTIF('Facility Data'!$A$1:$A$1500,"*"&amp;A145&amp;"*")&gt;0</f>
        <v>0</v>
      </c>
      <c r="Q145" s="181" t="b">
        <f>COUNTIF('Account Data'!$A$1:$A$1000,"*"&amp;A145&amp;"*")&gt;0</f>
        <v>0</v>
      </c>
      <c r="R145" s="182" t="b">
        <f t="shared" si="26"/>
        <v>0</v>
      </c>
      <c r="S145" s="182" t="b">
        <f t="shared" si="23"/>
        <v>0</v>
      </c>
      <c r="T145" s="181" t="b">
        <f>COUNTIF('New Items'!$A$1:$A$175,A145)&gt;0</f>
        <v>0</v>
      </c>
      <c r="U145" s="181" t="b">
        <f>COUNTIF(Discontinued!$A$1:$A$150,A145)&gt;0</f>
        <v>0</v>
      </c>
    </row>
    <row r="146" spans="1:21" s="8" customFormat="1" ht="11.25" x14ac:dyDescent="0.2">
      <c r="A146" s="152">
        <v>10002611</v>
      </c>
      <c r="B146" s="231" t="s">
        <v>4791</v>
      </c>
      <c r="C146" s="118" t="s">
        <v>80</v>
      </c>
      <c r="D146" s="119" t="s">
        <v>4792</v>
      </c>
      <c r="E146" s="118" t="s">
        <v>769</v>
      </c>
      <c r="F146" s="120">
        <v>2</v>
      </c>
      <c r="G146" s="121">
        <f>Overview!$B$14</f>
        <v>14</v>
      </c>
      <c r="H146" s="114">
        <f t="shared" si="19"/>
        <v>14</v>
      </c>
      <c r="I146" s="114">
        <f>Overview!$E$14</f>
        <v>0</v>
      </c>
      <c r="J146" s="175">
        <f t="shared" si="20"/>
        <v>0</v>
      </c>
      <c r="K146" s="174">
        <f>Overview!$H$14</f>
        <v>0</v>
      </c>
      <c r="L146" s="176" t="e">
        <f t="shared" si="21"/>
        <v>#DIV/0!</v>
      </c>
      <c r="M146" s="179" t="s">
        <v>953</v>
      </c>
      <c r="N146" s="179" t="s">
        <v>963</v>
      </c>
      <c r="O146" s="141">
        <f t="shared" si="22"/>
        <v>0</v>
      </c>
      <c r="P146" s="181" t="b">
        <f>COUNTIF('Facility Data'!$A$1:$A$1500,"*"&amp;A146&amp;"*")&gt;0</f>
        <v>0</v>
      </c>
      <c r="Q146" s="181" t="b">
        <f>COUNTIF('Account Data'!$A$1:$A$1000,"*"&amp;A146&amp;"*")&gt;0</f>
        <v>0</v>
      </c>
      <c r="R146" s="182" t="b">
        <f t="shared" si="26"/>
        <v>0</v>
      </c>
      <c r="S146" s="182" t="b">
        <f t="shared" si="23"/>
        <v>0</v>
      </c>
      <c r="T146" s="181" t="b">
        <f>COUNTIF('New Items'!$A$1:$A$175,A146)&gt;0</f>
        <v>0</v>
      </c>
      <c r="U146" s="181" t="b">
        <f>COUNTIF(Discontinued!$A$1:$A$150,A146)&gt;0</f>
        <v>0</v>
      </c>
    </row>
    <row r="147" spans="1:21" s="8" customFormat="1" ht="11.25" x14ac:dyDescent="0.2">
      <c r="A147" s="152">
        <v>10000856</v>
      </c>
      <c r="B147" s="231" t="s">
        <v>1695</v>
      </c>
      <c r="C147" s="118" t="s">
        <v>1696</v>
      </c>
      <c r="D147" s="119" t="s">
        <v>1697</v>
      </c>
      <c r="E147" s="118" t="s">
        <v>769</v>
      </c>
      <c r="F147" s="120">
        <v>2</v>
      </c>
      <c r="G147" s="121">
        <f>Overview!$B$14</f>
        <v>14</v>
      </c>
      <c r="H147" s="114">
        <f t="shared" si="19"/>
        <v>14</v>
      </c>
      <c r="I147" s="114">
        <f>Overview!$E$14</f>
        <v>0</v>
      </c>
      <c r="J147" s="175">
        <f t="shared" si="20"/>
        <v>0</v>
      </c>
      <c r="K147" s="174">
        <f>Overview!$H$14</f>
        <v>0</v>
      </c>
      <c r="L147" s="176" t="e">
        <f t="shared" si="21"/>
        <v>#DIV/0!</v>
      </c>
      <c r="M147" s="179" t="s">
        <v>944</v>
      </c>
      <c r="N147" s="179" t="s">
        <v>963</v>
      </c>
      <c r="O147" s="141">
        <f>I147</f>
        <v>0</v>
      </c>
      <c r="P147" s="181" t="b">
        <f>COUNTIF('Facility Data'!$A$1:$A$1500,"*"&amp;A147&amp;"*")&gt;0</f>
        <v>0</v>
      </c>
      <c r="Q147" s="181" t="b">
        <f>COUNTIF('Account Data'!$A$1:$A$1000,"*"&amp;A147&amp;"*")&gt;0</f>
        <v>0</v>
      </c>
      <c r="R147" s="182" t="b">
        <f t="shared" si="26"/>
        <v>0</v>
      </c>
      <c r="S147" s="182" t="b">
        <f t="shared" si="23"/>
        <v>0</v>
      </c>
      <c r="T147" s="181" t="b">
        <f>COUNTIF('New Items'!$A$1:$A$175,A147)&gt;0</f>
        <v>0</v>
      </c>
      <c r="U147" s="181" t="b">
        <f>COUNTIF(Discontinued!$A$1:$A$150,A147)&gt;0</f>
        <v>0</v>
      </c>
    </row>
    <row r="148" spans="1:21" s="8" customFormat="1" ht="11.25" x14ac:dyDescent="0.2">
      <c r="A148" s="152">
        <v>10000187</v>
      </c>
      <c r="B148" s="231" t="s">
        <v>35</v>
      </c>
      <c r="C148" s="118" t="s">
        <v>74</v>
      </c>
      <c r="D148" s="119" t="s">
        <v>636</v>
      </c>
      <c r="E148" s="118" t="s">
        <v>769</v>
      </c>
      <c r="F148" s="120">
        <v>2</v>
      </c>
      <c r="G148" s="121">
        <f>Overview!$B$14</f>
        <v>14</v>
      </c>
      <c r="H148" s="114">
        <f t="shared" si="19"/>
        <v>14</v>
      </c>
      <c r="I148" s="114">
        <f>Overview!$E$14</f>
        <v>0</v>
      </c>
      <c r="J148" s="175">
        <f t="shared" si="20"/>
        <v>0</v>
      </c>
      <c r="K148" s="174">
        <f>Overview!$H$14</f>
        <v>0</v>
      </c>
      <c r="L148" s="176" t="e">
        <f t="shared" si="21"/>
        <v>#DIV/0!</v>
      </c>
      <c r="M148" s="179" t="s">
        <v>4370</v>
      </c>
      <c r="N148" s="179" t="s">
        <v>963</v>
      </c>
      <c r="O148" s="141">
        <f>I148</f>
        <v>0</v>
      </c>
      <c r="P148" s="181" t="b">
        <f>COUNTIF('Facility Data'!$A$1:$A$1500,"*"&amp;A148&amp;"*")&gt;0</f>
        <v>1</v>
      </c>
      <c r="Q148" s="181" t="b">
        <f>COUNTIF('Account Data'!$A$1:$A$1000,"*"&amp;A148&amp;"*")&gt;0</f>
        <v>1</v>
      </c>
      <c r="R148" s="182" t="b">
        <f t="shared" si="26"/>
        <v>1</v>
      </c>
      <c r="S148" s="182" t="b">
        <f t="shared" si="23"/>
        <v>1</v>
      </c>
      <c r="T148" s="181" t="b">
        <f>COUNTIF('New Items'!$A$1:$A$175,A148)&gt;0</f>
        <v>0</v>
      </c>
      <c r="U148" s="181" t="b">
        <f>COUNTIF(Discontinued!$A$1:$A$150,A148)&gt;0</f>
        <v>0</v>
      </c>
    </row>
    <row r="149" spans="1:21" s="8" customFormat="1" ht="11.25" x14ac:dyDescent="0.2">
      <c r="A149" s="152">
        <v>10117325</v>
      </c>
      <c r="B149" s="231" t="s">
        <v>2813</v>
      </c>
      <c r="C149" s="118" t="s">
        <v>74</v>
      </c>
      <c r="D149" s="119" t="s">
        <v>2814</v>
      </c>
      <c r="E149" s="118" t="s">
        <v>769</v>
      </c>
      <c r="F149" s="120">
        <v>2</v>
      </c>
      <c r="G149" s="121">
        <f>Overview!$B$14</f>
        <v>14</v>
      </c>
      <c r="H149" s="114">
        <f t="shared" si="19"/>
        <v>14</v>
      </c>
      <c r="I149" s="114">
        <f>Overview!$E$14</f>
        <v>0</v>
      </c>
      <c r="J149" s="175">
        <f t="shared" si="20"/>
        <v>0</v>
      </c>
      <c r="K149" s="174">
        <f>Overview!$H$14</f>
        <v>0</v>
      </c>
      <c r="L149" s="176" t="e">
        <f t="shared" si="21"/>
        <v>#DIV/0!</v>
      </c>
      <c r="M149" s="179" t="s">
        <v>4370</v>
      </c>
      <c r="N149" s="179" t="s">
        <v>963</v>
      </c>
      <c r="O149" s="141">
        <f t="shared" si="22"/>
        <v>0</v>
      </c>
      <c r="P149" s="181" t="b">
        <f>COUNTIF('Facility Data'!$A$1:$A$1500,"*"&amp;A149&amp;"*")&gt;0</f>
        <v>0</v>
      </c>
      <c r="Q149" s="181" t="b">
        <f>COUNTIF('Account Data'!$A$1:$A$1000,"*"&amp;A149&amp;"*")&gt;0</f>
        <v>0</v>
      </c>
      <c r="R149" s="182" t="b">
        <f t="shared" si="26"/>
        <v>0</v>
      </c>
      <c r="S149" s="182" t="b">
        <f t="shared" si="23"/>
        <v>0</v>
      </c>
      <c r="T149" s="181" t="b">
        <f>COUNTIF('New Items'!$A$1:$A$175,A149)&gt;0</f>
        <v>0</v>
      </c>
      <c r="U149" s="181" t="b">
        <f>COUNTIF(Discontinued!$A$1:$A$150,A149)&gt;0</f>
        <v>0</v>
      </c>
    </row>
    <row r="150" spans="1:21" s="8" customFormat="1" ht="11.25" x14ac:dyDescent="0.2">
      <c r="A150" s="152">
        <v>10000850</v>
      </c>
      <c r="B150" s="231" t="s">
        <v>4761</v>
      </c>
      <c r="C150" s="118" t="s">
        <v>83</v>
      </c>
      <c r="D150" s="119" t="s">
        <v>4762</v>
      </c>
      <c r="E150" s="118" t="s">
        <v>769</v>
      </c>
      <c r="F150" s="120">
        <v>2</v>
      </c>
      <c r="G150" s="121">
        <f>Overview!$B$14</f>
        <v>14</v>
      </c>
      <c r="H150" s="114">
        <f>G150-I150</f>
        <v>14</v>
      </c>
      <c r="I150" s="114">
        <f>Overview!$E$14</f>
        <v>0</v>
      </c>
      <c r="J150" s="175">
        <f>I150/F150</f>
        <v>0</v>
      </c>
      <c r="K150" s="174">
        <f>Overview!$H$14</f>
        <v>0</v>
      </c>
      <c r="L150" s="176" t="e">
        <f>(K150-J150)/K150</f>
        <v>#DIV/0!</v>
      </c>
      <c r="M150" s="179" t="s">
        <v>4370</v>
      </c>
      <c r="N150" s="179" t="s">
        <v>963</v>
      </c>
      <c r="O150" s="141">
        <f>I150</f>
        <v>0</v>
      </c>
      <c r="P150" s="181" t="b">
        <f>COUNTIF('Facility Data'!$A$1:$A$1500,"*"&amp;A150&amp;"*")&gt;0</f>
        <v>1</v>
      </c>
      <c r="Q150" s="181" t="b">
        <f>COUNTIF('Account Data'!$A$1:$A$1000,"*"&amp;A150&amp;"*")&gt;0</f>
        <v>1</v>
      </c>
      <c r="R150" s="182" t="b">
        <f>IF(OR(P150=TRUE,T150=TRUE),TRUE,FALSE)</f>
        <v>1</v>
      </c>
      <c r="S150" s="182" t="b">
        <f>IF(OR(Q150=TRUE,T150=TRUE),TRUE,FALSE)</f>
        <v>1</v>
      </c>
      <c r="T150" s="181" t="b">
        <f>COUNTIF('New Items'!$A$1:$A$175,A150)&gt;0</f>
        <v>0</v>
      </c>
      <c r="U150" s="181" t="b">
        <f>COUNTIF(Discontinued!$A$1:$A$150,A150)&gt;0</f>
        <v>0</v>
      </c>
    </row>
    <row r="151" spans="1:21" s="8" customFormat="1" ht="11.25" x14ac:dyDescent="0.2">
      <c r="A151" s="152">
        <v>10000860</v>
      </c>
      <c r="B151" s="231" t="s">
        <v>36</v>
      </c>
      <c r="C151" s="118" t="s">
        <v>75</v>
      </c>
      <c r="D151" s="119" t="s">
        <v>637</v>
      </c>
      <c r="E151" s="118" t="s">
        <v>769</v>
      </c>
      <c r="F151" s="120">
        <v>2</v>
      </c>
      <c r="G151" s="121">
        <f>Overview!$B$14</f>
        <v>14</v>
      </c>
      <c r="H151" s="114">
        <f t="shared" ref="H151:H176" si="27">G151-I151</f>
        <v>14</v>
      </c>
      <c r="I151" s="114">
        <f>Overview!$E$14</f>
        <v>0</v>
      </c>
      <c r="J151" s="175">
        <f t="shared" ref="J151:J176" si="28">I151/F151</f>
        <v>0</v>
      </c>
      <c r="K151" s="174">
        <f>Overview!$H$14</f>
        <v>0</v>
      </c>
      <c r="L151" s="176" t="e">
        <f t="shared" ref="L151:L176" si="29">(K151-J151)/K151</f>
        <v>#DIV/0!</v>
      </c>
      <c r="M151" s="179" t="s">
        <v>4370</v>
      </c>
      <c r="N151" s="179" t="s">
        <v>963</v>
      </c>
      <c r="O151" s="141">
        <f>I151</f>
        <v>0</v>
      </c>
      <c r="P151" s="181" t="b">
        <f>COUNTIF('Facility Data'!$A$1:$A$1500,"*"&amp;A151&amp;"*")&gt;0</f>
        <v>0</v>
      </c>
      <c r="Q151" s="181" t="b">
        <f>COUNTIF('Account Data'!$A$1:$A$1000,"*"&amp;A151&amp;"*")&gt;0</f>
        <v>1</v>
      </c>
      <c r="R151" s="182" t="b">
        <f t="shared" si="26"/>
        <v>0</v>
      </c>
      <c r="S151" s="182" t="b">
        <f t="shared" si="23"/>
        <v>1</v>
      </c>
      <c r="T151" s="181" t="b">
        <f>COUNTIF('New Items'!$A$1:$A$175,A151)&gt;0</f>
        <v>0</v>
      </c>
      <c r="U151" s="181" t="b">
        <f>COUNTIF(Discontinued!$A$1:$A$150,A151)&gt;0</f>
        <v>0</v>
      </c>
    </row>
    <row r="152" spans="1:21" s="8" customFormat="1" ht="11.25" x14ac:dyDescent="0.2">
      <c r="A152" s="152">
        <v>10000910</v>
      </c>
      <c r="B152" s="231" t="s">
        <v>1699</v>
      </c>
      <c r="C152" s="118" t="s">
        <v>1700</v>
      </c>
      <c r="D152" s="119" t="s">
        <v>1698</v>
      </c>
      <c r="E152" s="118" t="s">
        <v>769</v>
      </c>
      <c r="F152" s="120">
        <v>2</v>
      </c>
      <c r="G152" s="121">
        <f>Overview!$B$14</f>
        <v>14</v>
      </c>
      <c r="H152" s="114">
        <f t="shared" si="27"/>
        <v>14</v>
      </c>
      <c r="I152" s="114">
        <f>Overview!$E$14</f>
        <v>0</v>
      </c>
      <c r="J152" s="175">
        <f t="shared" si="28"/>
        <v>0</v>
      </c>
      <c r="K152" s="174">
        <f>Overview!$H$14</f>
        <v>0</v>
      </c>
      <c r="L152" s="176" t="e">
        <f t="shared" si="29"/>
        <v>#DIV/0!</v>
      </c>
      <c r="M152" s="179" t="s">
        <v>4370</v>
      </c>
      <c r="N152" s="179" t="s">
        <v>963</v>
      </c>
      <c r="O152" s="141">
        <f t="shared" si="22"/>
        <v>0</v>
      </c>
      <c r="P152" s="181" t="b">
        <f>COUNTIF('Facility Data'!$A$1:$A$1500,"*"&amp;A152&amp;"*")&gt;0</f>
        <v>0</v>
      </c>
      <c r="Q152" s="181" t="b">
        <f>COUNTIF('Account Data'!$A$1:$A$1000,"*"&amp;A152&amp;"*")&gt;0</f>
        <v>0</v>
      </c>
      <c r="R152" s="182" t="b">
        <f t="shared" si="26"/>
        <v>0</v>
      </c>
      <c r="S152" s="182" t="b">
        <f t="shared" si="23"/>
        <v>0</v>
      </c>
      <c r="T152" s="181" t="b">
        <f>COUNTIF('New Items'!$A$1:$A$175,A152)&gt;0</f>
        <v>0</v>
      </c>
      <c r="U152" s="181" t="b">
        <f>COUNTIF(Discontinued!$A$1:$A$150,A152)&gt;0</f>
        <v>0</v>
      </c>
    </row>
    <row r="153" spans="1:21" s="8" customFormat="1" ht="11.25" x14ac:dyDescent="0.2">
      <c r="A153" s="152">
        <v>10000855</v>
      </c>
      <c r="B153" s="231" t="s">
        <v>40</v>
      </c>
      <c r="C153" s="118" t="s">
        <v>79</v>
      </c>
      <c r="D153" s="119" t="s">
        <v>655</v>
      </c>
      <c r="E153" s="118" t="s">
        <v>769</v>
      </c>
      <c r="F153" s="120">
        <v>2</v>
      </c>
      <c r="G153" s="121">
        <f>Overview!$B$14</f>
        <v>14</v>
      </c>
      <c r="H153" s="114">
        <f t="shared" si="27"/>
        <v>14</v>
      </c>
      <c r="I153" s="114">
        <f>Overview!$E$14</f>
        <v>0</v>
      </c>
      <c r="J153" s="175">
        <f t="shared" si="28"/>
        <v>0</v>
      </c>
      <c r="K153" s="174">
        <f>Overview!$H$14</f>
        <v>0</v>
      </c>
      <c r="L153" s="176" t="e">
        <f t="shared" si="29"/>
        <v>#DIV/0!</v>
      </c>
      <c r="M153" s="179"/>
      <c r="N153" s="179" t="s">
        <v>963</v>
      </c>
      <c r="O153" s="141">
        <f t="shared" si="22"/>
        <v>0</v>
      </c>
      <c r="P153" s="181" t="b">
        <f>COUNTIF('Facility Data'!$A$1:$A$1500,"*"&amp;A153&amp;"*")&gt;0</f>
        <v>1</v>
      </c>
      <c r="Q153" s="181" t="b">
        <f>COUNTIF('Account Data'!$A$1:$A$1000,"*"&amp;A153&amp;"*")&gt;0</f>
        <v>1</v>
      </c>
      <c r="R153" s="182" t="b">
        <f t="shared" si="26"/>
        <v>1</v>
      </c>
      <c r="S153" s="182" t="b">
        <f t="shared" si="23"/>
        <v>1</v>
      </c>
      <c r="T153" s="181" t="b">
        <f>COUNTIF('New Items'!$A$1:$A$175,A153)&gt;0</f>
        <v>0</v>
      </c>
      <c r="U153" s="181" t="b">
        <f>COUNTIF(Discontinued!$A$1:$A$150,A153)&gt;0</f>
        <v>0</v>
      </c>
    </row>
    <row r="154" spans="1:21" s="8" customFormat="1" ht="11.25" x14ac:dyDescent="0.2">
      <c r="A154" s="152">
        <v>10023856</v>
      </c>
      <c r="B154" s="231" t="s">
        <v>28</v>
      </c>
      <c r="C154" s="118" t="s">
        <v>67</v>
      </c>
      <c r="D154" s="119" t="s">
        <v>656</v>
      </c>
      <c r="E154" s="118" t="s">
        <v>769</v>
      </c>
      <c r="F154" s="120">
        <v>2</v>
      </c>
      <c r="G154" s="121">
        <f>Overview!$B$14</f>
        <v>14</v>
      </c>
      <c r="H154" s="114">
        <f t="shared" si="27"/>
        <v>14</v>
      </c>
      <c r="I154" s="114">
        <f>Overview!$E$14</f>
        <v>0</v>
      </c>
      <c r="J154" s="175">
        <f t="shared" si="28"/>
        <v>0</v>
      </c>
      <c r="K154" s="174">
        <f>Overview!$H$14</f>
        <v>0</v>
      </c>
      <c r="L154" s="176" t="e">
        <f t="shared" si="29"/>
        <v>#DIV/0!</v>
      </c>
      <c r="M154" s="179" t="s">
        <v>952</v>
      </c>
      <c r="N154" s="179" t="s">
        <v>963</v>
      </c>
      <c r="O154" s="141">
        <f>I154</f>
        <v>0</v>
      </c>
      <c r="P154" s="181" t="b">
        <f>COUNTIF('Facility Data'!$A$1:$A$1500,"*"&amp;A154&amp;"*")&gt;0</f>
        <v>0</v>
      </c>
      <c r="Q154" s="181" t="b">
        <f>COUNTIF('Account Data'!$A$1:$A$1000,"*"&amp;A154&amp;"*")&gt;0</f>
        <v>0</v>
      </c>
      <c r="R154" s="182" t="b">
        <f t="shared" si="26"/>
        <v>0</v>
      </c>
      <c r="S154" s="182" t="b">
        <f t="shared" si="23"/>
        <v>0</v>
      </c>
      <c r="T154" s="181" t="b">
        <f>COUNTIF('New Items'!$A$1:$A$175,A154)&gt;0</f>
        <v>0</v>
      </c>
      <c r="U154" s="181" t="b">
        <f>COUNTIF(Discontinued!$A$1:$A$150,A154)&gt;0</f>
        <v>0</v>
      </c>
    </row>
    <row r="155" spans="1:21" s="8" customFormat="1" ht="11.25" x14ac:dyDescent="0.2">
      <c r="A155" s="152">
        <v>10011970</v>
      </c>
      <c r="B155" s="231" t="s">
        <v>1573</v>
      </c>
      <c r="C155" s="118" t="s">
        <v>1574</v>
      </c>
      <c r="D155" s="119" t="s">
        <v>1572</v>
      </c>
      <c r="E155" s="118" t="s">
        <v>769</v>
      </c>
      <c r="F155" s="120">
        <v>2</v>
      </c>
      <c r="G155" s="121">
        <f>Overview!$B$14</f>
        <v>14</v>
      </c>
      <c r="H155" s="114">
        <f t="shared" si="27"/>
        <v>14</v>
      </c>
      <c r="I155" s="114">
        <f>Overview!$E$14</f>
        <v>0</v>
      </c>
      <c r="J155" s="175">
        <f t="shared" si="28"/>
        <v>0</v>
      </c>
      <c r="K155" s="174">
        <f>Overview!$H$14</f>
        <v>0</v>
      </c>
      <c r="L155" s="176" t="e">
        <f t="shared" si="29"/>
        <v>#DIV/0!</v>
      </c>
      <c r="M155" s="179" t="s">
        <v>2421</v>
      </c>
      <c r="N155" s="179" t="s">
        <v>963</v>
      </c>
      <c r="O155" s="141">
        <f t="shared" si="22"/>
        <v>0</v>
      </c>
      <c r="P155" s="181" t="b">
        <f>COUNTIF('Facility Data'!$A$1:$A$1500,"*"&amp;A155&amp;"*")&gt;0</f>
        <v>0</v>
      </c>
      <c r="Q155" s="181" t="b">
        <f>COUNTIF('Account Data'!$A$1:$A$1000,"*"&amp;A155&amp;"*")&gt;0</f>
        <v>0</v>
      </c>
      <c r="R155" s="182" t="b">
        <f t="shared" si="26"/>
        <v>0</v>
      </c>
      <c r="S155" s="182" t="b">
        <f t="shared" si="23"/>
        <v>0</v>
      </c>
      <c r="T155" s="181" t="b">
        <f>COUNTIF('New Items'!$A$1:$A$175,A155)&gt;0</f>
        <v>0</v>
      </c>
      <c r="U155" s="181" t="b">
        <f>COUNTIF(Discontinued!$A$1:$A$150,A155)&gt;0</f>
        <v>0</v>
      </c>
    </row>
    <row r="156" spans="1:21" s="8" customFormat="1" ht="11.25" x14ac:dyDescent="0.2">
      <c r="A156" s="152">
        <v>10000878</v>
      </c>
      <c r="B156" s="231" t="s">
        <v>29</v>
      </c>
      <c r="C156" s="118" t="s">
        <v>68</v>
      </c>
      <c r="D156" s="119" t="s">
        <v>657</v>
      </c>
      <c r="E156" s="118" t="s">
        <v>769</v>
      </c>
      <c r="F156" s="120">
        <v>2</v>
      </c>
      <c r="G156" s="121">
        <f>Overview!$B$14</f>
        <v>14</v>
      </c>
      <c r="H156" s="114">
        <f t="shared" si="27"/>
        <v>14</v>
      </c>
      <c r="I156" s="114">
        <f>Overview!$E$14</f>
        <v>0</v>
      </c>
      <c r="J156" s="175">
        <f t="shared" si="28"/>
        <v>0</v>
      </c>
      <c r="K156" s="174">
        <f>Overview!$H$14</f>
        <v>0</v>
      </c>
      <c r="L156" s="176" t="e">
        <f t="shared" si="29"/>
        <v>#DIV/0!</v>
      </c>
      <c r="M156" s="179"/>
      <c r="N156" s="179" t="s">
        <v>963</v>
      </c>
      <c r="O156" s="141">
        <f t="shared" si="22"/>
        <v>0</v>
      </c>
      <c r="P156" s="181" t="b">
        <f>COUNTIF('Facility Data'!$A$1:$A$1500,"*"&amp;A156&amp;"*")&gt;0</f>
        <v>0</v>
      </c>
      <c r="Q156" s="181" t="b">
        <f>COUNTIF('Account Data'!$A$1:$A$1000,"*"&amp;A156&amp;"*")&gt;0</f>
        <v>1</v>
      </c>
      <c r="R156" s="182" t="b">
        <f t="shared" si="26"/>
        <v>0</v>
      </c>
      <c r="S156" s="182" t="b">
        <f t="shared" si="23"/>
        <v>1</v>
      </c>
      <c r="T156" s="181" t="b">
        <f>COUNTIF('New Items'!$A$1:$A$175,A156)&gt;0</f>
        <v>0</v>
      </c>
      <c r="U156" s="181" t="b">
        <f>COUNTIF(Discontinued!$A$1:$A$150,A156)&gt;0</f>
        <v>0</v>
      </c>
    </row>
    <row r="157" spans="1:21" s="8" customFormat="1" ht="11.25" x14ac:dyDescent="0.2">
      <c r="A157" s="152">
        <v>10000851</v>
      </c>
      <c r="B157" s="10" t="s">
        <v>39</v>
      </c>
      <c r="C157" s="12" t="s">
        <v>78</v>
      </c>
      <c r="D157" s="11" t="s">
        <v>638</v>
      </c>
      <c r="E157" s="12" t="s">
        <v>769</v>
      </c>
      <c r="F157" s="13">
        <v>2</v>
      </c>
      <c r="G157" s="22">
        <f>Overview!$B$14</f>
        <v>14</v>
      </c>
      <c r="H157" s="114">
        <f t="shared" si="27"/>
        <v>14</v>
      </c>
      <c r="I157" s="114">
        <f>Overview!$E$14</f>
        <v>0</v>
      </c>
      <c r="J157" s="175">
        <f t="shared" si="28"/>
        <v>0</v>
      </c>
      <c r="K157" s="174">
        <f>Overview!$H$14</f>
        <v>0</v>
      </c>
      <c r="L157" s="176" t="e">
        <f t="shared" si="29"/>
        <v>#DIV/0!</v>
      </c>
      <c r="M157" s="179" t="s">
        <v>954</v>
      </c>
      <c r="N157" s="179" t="s">
        <v>963</v>
      </c>
      <c r="O157" s="141">
        <f>I157</f>
        <v>0</v>
      </c>
      <c r="P157" s="181" t="b">
        <f>COUNTIF('Facility Data'!$A$1:$A$1500,"*"&amp;A157&amp;"*")&gt;0</f>
        <v>0</v>
      </c>
      <c r="Q157" s="181" t="b">
        <f>COUNTIF('Account Data'!$A$1:$A$1000,"*"&amp;A157&amp;"*")&gt;0</f>
        <v>1</v>
      </c>
      <c r="R157" s="182" t="b">
        <f t="shared" si="26"/>
        <v>0</v>
      </c>
      <c r="S157" s="182" t="b">
        <f t="shared" si="23"/>
        <v>1</v>
      </c>
      <c r="T157" s="181" t="b">
        <f>COUNTIF('New Items'!$A$1:$A$175,A157)&gt;0</f>
        <v>0</v>
      </c>
      <c r="U157" s="181" t="b">
        <f>COUNTIF(Discontinued!$A$1:$A$150,A157)&gt;0</f>
        <v>0</v>
      </c>
    </row>
    <row r="158" spans="1:21" s="8" customFormat="1" ht="11.25" x14ac:dyDescent="0.2">
      <c r="A158" s="152">
        <v>10001013</v>
      </c>
      <c r="B158" s="10" t="s">
        <v>1628</v>
      </c>
      <c r="C158" s="12" t="s">
        <v>1629</v>
      </c>
      <c r="D158" s="11" t="s">
        <v>1655</v>
      </c>
      <c r="E158" s="12" t="s">
        <v>769</v>
      </c>
      <c r="F158" s="13">
        <v>2</v>
      </c>
      <c r="G158" s="22">
        <f>Overview!$B$14</f>
        <v>14</v>
      </c>
      <c r="H158" s="114">
        <f t="shared" si="27"/>
        <v>14</v>
      </c>
      <c r="I158" s="114">
        <f>Overview!$E$14</f>
        <v>0</v>
      </c>
      <c r="J158" s="175">
        <f t="shared" si="28"/>
        <v>0</v>
      </c>
      <c r="K158" s="174">
        <f>Overview!$H$14</f>
        <v>0</v>
      </c>
      <c r="L158" s="176" t="e">
        <f t="shared" si="29"/>
        <v>#DIV/0!</v>
      </c>
      <c r="M158" s="179" t="s">
        <v>2422</v>
      </c>
      <c r="N158" s="179" t="s">
        <v>963</v>
      </c>
      <c r="O158" s="141">
        <f>I158</f>
        <v>0</v>
      </c>
      <c r="P158" s="181" t="b">
        <f>COUNTIF('Facility Data'!$A$1:$A$1500,"*"&amp;A158&amp;"*")&gt;0</f>
        <v>0</v>
      </c>
      <c r="Q158" s="181" t="b">
        <f>COUNTIF('Account Data'!$A$1:$A$1000,"*"&amp;A158&amp;"*")&gt;0</f>
        <v>0</v>
      </c>
      <c r="R158" s="182" t="b">
        <f t="shared" si="26"/>
        <v>0</v>
      </c>
      <c r="S158" s="182" t="b">
        <f t="shared" si="23"/>
        <v>0</v>
      </c>
      <c r="T158" s="181" t="b">
        <f>COUNTIF('New Items'!$A$1:$A$175,A158)&gt;0</f>
        <v>0</v>
      </c>
      <c r="U158" s="181" t="b">
        <f>COUNTIF(Discontinued!$A$1:$A$150,A158)&gt;0</f>
        <v>0</v>
      </c>
    </row>
    <row r="159" spans="1:21" s="8" customFormat="1" ht="11.25" x14ac:dyDescent="0.2">
      <c r="A159" s="152">
        <v>10000867</v>
      </c>
      <c r="B159" s="10" t="s">
        <v>1669</v>
      </c>
      <c r="C159" s="12" t="s">
        <v>1670</v>
      </c>
      <c r="D159" s="11" t="s">
        <v>1675</v>
      </c>
      <c r="E159" s="12" t="s">
        <v>769</v>
      </c>
      <c r="F159" s="13">
        <v>2</v>
      </c>
      <c r="G159" s="22">
        <f>Overview!$B$14</f>
        <v>14</v>
      </c>
      <c r="H159" s="114">
        <f t="shared" si="27"/>
        <v>14</v>
      </c>
      <c r="I159" s="114">
        <f>Overview!$E$14</f>
        <v>0</v>
      </c>
      <c r="J159" s="175">
        <f t="shared" si="28"/>
        <v>0</v>
      </c>
      <c r="K159" s="174">
        <f>Overview!$H$14</f>
        <v>0</v>
      </c>
      <c r="L159" s="176" t="e">
        <f t="shared" si="29"/>
        <v>#DIV/0!</v>
      </c>
      <c r="M159" s="179" t="s">
        <v>4148</v>
      </c>
      <c r="N159" s="179" t="s">
        <v>963</v>
      </c>
      <c r="O159" s="141">
        <f t="shared" si="22"/>
        <v>0</v>
      </c>
      <c r="P159" s="181" t="b">
        <f>COUNTIF('Facility Data'!$A$1:$A$1500,"*"&amp;A159&amp;"*")&gt;0</f>
        <v>0</v>
      </c>
      <c r="Q159" s="181" t="b">
        <f>COUNTIF('Account Data'!$A$1:$A$1000,"*"&amp;A159&amp;"*")&gt;0</f>
        <v>0</v>
      </c>
      <c r="R159" s="182" t="b">
        <f t="shared" si="26"/>
        <v>0</v>
      </c>
      <c r="S159" s="182" t="b">
        <f t="shared" si="23"/>
        <v>0</v>
      </c>
      <c r="T159" s="181" t="b">
        <f>COUNTIF('New Items'!$A$1:$A$175,A159)&gt;0</f>
        <v>0</v>
      </c>
      <c r="U159" s="181" t="b">
        <f>COUNTIF(Discontinued!$A$1:$A$150,A159)&gt;0</f>
        <v>0</v>
      </c>
    </row>
    <row r="160" spans="1:21" s="8" customFormat="1" ht="11.25" x14ac:dyDescent="0.2">
      <c r="A160" s="152">
        <v>10081819</v>
      </c>
      <c r="B160" s="10" t="s">
        <v>1705</v>
      </c>
      <c r="C160" s="12" t="s">
        <v>1706</v>
      </c>
      <c r="D160" s="11" t="s">
        <v>1709</v>
      </c>
      <c r="E160" s="12" t="s">
        <v>769</v>
      </c>
      <c r="F160" s="13">
        <v>2</v>
      </c>
      <c r="G160" s="22">
        <f>Overview!$B$14</f>
        <v>14</v>
      </c>
      <c r="H160" s="114">
        <f t="shared" si="27"/>
        <v>14</v>
      </c>
      <c r="I160" s="114">
        <f>Overview!$E$14</f>
        <v>0</v>
      </c>
      <c r="J160" s="175">
        <f t="shared" si="28"/>
        <v>0</v>
      </c>
      <c r="K160" s="174">
        <f>Overview!$H$14</f>
        <v>0</v>
      </c>
      <c r="L160" s="176" t="e">
        <f t="shared" si="29"/>
        <v>#DIV/0!</v>
      </c>
      <c r="M160" s="179" t="s">
        <v>2423</v>
      </c>
      <c r="N160" s="179" t="s">
        <v>963</v>
      </c>
      <c r="O160" s="141">
        <f t="shared" si="22"/>
        <v>0</v>
      </c>
      <c r="P160" s="181" t="b">
        <f>COUNTIF('Facility Data'!$A$1:$A$1500,"*"&amp;A160&amp;"*")&gt;0</f>
        <v>0</v>
      </c>
      <c r="Q160" s="181" t="b">
        <f>COUNTIF('Account Data'!$A$1:$A$1000,"*"&amp;A160&amp;"*")&gt;0</f>
        <v>0</v>
      </c>
      <c r="R160" s="182" t="b">
        <f t="shared" si="26"/>
        <v>0</v>
      </c>
      <c r="S160" s="182" t="b">
        <f t="shared" si="23"/>
        <v>0</v>
      </c>
      <c r="T160" s="181" t="b">
        <f>COUNTIF('New Items'!$A$1:$A$175,A160)&gt;0</f>
        <v>0</v>
      </c>
      <c r="U160" s="181" t="b">
        <f>COUNTIF(Discontinued!$A$1:$A$150,A160)&gt;0</f>
        <v>0</v>
      </c>
    </row>
    <row r="161" spans="1:21" s="8" customFormat="1" ht="11.25" x14ac:dyDescent="0.2">
      <c r="A161" s="152">
        <v>10081820</v>
      </c>
      <c r="B161" s="10" t="s">
        <v>1707</v>
      </c>
      <c r="C161" s="12" t="s">
        <v>1708</v>
      </c>
      <c r="D161" s="11" t="s">
        <v>1710</v>
      </c>
      <c r="E161" s="12" t="s">
        <v>769</v>
      </c>
      <c r="F161" s="13">
        <v>2</v>
      </c>
      <c r="G161" s="22">
        <f>Overview!$B$14</f>
        <v>14</v>
      </c>
      <c r="H161" s="114">
        <f t="shared" si="27"/>
        <v>14</v>
      </c>
      <c r="I161" s="114">
        <f>Overview!$E$14</f>
        <v>0</v>
      </c>
      <c r="J161" s="175">
        <f t="shared" si="28"/>
        <v>0</v>
      </c>
      <c r="K161" s="174">
        <f>Overview!$H$14</f>
        <v>0</v>
      </c>
      <c r="L161" s="176" t="e">
        <f t="shared" si="29"/>
        <v>#DIV/0!</v>
      </c>
      <c r="M161" s="179" t="s">
        <v>2423</v>
      </c>
      <c r="N161" s="179" t="s">
        <v>963</v>
      </c>
      <c r="O161" s="141">
        <f>I161</f>
        <v>0</v>
      </c>
      <c r="P161" s="181" t="b">
        <f>COUNTIF('Facility Data'!$A$1:$A$1500,"*"&amp;A161&amp;"*")&gt;0</f>
        <v>0</v>
      </c>
      <c r="Q161" s="181" t="b">
        <f>COUNTIF('Account Data'!$A$1:$A$1000,"*"&amp;A161&amp;"*")&gt;0</f>
        <v>0</v>
      </c>
      <c r="R161" s="182" t="b">
        <f t="shared" si="26"/>
        <v>0</v>
      </c>
      <c r="S161" s="182" t="b">
        <f t="shared" si="23"/>
        <v>0</v>
      </c>
      <c r="T161" s="181" t="b">
        <f>COUNTIF('New Items'!$A$1:$A$175,A161)&gt;0</f>
        <v>0</v>
      </c>
      <c r="U161" s="181" t="b">
        <f>COUNTIF(Discontinued!$A$1:$A$150,A161)&gt;0</f>
        <v>0</v>
      </c>
    </row>
    <row r="162" spans="1:21" s="8" customFormat="1" ht="11.25" x14ac:dyDescent="0.2">
      <c r="A162" s="152">
        <v>10000862</v>
      </c>
      <c r="B162" s="10" t="s">
        <v>62</v>
      </c>
      <c r="C162" s="12" t="s">
        <v>99</v>
      </c>
      <c r="D162" s="11" t="s">
        <v>640</v>
      </c>
      <c r="E162" s="12" t="s">
        <v>769</v>
      </c>
      <c r="F162" s="13">
        <v>2</v>
      </c>
      <c r="G162" s="22">
        <f>Overview!$B$14</f>
        <v>14</v>
      </c>
      <c r="H162" s="114">
        <f t="shared" si="27"/>
        <v>14</v>
      </c>
      <c r="I162" s="114">
        <f>Overview!$E$14</f>
        <v>0</v>
      </c>
      <c r="J162" s="175">
        <f t="shared" si="28"/>
        <v>0</v>
      </c>
      <c r="K162" s="174">
        <f>Overview!$H$14</f>
        <v>0</v>
      </c>
      <c r="L162" s="176" t="e">
        <f t="shared" si="29"/>
        <v>#DIV/0!</v>
      </c>
      <c r="M162" s="179"/>
      <c r="N162" s="179" t="s">
        <v>963</v>
      </c>
      <c r="O162" s="141">
        <f t="shared" si="22"/>
        <v>0</v>
      </c>
      <c r="P162" s="181" t="b">
        <f>COUNTIF('Facility Data'!$A$1:$A$1500,"*"&amp;A162&amp;"*")&gt;0</f>
        <v>1</v>
      </c>
      <c r="Q162" s="181" t="b">
        <f>COUNTIF('Account Data'!$A$1:$A$1000,"*"&amp;A162&amp;"*")&gt;0</f>
        <v>1</v>
      </c>
      <c r="R162" s="182" t="b">
        <f t="shared" si="26"/>
        <v>1</v>
      </c>
      <c r="S162" s="182" t="b">
        <f t="shared" si="23"/>
        <v>1</v>
      </c>
      <c r="T162" s="181" t="b">
        <f>COUNTIF('New Items'!$A$1:$A$175,A162)&gt;0</f>
        <v>0</v>
      </c>
      <c r="U162" s="181" t="b">
        <f>COUNTIF(Discontinued!$A$1:$A$150,A162)&gt;0</f>
        <v>0</v>
      </c>
    </row>
    <row r="163" spans="1:21" s="8" customFormat="1" ht="11.25" x14ac:dyDescent="0.2">
      <c r="A163" s="152">
        <v>10000880</v>
      </c>
      <c r="B163" s="10" t="s">
        <v>1388</v>
      </c>
      <c r="C163" s="12" t="s">
        <v>1389</v>
      </c>
      <c r="D163" s="11" t="s">
        <v>662</v>
      </c>
      <c r="E163" s="12" t="s">
        <v>769</v>
      </c>
      <c r="F163" s="13">
        <v>2</v>
      </c>
      <c r="G163" s="22">
        <f>Overview!$B$14</f>
        <v>14</v>
      </c>
      <c r="H163" s="114">
        <f t="shared" si="27"/>
        <v>14</v>
      </c>
      <c r="I163" s="114">
        <f>Overview!$E$14</f>
        <v>0</v>
      </c>
      <c r="J163" s="175">
        <f t="shared" si="28"/>
        <v>0</v>
      </c>
      <c r="K163" s="174">
        <f>Overview!$H$14</f>
        <v>0</v>
      </c>
      <c r="L163" s="176" t="e">
        <f t="shared" si="29"/>
        <v>#DIV/0!</v>
      </c>
      <c r="M163" s="179"/>
      <c r="N163" s="179" t="s">
        <v>963</v>
      </c>
      <c r="O163" s="141">
        <f t="shared" si="22"/>
        <v>0</v>
      </c>
      <c r="P163" s="181" t="b">
        <f>COUNTIF('Facility Data'!$A$1:$A$1500,"*"&amp;A163&amp;"*")&gt;0</f>
        <v>1</v>
      </c>
      <c r="Q163" s="181" t="b">
        <f>COUNTIF('Account Data'!$A$1:$A$1000,"*"&amp;A163&amp;"*")&gt;0</f>
        <v>0</v>
      </c>
      <c r="R163" s="182" t="b">
        <f t="shared" si="26"/>
        <v>1</v>
      </c>
      <c r="S163" s="182" t="b">
        <f t="shared" si="23"/>
        <v>0</v>
      </c>
      <c r="T163" s="181" t="b">
        <f>COUNTIF('New Items'!$A$1:$A$175,A163)&gt;0</f>
        <v>0</v>
      </c>
      <c r="U163" s="181" t="b">
        <f>COUNTIF(Discontinued!$A$1:$A$150,A163)&gt;0</f>
        <v>0</v>
      </c>
    </row>
    <row r="164" spans="1:21" s="8" customFormat="1" ht="11.25" x14ac:dyDescent="0.2">
      <c r="A164" s="152">
        <v>10000104</v>
      </c>
      <c r="B164" s="10" t="s">
        <v>1390</v>
      </c>
      <c r="C164" s="12" t="s">
        <v>1391</v>
      </c>
      <c r="D164" s="11" t="s">
        <v>1299</v>
      </c>
      <c r="E164" s="12" t="s">
        <v>769</v>
      </c>
      <c r="F164" s="13">
        <v>2</v>
      </c>
      <c r="G164" s="22">
        <f>Overview!$B$14</f>
        <v>14</v>
      </c>
      <c r="H164" s="114">
        <f t="shared" si="27"/>
        <v>14</v>
      </c>
      <c r="I164" s="114">
        <f>Overview!$E$14</f>
        <v>0</v>
      </c>
      <c r="J164" s="175">
        <f t="shared" si="28"/>
        <v>0</v>
      </c>
      <c r="K164" s="174">
        <f>Overview!$H$14</f>
        <v>0</v>
      </c>
      <c r="L164" s="176" t="e">
        <f t="shared" si="29"/>
        <v>#DIV/0!</v>
      </c>
      <c r="M164" s="179"/>
      <c r="N164" s="179" t="s">
        <v>963</v>
      </c>
      <c r="O164" s="141">
        <f t="shared" si="22"/>
        <v>0</v>
      </c>
      <c r="P164" s="181" t="b">
        <f>COUNTIF('Facility Data'!$A$1:$A$1500,"*"&amp;A164&amp;"*")&gt;0</f>
        <v>1</v>
      </c>
      <c r="Q164" s="181" t="b">
        <f>COUNTIF('Account Data'!$A$1:$A$1000,"*"&amp;A164&amp;"*")&gt;0</f>
        <v>0</v>
      </c>
      <c r="R164" s="182" t="b">
        <f t="shared" si="26"/>
        <v>1</v>
      </c>
      <c r="S164" s="182" t="b">
        <f t="shared" si="23"/>
        <v>0</v>
      </c>
      <c r="T164" s="181" t="b">
        <f>COUNTIF('New Items'!$A$1:$A$175,A164)&gt;0</f>
        <v>0</v>
      </c>
      <c r="U164" s="181" t="b">
        <f>COUNTIF(Discontinued!$A$1:$A$150,A164)&gt;0</f>
        <v>0</v>
      </c>
    </row>
    <row r="165" spans="1:21" s="8" customFormat="1" ht="11.25" x14ac:dyDescent="0.2">
      <c r="A165" s="152">
        <v>10000883</v>
      </c>
      <c r="B165" s="10" t="s">
        <v>1392</v>
      </c>
      <c r="C165" s="12" t="s">
        <v>1393</v>
      </c>
      <c r="D165" s="11" t="s">
        <v>1386</v>
      </c>
      <c r="E165" s="12" t="s">
        <v>769</v>
      </c>
      <c r="F165" s="13">
        <v>2</v>
      </c>
      <c r="G165" s="22">
        <f>Overview!$B$14</f>
        <v>14</v>
      </c>
      <c r="H165" s="114">
        <f t="shared" si="27"/>
        <v>14</v>
      </c>
      <c r="I165" s="114">
        <f>Overview!$E$14</f>
        <v>0</v>
      </c>
      <c r="J165" s="175">
        <f t="shared" si="28"/>
        <v>0</v>
      </c>
      <c r="K165" s="174">
        <f>Overview!$H$14</f>
        <v>0</v>
      </c>
      <c r="L165" s="176" t="e">
        <f t="shared" si="29"/>
        <v>#DIV/0!</v>
      </c>
      <c r="M165" s="179"/>
      <c r="N165" s="179" t="s">
        <v>963</v>
      </c>
      <c r="O165" s="141">
        <f t="shared" si="22"/>
        <v>0</v>
      </c>
      <c r="P165" s="181" t="b">
        <f>COUNTIF('Facility Data'!$A$1:$A$1500,"*"&amp;A165&amp;"*")&gt;0</f>
        <v>0</v>
      </c>
      <c r="Q165" s="181" t="b">
        <f>COUNTIF('Account Data'!$A$1:$A$1000,"*"&amp;A165&amp;"*")&gt;0</f>
        <v>0</v>
      </c>
      <c r="R165" s="182" t="b">
        <f t="shared" si="26"/>
        <v>0</v>
      </c>
      <c r="S165" s="182" t="b">
        <f t="shared" ref="S165:S221" si="30">IF(OR(Q165=TRUE,T165=TRUE),TRUE,FALSE)</f>
        <v>0</v>
      </c>
      <c r="T165" s="181" t="b">
        <f>COUNTIF('New Items'!$A$1:$A$175,A165)&gt;0</f>
        <v>0</v>
      </c>
      <c r="U165" s="181" t="b">
        <f>COUNTIF(Discontinued!$A$1:$A$150,A165)&gt;0</f>
        <v>0</v>
      </c>
    </row>
    <row r="166" spans="1:21" s="8" customFormat="1" ht="11.25" x14ac:dyDescent="0.2">
      <c r="A166" s="152">
        <v>10000184</v>
      </c>
      <c r="B166" s="10" t="s">
        <v>1394</v>
      </c>
      <c r="C166" s="12" t="s">
        <v>1395</v>
      </c>
      <c r="D166" s="11" t="s">
        <v>1387</v>
      </c>
      <c r="E166" s="12" t="s">
        <v>769</v>
      </c>
      <c r="F166" s="13">
        <v>2</v>
      </c>
      <c r="G166" s="22">
        <f>Overview!$B$14</f>
        <v>14</v>
      </c>
      <c r="H166" s="114">
        <f t="shared" si="27"/>
        <v>14</v>
      </c>
      <c r="I166" s="114">
        <f>Overview!$E$14</f>
        <v>0</v>
      </c>
      <c r="J166" s="175">
        <f t="shared" si="28"/>
        <v>0</v>
      </c>
      <c r="K166" s="174">
        <f>Overview!$H$14</f>
        <v>0</v>
      </c>
      <c r="L166" s="176" t="e">
        <f t="shared" si="29"/>
        <v>#DIV/0!</v>
      </c>
      <c r="M166" s="179"/>
      <c r="N166" s="179" t="s">
        <v>963</v>
      </c>
      <c r="O166" s="141">
        <f t="shared" si="22"/>
        <v>0</v>
      </c>
      <c r="P166" s="181" t="b">
        <f>COUNTIF('Facility Data'!$A$1:$A$1500,"*"&amp;A166&amp;"*")&gt;0</f>
        <v>1</v>
      </c>
      <c r="Q166" s="181" t="b">
        <f>COUNTIF('Account Data'!$A$1:$A$1000,"*"&amp;A166&amp;"*")&gt;0</f>
        <v>0</v>
      </c>
      <c r="R166" s="182" t="b">
        <f t="shared" si="26"/>
        <v>1</v>
      </c>
      <c r="S166" s="182" t="b">
        <f t="shared" si="30"/>
        <v>0</v>
      </c>
      <c r="T166" s="181" t="b">
        <f>COUNTIF('New Items'!$A$1:$A$175,A166)&gt;0</f>
        <v>0</v>
      </c>
      <c r="U166" s="181" t="b">
        <f>COUNTIF(Discontinued!$A$1:$A$150,A166)&gt;0</f>
        <v>0</v>
      </c>
    </row>
    <row r="167" spans="1:21" s="8" customFormat="1" ht="11.25" x14ac:dyDescent="0.2">
      <c r="A167" s="152">
        <v>10000180</v>
      </c>
      <c r="B167" s="10" t="s">
        <v>38</v>
      </c>
      <c r="C167" s="12" t="s">
        <v>77</v>
      </c>
      <c r="D167" s="11" t="s">
        <v>639</v>
      </c>
      <c r="E167" s="12" t="s">
        <v>769</v>
      </c>
      <c r="F167" s="13">
        <v>2</v>
      </c>
      <c r="G167" s="22">
        <f>Overview!$B$14</f>
        <v>14</v>
      </c>
      <c r="H167" s="114">
        <f t="shared" si="27"/>
        <v>14</v>
      </c>
      <c r="I167" s="114">
        <f>Overview!$E$14</f>
        <v>0</v>
      </c>
      <c r="J167" s="175">
        <f t="shared" si="28"/>
        <v>0</v>
      </c>
      <c r="K167" s="174">
        <f>Overview!$H$14</f>
        <v>0</v>
      </c>
      <c r="L167" s="176" t="e">
        <f t="shared" si="29"/>
        <v>#DIV/0!</v>
      </c>
      <c r="M167" s="179" t="s">
        <v>930</v>
      </c>
      <c r="N167" s="179" t="s">
        <v>963</v>
      </c>
      <c r="O167" s="141">
        <f t="shared" si="22"/>
        <v>0</v>
      </c>
      <c r="P167" s="181" t="b">
        <f>COUNTIF('Facility Data'!$A$1:$A$1500,"*"&amp;A167&amp;"*")&gt;0</f>
        <v>0</v>
      </c>
      <c r="Q167" s="181" t="b">
        <f>COUNTIF('Account Data'!$A$1:$A$1000,"*"&amp;A167&amp;"*")&gt;0</f>
        <v>0</v>
      </c>
      <c r="R167" s="182" t="b">
        <f t="shared" si="26"/>
        <v>0</v>
      </c>
      <c r="S167" s="182" t="b">
        <f t="shared" si="30"/>
        <v>0</v>
      </c>
      <c r="T167" s="181" t="b">
        <f>COUNTIF('New Items'!$A$1:$A$175,A167)&gt;0</f>
        <v>0</v>
      </c>
      <c r="U167" s="181" t="b">
        <f>COUNTIF(Discontinued!$A$1:$A$150,A167)&gt;0</f>
        <v>0</v>
      </c>
    </row>
    <row r="168" spans="1:21" s="8" customFormat="1" ht="11.25" x14ac:dyDescent="0.2">
      <c r="A168" s="152">
        <v>10000842</v>
      </c>
      <c r="B168" s="10" t="s">
        <v>45</v>
      </c>
      <c r="C168" s="12" t="s">
        <v>84</v>
      </c>
      <c r="D168" s="11" t="s">
        <v>658</v>
      </c>
      <c r="E168" s="12" t="s">
        <v>769</v>
      </c>
      <c r="F168" s="13">
        <v>2</v>
      </c>
      <c r="G168" s="22">
        <f>Overview!$B$14</f>
        <v>14</v>
      </c>
      <c r="H168" s="114">
        <f t="shared" si="27"/>
        <v>14</v>
      </c>
      <c r="I168" s="114">
        <f>Overview!$E$14</f>
        <v>0</v>
      </c>
      <c r="J168" s="175">
        <f t="shared" si="28"/>
        <v>0</v>
      </c>
      <c r="K168" s="174">
        <f>Overview!$H$14</f>
        <v>0</v>
      </c>
      <c r="L168" s="176" t="e">
        <f t="shared" si="29"/>
        <v>#DIV/0!</v>
      </c>
      <c r="M168" s="179"/>
      <c r="N168" s="179" t="s">
        <v>963</v>
      </c>
      <c r="O168" s="141">
        <f>I168</f>
        <v>0</v>
      </c>
      <c r="P168" s="181" t="b">
        <f>COUNTIF('Facility Data'!$A$1:$A$1500,"*"&amp;A168&amp;"*")&gt;0</f>
        <v>1</v>
      </c>
      <c r="Q168" s="181" t="b">
        <f>COUNTIF('Account Data'!$A$1:$A$1000,"*"&amp;A168&amp;"*")&gt;0</f>
        <v>1</v>
      </c>
      <c r="R168" s="182" t="b">
        <f t="shared" si="26"/>
        <v>1</v>
      </c>
      <c r="S168" s="182" t="b">
        <f t="shared" si="30"/>
        <v>1</v>
      </c>
      <c r="T168" s="181" t="b">
        <f>COUNTIF('New Items'!$A$1:$A$175,A168)&gt;0</f>
        <v>0</v>
      </c>
      <c r="U168" s="181" t="b">
        <f>COUNTIF(Discontinued!$A$1:$A$150,A168)&gt;0</f>
        <v>0</v>
      </c>
    </row>
    <row r="169" spans="1:21" s="8" customFormat="1" ht="11.25" x14ac:dyDescent="0.2">
      <c r="A169" s="152">
        <v>10002010</v>
      </c>
      <c r="B169" s="10" t="s">
        <v>2803</v>
      </c>
      <c r="C169" s="12" t="s">
        <v>84</v>
      </c>
      <c r="D169" s="11" t="s">
        <v>2804</v>
      </c>
      <c r="E169" s="12" t="s">
        <v>769</v>
      </c>
      <c r="F169" s="13">
        <v>2</v>
      </c>
      <c r="G169" s="22">
        <f>Overview!$B$14</f>
        <v>14</v>
      </c>
      <c r="H169" s="114">
        <f t="shared" si="27"/>
        <v>14</v>
      </c>
      <c r="I169" s="114">
        <f>Overview!$E$14</f>
        <v>0</v>
      </c>
      <c r="J169" s="175">
        <f t="shared" si="28"/>
        <v>0</v>
      </c>
      <c r="K169" s="174">
        <f>Overview!$H$14</f>
        <v>0</v>
      </c>
      <c r="L169" s="176" t="e">
        <f t="shared" si="29"/>
        <v>#DIV/0!</v>
      </c>
      <c r="M169" s="179"/>
      <c r="N169" s="179" t="s">
        <v>963</v>
      </c>
      <c r="O169" s="141">
        <f t="shared" si="22"/>
        <v>0</v>
      </c>
      <c r="P169" s="181" t="b">
        <f>COUNTIF('Facility Data'!$A$1:$A$1500,"*"&amp;A169&amp;"*")&gt;0</f>
        <v>0</v>
      </c>
      <c r="Q169" s="181" t="b">
        <f>COUNTIF('Account Data'!$A$1:$A$1000,"*"&amp;A169&amp;"*")&gt;0</f>
        <v>0</v>
      </c>
      <c r="R169" s="182" t="b">
        <f t="shared" si="26"/>
        <v>0</v>
      </c>
      <c r="S169" s="182" t="b">
        <f t="shared" si="30"/>
        <v>0</v>
      </c>
      <c r="T169" s="181" t="b">
        <f>COUNTIF('New Items'!$A$1:$A$175,A169)&gt;0</f>
        <v>0</v>
      </c>
      <c r="U169" s="181" t="b">
        <f>COUNTIF(Discontinued!$A$1:$A$150,A169)&gt;0</f>
        <v>0</v>
      </c>
    </row>
    <row r="170" spans="1:21" s="8" customFormat="1" ht="11.25" x14ac:dyDescent="0.2">
      <c r="A170" s="152">
        <v>10000909</v>
      </c>
      <c r="B170" s="10" t="s">
        <v>1270</v>
      </c>
      <c r="C170" s="12" t="s">
        <v>1271</v>
      </c>
      <c r="D170" s="11" t="s">
        <v>1269</v>
      </c>
      <c r="E170" s="12" t="s">
        <v>769</v>
      </c>
      <c r="F170" s="13">
        <v>2</v>
      </c>
      <c r="G170" s="22">
        <f>Overview!$B$14</f>
        <v>14</v>
      </c>
      <c r="H170" s="114">
        <f t="shared" si="27"/>
        <v>14</v>
      </c>
      <c r="I170" s="114">
        <f>Overview!$E$14</f>
        <v>0</v>
      </c>
      <c r="J170" s="175">
        <f t="shared" si="28"/>
        <v>0</v>
      </c>
      <c r="K170" s="174">
        <f>Overview!$H$14</f>
        <v>0</v>
      </c>
      <c r="L170" s="176" t="e">
        <f t="shared" si="29"/>
        <v>#DIV/0!</v>
      </c>
      <c r="M170" s="179"/>
      <c r="N170" s="179" t="s">
        <v>963</v>
      </c>
      <c r="O170" s="141">
        <f t="shared" si="22"/>
        <v>0</v>
      </c>
      <c r="P170" s="181" t="b">
        <f>COUNTIF('Facility Data'!$A$1:$A$1500,"*"&amp;A170&amp;"*")&gt;0</f>
        <v>0</v>
      </c>
      <c r="Q170" s="181" t="b">
        <f>COUNTIF('Account Data'!$A$1:$A$1000,"*"&amp;A170&amp;"*")&gt;0</f>
        <v>0</v>
      </c>
      <c r="R170" s="182" t="b">
        <f t="shared" si="26"/>
        <v>0</v>
      </c>
      <c r="S170" s="182" t="b">
        <f t="shared" si="30"/>
        <v>0</v>
      </c>
      <c r="T170" s="181" t="b">
        <f>COUNTIF('New Items'!$A$1:$A$175,A170)&gt;0</f>
        <v>0</v>
      </c>
      <c r="U170" s="181" t="b">
        <f>COUNTIF(Discontinued!$A$1:$A$150,A170)&gt;0</f>
        <v>0</v>
      </c>
    </row>
    <row r="171" spans="1:21" s="8" customFormat="1" ht="11.25" x14ac:dyDescent="0.2">
      <c r="A171" s="152">
        <v>10000848</v>
      </c>
      <c r="B171" s="10" t="s">
        <v>1659</v>
      </c>
      <c r="C171" s="12" t="s">
        <v>1660</v>
      </c>
      <c r="D171" s="11" t="s">
        <v>3976</v>
      </c>
      <c r="E171" s="12" t="s">
        <v>769</v>
      </c>
      <c r="F171" s="13">
        <v>2</v>
      </c>
      <c r="G171" s="22">
        <f>Overview!$B$14</f>
        <v>14</v>
      </c>
      <c r="H171" s="114">
        <f t="shared" si="27"/>
        <v>14</v>
      </c>
      <c r="I171" s="114">
        <f>Overview!$E$14</f>
        <v>0</v>
      </c>
      <c r="J171" s="175">
        <f t="shared" si="28"/>
        <v>0</v>
      </c>
      <c r="K171" s="174">
        <f>Overview!$H$14</f>
        <v>0</v>
      </c>
      <c r="L171" s="176" t="e">
        <f t="shared" si="29"/>
        <v>#DIV/0!</v>
      </c>
      <c r="M171" s="179"/>
      <c r="N171" s="179" t="s">
        <v>963</v>
      </c>
      <c r="O171" s="141">
        <f>I171</f>
        <v>0</v>
      </c>
      <c r="P171" s="181" t="b">
        <f>COUNTIF('Facility Data'!$A$1:$A$1500,"*"&amp;A171&amp;"*")&gt;0</f>
        <v>0</v>
      </c>
      <c r="Q171" s="181" t="b">
        <f>COUNTIF('Account Data'!$A$1:$A$1000,"*"&amp;A171&amp;"*")&gt;0</f>
        <v>0</v>
      </c>
      <c r="R171" s="182" t="b">
        <f t="shared" si="26"/>
        <v>0</v>
      </c>
      <c r="S171" s="182" t="b">
        <f t="shared" si="30"/>
        <v>0</v>
      </c>
      <c r="T171" s="181" t="b">
        <f>COUNTIF('New Items'!$A$1:$A$175,A171)&gt;0</f>
        <v>0</v>
      </c>
      <c r="U171" s="181" t="b">
        <f>COUNTIF(Discontinued!$A$1:$A$150,A171)&gt;0</f>
        <v>0</v>
      </c>
    </row>
    <row r="172" spans="1:21" s="8" customFormat="1" ht="11.25" x14ac:dyDescent="0.2">
      <c r="A172" s="152">
        <v>10000858</v>
      </c>
      <c r="B172" s="10" t="s">
        <v>1661</v>
      </c>
      <c r="C172" s="12" t="s">
        <v>1662</v>
      </c>
      <c r="D172" s="11" t="s">
        <v>1663</v>
      </c>
      <c r="E172" s="12" t="s">
        <v>769</v>
      </c>
      <c r="F172" s="13">
        <v>2</v>
      </c>
      <c r="G172" s="22">
        <f>Overview!$B$14</f>
        <v>14</v>
      </c>
      <c r="H172" s="114">
        <f t="shared" si="27"/>
        <v>14</v>
      </c>
      <c r="I172" s="114">
        <f>Overview!$E$14</f>
        <v>0</v>
      </c>
      <c r="J172" s="175">
        <f t="shared" si="28"/>
        <v>0</v>
      </c>
      <c r="K172" s="174">
        <f>Overview!$H$14</f>
        <v>0</v>
      </c>
      <c r="L172" s="176" t="e">
        <f t="shared" si="29"/>
        <v>#DIV/0!</v>
      </c>
      <c r="M172" s="179"/>
      <c r="N172" s="179" t="s">
        <v>963</v>
      </c>
      <c r="O172" s="141">
        <f>I172</f>
        <v>0</v>
      </c>
      <c r="P172" s="181" t="b">
        <f>COUNTIF('Facility Data'!$A$1:$A$1500,"*"&amp;A172&amp;"*")&gt;0</f>
        <v>0</v>
      </c>
      <c r="Q172" s="181" t="b">
        <f>COUNTIF('Account Data'!$A$1:$A$1000,"*"&amp;A172&amp;"*")&gt;0</f>
        <v>0</v>
      </c>
      <c r="R172" s="182" t="b">
        <f t="shared" si="26"/>
        <v>0</v>
      </c>
      <c r="S172" s="182" t="b">
        <f t="shared" si="30"/>
        <v>0</v>
      </c>
      <c r="T172" s="181" t="b">
        <f>COUNTIF('New Items'!$A$1:$A$175,A172)&gt;0</f>
        <v>0</v>
      </c>
      <c r="U172" s="181" t="b">
        <f>COUNTIF(Discontinued!$A$1:$A$150,A172)&gt;0</f>
        <v>0</v>
      </c>
    </row>
    <row r="173" spans="1:21" s="8" customFormat="1" ht="11.25" x14ac:dyDescent="0.2">
      <c r="A173" s="152">
        <v>10000179</v>
      </c>
      <c r="B173" s="10" t="s">
        <v>57</v>
      </c>
      <c r="C173" s="12" t="s">
        <v>94</v>
      </c>
      <c r="D173" s="11" t="s">
        <v>659</v>
      </c>
      <c r="E173" s="12" t="s">
        <v>769</v>
      </c>
      <c r="F173" s="13">
        <v>2</v>
      </c>
      <c r="G173" s="22">
        <f>Overview!$B$14</f>
        <v>14</v>
      </c>
      <c r="H173" s="114">
        <f t="shared" si="27"/>
        <v>14</v>
      </c>
      <c r="I173" s="114">
        <f>Overview!$E$14</f>
        <v>0</v>
      </c>
      <c r="J173" s="175">
        <f t="shared" si="28"/>
        <v>0</v>
      </c>
      <c r="K173" s="174">
        <f>Overview!$H$14</f>
        <v>0</v>
      </c>
      <c r="L173" s="176" t="e">
        <f t="shared" si="29"/>
        <v>#DIV/0!</v>
      </c>
      <c r="M173" s="179"/>
      <c r="N173" s="179" t="s">
        <v>963</v>
      </c>
      <c r="O173" s="141">
        <f t="shared" si="22"/>
        <v>0</v>
      </c>
      <c r="P173" s="181" t="b">
        <f>COUNTIF('Facility Data'!$A$1:$A$1500,"*"&amp;A173&amp;"*")&gt;0</f>
        <v>0</v>
      </c>
      <c r="Q173" s="181" t="b">
        <f>COUNTIF('Account Data'!$A$1:$A$1000,"*"&amp;A173&amp;"*")&gt;0</f>
        <v>1</v>
      </c>
      <c r="R173" s="182" t="b">
        <f t="shared" si="26"/>
        <v>0</v>
      </c>
      <c r="S173" s="182" t="b">
        <f t="shared" si="30"/>
        <v>1</v>
      </c>
      <c r="T173" s="181" t="b">
        <f>COUNTIF('New Items'!$A$1:$A$175,A173)&gt;0</f>
        <v>0</v>
      </c>
      <c r="U173" s="181" t="b">
        <f>COUNTIF(Discontinued!$A$1:$A$150,A173)&gt;0</f>
        <v>0</v>
      </c>
    </row>
    <row r="174" spans="1:21" s="8" customFormat="1" ht="11.25" x14ac:dyDescent="0.2">
      <c r="A174" s="152">
        <v>10000839</v>
      </c>
      <c r="B174" s="10" t="s">
        <v>1274</v>
      </c>
      <c r="C174" s="12" t="s">
        <v>1273</v>
      </c>
      <c r="D174" s="11" t="s">
        <v>1272</v>
      </c>
      <c r="E174" s="12" t="s">
        <v>769</v>
      </c>
      <c r="F174" s="13">
        <v>2</v>
      </c>
      <c r="G174" s="22">
        <f>Overview!$B$14</f>
        <v>14</v>
      </c>
      <c r="H174" s="114">
        <f t="shared" si="27"/>
        <v>14</v>
      </c>
      <c r="I174" s="114">
        <f>Overview!$E$14</f>
        <v>0</v>
      </c>
      <c r="J174" s="175">
        <f t="shared" si="28"/>
        <v>0</v>
      </c>
      <c r="K174" s="174">
        <f>Overview!$H$14</f>
        <v>0</v>
      </c>
      <c r="L174" s="176" t="e">
        <f t="shared" si="29"/>
        <v>#DIV/0!</v>
      </c>
      <c r="M174" s="179"/>
      <c r="N174" s="179" t="s">
        <v>963</v>
      </c>
      <c r="O174" s="141">
        <f t="shared" si="22"/>
        <v>0</v>
      </c>
      <c r="P174" s="181" t="b">
        <f>COUNTIF('Facility Data'!$A$1:$A$1500,"*"&amp;A174&amp;"*")&gt;0</f>
        <v>1</v>
      </c>
      <c r="Q174" s="181" t="b">
        <f>COUNTIF('Account Data'!$A$1:$A$1000,"*"&amp;A174&amp;"*")&gt;0</f>
        <v>0</v>
      </c>
      <c r="R174" s="182" t="b">
        <f t="shared" si="26"/>
        <v>1</v>
      </c>
      <c r="S174" s="182" t="b">
        <f t="shared" si="30"/>
        <v>0</v>
      </c>
      <c r="T174" s="181" t="b">
        <f>COUNTIF('New Items'!$A$1:$A$175,A174)&gt;0</f>
        <v>0</v>
      </c>
      <c r="U174" s="181" t="b">
        <f>COUNTIF(Discontinued!$A$1:$A$150,A174)&gt;0</f>
        <v>0</v>
      </c>
    </row>
    <row r="175" spans="1:21" s="8" customFormat="1" ht="11.25" x14ac:dyDescent="0.2">
      <c r="A175" s="152">
        <v>10000838</v>
      </c>
      <c r="B175" s="10" t="s">
        <v>37</v>
      </c>
      <c r="C175" s="12" t="s">
        <v>76</v>
      </c>
      <c r="D175" s="11" t="s">
        <v>660</v>
      </c>
      <c r="E175" s="12" t="s">
        <v>769</v>
      </c>
      <c r="F175" s="13">
        <v>2</v>
      </c>
      <c r="G175" s="22">
        <f>Overview!$B$14</f>
        <v>14</v>
      </c>
      <c r="H175" s="114">
        <f>G175-I175</f>
        <v>14</v>
      </c>
      <c r="I175" s="114">
        <f>Overview!$E$14</f>
        <v>0</v>
      </c>
      <c r="J175" s="175">
        <f>I175/F175</f>
        <v>0</v>
      </c>
      <c r="K175" s="174">
        <f>Overview!$H$14</f>
        <v>0</v>
      </c>
      <c r="L175" s="176" t="e">
        <f>(K175-J175)/K175</f>
        <v>#DIV/0!</v>
      </c>
      <c r="M175" s="179"/>
      <c r="N175" s="179" t="s">
        <v>963</v>
      </c>
      <c r="O175" s="141">
        <f>I175</f>
        <v>0</v>
      </c>
      <c r="P175" s="181" t="b">
        <f>COUNTIF('Facility Data'!$A$1:$A$1500,"*"&amp;A175&amp;"*")&gt;0</f>
        <v>1</v>
      </c>
      <c r="Q175" s="181" t="b">
        <f>COUNTIF('Account Data'!$A$1:$A$1000,"*"&amp;A175&amp;"*")&gt;0</f>
        <v>1</v>
      </c>
      <c r="R175" s="182" t="b">
        <f t="shared" si="26"/>
        <v>1</v>
      </c>
      <c r="S175" s="182" t="b">
        <f>IF(OR(Q175=TRUE,T175=TRUE),TRUE,FALSE)</f>
        <v>1</v>
      </c>
      <c r="T175" s="181" t="b">
        <f>COUNTIF('New Items'!$A$1:$A$175,A175)&gt;0</f>
        <v>0</v>
      </c>
      <c r="U175" s="181" t="b">
        <f>COUNTIF(Discontinued!$A$1:$A$150,A175)&gt;0</f>
        <v>0</v>
      </c>
    </row>
    <row r="176" spans="1:21" s="8" customFormat="1" ht="12" thickBot="1" x14ac:dyDescent="0.25">
      <c r="A176" s="152">
        <v>10033033</v>
      </c>
      <c r="B176" s="10" t="s">
        <v>3805</v>
      </c>
      <c r="C176" s="12" t="s">
        <v>76</v>
      </c>
      <c r="D176" s="11" t="s">
        <v>3806</v>
      </c>
      <c r="E176" s="12" t="s">
        <v>769</v>
      </c>
      <c r="F176" s="13">
        <v>2</v>
      </c>
      <c r="G176" s="22">
        <f>Overview!$B$14</f>
        <v>14</v>
      </c>
      <c r="H176" s="114">
        <f t="shared" si="27"/>
        <v>14</v>
      </c>
      <c r="I176" s="114">
        <f>Overview!$E$14</f>
        <v>0</v>
      </c>
      <c r="J176" s="175">
        <f t="shared" si="28"/>
        <v>0</v>
      </c>
      <c r="K176" s="174">
        <f>Overview!$H$14</f>
        <v>0</v>
      </c>
      <c r="L176" s="176" t="e">
        <f t="shared" si="29"/>
        <v>#DIV/0!</v>
      </c>
      <c r="M176" s="179" t="s">
        <v>1000</v>
      </c>
      <c r="N176" s="179" t="s">
        <v>963</v>
      </c>
      <c r="O176" s="141">
        <f t="shared" si="22"/>
        <v>0</v>
      </c>
      <c r="P176" s="181" t="b">
        <f>COUNTIF('Facility Data'!$A$1:$A$1500,"*"&amp;A176&amp;"*")&gt;0</f>
        <v>0</v>
      </c>
      <c r="Q176" s="181" t="b">
        <f>COUNTIF('Account Data'!$A$1:$A$1000,"*"&amp;A176&amp;"*")&gt;0</f>
        <v>0</v>
      </c>
      <c r="R176" s="182" t="b">
        <f t="shared" si="26"/>
        <v>0</v>
      </c>
      <c r="S176" s="182" t="b">
        <f t="shared" si="30"/>
        <v>0</v>
      </c>
      <c r="T176" s="181" t="b">
        <f>COUNTIF('New Items'!$A$1:$A$175,A176)&gt;0</f>
        <v>0</v>
      </c>
      <c r="U176" s="181" t="b">
        <f>COUNTIF(Discontinued!$A$1:$A$150,A176)&gt;0</f>
        <v>0</v>
      </c>
    </row>
    <row r="177" spans="1:21" s="8" customFormat="1" ht="13.5" thickBot="1" x14ac:dyDescent="0.25">
      <c r="A177" s="300" t="s">
        <v>2933</v>
      </c>
      <c r="B177" s="301"/>
      <c r="C177" s="301"/>
      <c r="D177" s="301"/>
      <c r="E177" s="301"/>
      <c r="F177" s="301"/>
      <c r="G177" s="301"/>
      <c r="H177" s="301"/>
      <c r="I177" s="301"/>
      <c r="J177" s="301"/>
      <c r="K177" s="301"/>
      <c r="L177" s="302"/>
      <c r="M177" s="179" t="s">
        <v>4361</v>
      </c>
      <c r="N177" s="179" t="s">
        <v>3124</v>
      </c>
      <c r="O177" s="141">
        <f>AVERAGE(O178:O181)</f>
        <v>0</v>
      </c>
      <c r="P177" s="181" t="b">
        <f>COUNTIF(P178:P181,TRUE)&gt;0</f>
        <v>1</v>
      </c>
      <c r="Q177" s="181" t="b">
        <f>COUNTIF(Q178:Q181,TRUE)&gt;0</f>
        <v>0</v>
      </c>
      <c r="R177" s="181" t="b">
        <f>COUNTIF(R178:R181,TRUE)&gt;0</f>
        <v>1</v>
      </c>
      <c r="S177" s="181" t="b">
        <f>COUNTIF(S178:S181,TRUE)&gt;0</f>
        <v>0</v>
      </c>
      <c r="T177" s="181" t="b">
        <f>COUNTIF(T178:T181,TRUE)&gt;0</f>
        <v>0</v>
      </c>
      <c r="U177" s="181"/>
    </row>
    <row r="178" spans="1:21" s="8" customFormat="1" ht="11.25" x14ac:dyDescent="0.2">
      <c r="A178" s="152">
        <v>10001068</v>
      </c>
      <c r="B178" s="10" t="s">
        <v>1617</v>
      </c>
      <c r="C178" s="12" t="s">
        <v>1410</v>
      </c>
      <c r="D178" s="11" t="s">
        <v>652</v>
      </c>
      <c r="E178" s="12" t="s">
        <v>769</v>
      </c>
      <c r="F178" s="13">
        <v>24</v>
      </c>
      <c r="G178" s="22">
        <f>Overview!$B$15</f>
        <v>14</v>
      </c>
      <c r="H178" s="23">
        <f>G178-I178</f>
        <v>14</v>
      </c>
      <c r="I178" s="23">
        <f>Overview!$E$15</f>
        <v>0</v>
      </c>
      <c r="J178" s="52">
        <f>I178/F178</f>
        <v>0</v>
      </c>
      <c r="K178" s="53">
        <f>Overview!$H$15</f>
        <v>0</v>
      </c>
      <c r="L178" s="54" t="e">
        <f>(K178-J178)/K178</f>
        <v>#DIV/0!</v>
      </c>
      <c r="M178" s="179"/>
      <c r="N178" s="179" t="s">
        <v>3124</v>
      </c>
      <c r="O178" s="141">
        <f>I178</f>
        <v>0</v>
      </c>
      <c r="P178" s="181" t="b">
        <f>COUNTIF('Facility Data'!$A$1:$A$1500,"*"&amp;A178&amp;"*")&gt;0</f>
        <v>0</v>
      </c>
      <c r="Q178" s="181" t="b">
        <f>COUNTIF('Account Data'!$A$1:$A$1000,"*"&amp;A178&amp;"*")&gt;0</f>
        <v>0</v>
      </c>
      <c r="R178" s="182" t="b">
        <f>IF(OR(P178=TRUE,T178=TRUE),TRUE,FALSE)</f>
        <v>0</v>
      </c>
      <c r="S178" s="182" t="b">
        <f>IF(OR(Q178=TRUE,T178=TRUE),TRUE,FALSE)</f>
        <v>0</v>
      </c>
      <c r="T178" s="181" t="b">
        <f>COUNTIF('New Items'!$A$1:$A$175,A178)&gt;0</f>
        <v>0</v>
      </c>
      <c r="U178" s="181" t="b">
        <f>COUNTIF(Discontinued!$A$1:$A$150,A178)&gt;0</f>
        <v>0</v>
      </c>
    </row>
    <row r="179" spans="1:21" s="8" customFormat="1" ht="11.25" x14ac:dyDescent="0.2">
      <c r="A179" s="152">
        <v>10126465</v>
      </c>
      <c r="B179" s="10" t="s">
        <v>3961</v>
      </c>
      <c r="C179" s="12" t="s">
        <v>3962</v>
      </c>
      <c r="D179" s="11" t="s">
        <v>3773</v>
      </c>
      <c r="E179" s="12" t="s">
        <v>769</v>
      </c>
      <c r="F179" s="13">
        <v>24</v>
      </c>
      <c r="G179" s="22">
        <f>Overview!$B$15</f>
        <v>14</v>
      </c>
      <c r="H179" s="23">
        <f>G179-I179</f>
        <v>14</v>
      </c>
      <c r="I179" s="23">
        <f>Overview!$E$15</f>
        <v>0</v>
      </c>
      <c r="J179" s="52">
        <f>I179/F179</f>
        <v>0</v>
      </c>
      <c r="K179" s="53">
        <f>Overview!$H$15</f>
        <v>0</v>
      </c>
      <c r="L179" s="54" t="e">
        <f>(K179-J179)/K179</f>
        <v>#DIV/0!</v>
      </c>
      <c r="M179" s="179"/>
      <c r="N179" s="179" t="s">
        <v>3124</v>
      </c>
      <c r="O179" s="141">
        <f>I179</f>
        <v>0</v>
      </c>
      <c r="P179" s="181" t="b">
        <f>COUNTIF('Facility Data'!$A$1:$A$1500,"*"&amp;A179&amp;"*")&gt;0</f>
        <v>1</v>
      </c>
      <c r="Q179" s="181" t="b">
        <f>COUNTIF('Account Data'!$A$1:$A$1000,"*"&amp;A179&amp;"*")&gt;0</f>
        <v>0</v>
      </c>
      <c r="R179" s="182" t="b">
        <f>IF(OR(P179=TRUE,T179=TRUE),TRUE,FALSE)</f>
        <v>1</v>
      </c>
      <c r="S179" s="182" t="b">
        <f>IF(OR(Q179=TRUE,T179=TRUE),TRUE,FALSE)</f>
        <v>0</v>
      </c>
      <c r="T179" s="181" t="b">
        <f>COUNTIF('New Items'!$A$1:$A$175,A179)&gt;0</f>
        <v>0</v>
      </c>
      <c r="U179" s="181" t="b">
        <f>COUNTIF(Discontinued!$A$1:$A$150,A179)&gt;0</f>
        <v>0</v>
      </c>
    </row>
    <row r="180" spans="1:21" s="8" customFormat="1" ht="11.25" x14ac:dyDescent="0.2">
      <c r="A180" s="152">
        <v>10001069</v>
      </c>
      <c r="B180" s="10" t="s">
        <v>1618</v>
      </c>
      <c r="C180" s="12" t="s">
        <v>1614</v>
      </c>
      <c r="D180" s="11" t="s">
        <v>677</v>
      </c>
      <c r="E180" s="12" t="s">
        <v>769</v>
      </c>
      <c r="F180" s="13">
        <v>24</v>
      </c>
      <c r="G180" s="22">
        <f>Overview!$B$15</f>
        <v>14</v>
      </c>
      <c r="H180" s="23">
        <f>G180-I180</f>
        <v>14</v>
      </c>
      <c r="I180" s="23">
        <f>Overview!$E$15</f>
        <v>0</v>
      </c>
      <c r="J180" s="52">
        <f>I180/F180</f>
        <v>0</v>
      </c>
      <c r="K180" s="53">
        <f>Overview!$H$15</f>
        <v>0</v>
      </c>
      <c r="L180" s="54" t="e">
        <f>(K180-J180)/K180</f>
        <v>#DIV/0!</v>
      </c>
      <c r="M180" s="179"/>
      <c r="N180" s="179" t="s">
        <v>3124</v>
      </c>
      <c r="O180" s="141">
        <f>I180</f>
        <v>0</v>
      </c>
      <c r="P180" s="181" t="b">
        <f>COUNTIF('Facility Data'!$A$1:$A$1500,"*"&amp;A180&amp;"*")&gt;0</f>
        <v>0</v>
      </c>
      <c r="Q180" s="181" t="b">
        <f>COUNTIF('Account Data'!$A$1:$A$1000,"*"&amp;A180&amp;"*")&gt;0</f>
        <v>0</v>
      </c>
      <c r="R180" s="182" t="b">
        <f>IF(OR(P180=TRUE,T180=TRUE),TRUE,FALSE)</f>
        <v>0</v>
      </c>
      <c r="S180" s="182" t="b">
        <f>IF(OR(Q180=TRUE,T180=TRUE),TRUE,FALSE)</f>
        <v>0</v>
      </c>
      <c r="T180" s="181" t="b">
        <f>COUNTIF('New Items'!$A$1:$A$175,A180)&gt;0</f>
        <v>0</v>
      </c>
      <c r="U180" s="181" t="b">
        <f>COUNTIF(Discontinued!$A$1:$A$150,A180)&gt;0</f>
        <v>0</v>
      </c>
    </row>
    <row r="181" spans="1:21" s="8" customFormat="1" ht="12" thickBot="1" x14ac:dyDescent="0.25">
      <c r="A181" s="152">
        <v>10001067</v>
      </c>
      <c r="B181" s="10" t="s">
        <v>1619</v>
      </c>
      <c r="C181" s="12" t="s">
        <v>1616</v>
      </c>
      <c r="D181" s="11" t="s">
        <v>675</v>
      </c>
      <c r="E181" s="12" t="s">
        <v>769</v>
      </c>
      <c r="F181" s="13">
        <v>24</v>
      </c>
      <c r="G181" s="22">
        <f>Overview!$B$15</f>
        <v>14</v>
      </c>
      <c r="H181" s="23">
        <f>G181-I181</f>
        <v>14</v>
      </c>
      <c r="I181" s="23">
        <f>Overview!$E$15</f>
        <v>0</v>
      </c>
      <c r="J181" s="52">
        <f>I181/F181</f>
        <v>0</v>
      </c>
      <c r="K181" s="53">
        <f>Overview!$H$15</f>
        <v>0</v>
      </c>
      <c r="L181" s="54" t="e">
        <f>(K181-J181)/K181</f>
        <v>#DIV/0!</v>
      </c>
      <c r="M181" s="179"/>
      <c r="N181" s="179" t="s">
        <v>3124</v>
      </c>
      <c r="O181" s="141">
        <f>I181</f>
        <v>0</v>
      </c>
      <c r="P181" s="181" t="b">
        <f>COUNTIF('Facility Data'!$A$1:$A$1500,"*"&amp;A181&amp;"*")&gt;0</f>
        <v>0</v>
      </c>
      <c r="Q181" s="181" t="b">
        <f>COUNTIF('Account Data'!$A$1:$A$1000,"*"&amp;A181&amp;"*")&gt;0</f>
        <v>0</v>
      </c>
      <c r="R181" s="182" t="b">
        <f>IF(OR(P181=TRUE,T181=TRUE),TRUE,FALSE)</f>
        <v>0</v>
      </c>
      <c r="S181" s="182" t="b">
        <f>IF(OR(Q181=TRUE,T181=TRUE),TRUE,FALSE)</f>
        <v>0</v>
      </c>
      <c r="T181" s="181" t="b">
        <f>COUNTIF('New Items'!$A$1:$A$175,A181)&gt;0</f>
        <v>0</v>
      </c>
      <c r="U181" s="181" t="b">
        <f>COUNTIF(Discontinued!$A$1:$A$150,A181)&gt;0</f>
        <v>0</v>
      </c>
    </row>
    <row r="182" spans="1:21" s="8" customFormat="1" ht="13.5" thickBot="1" x14ac:dyDescent="0.25">
      <c r="A182" s="300" t="s">
        <v>3379</v>
      </c>
      <c r="B182" s="301"/>
      <c r="C182" s="301"/>
      <c r="D182" s="301"/>
      <c r="E182" s="301"/>
      <c r="F182" s="301"/>
      <c r="G182" s="301"/>
      <c r="H182" s="301"/>
      <c r="I182" s="301"/>
      <c r="J182" s="301"/>
      <c r="K182" s="301"/>
      <c r="L182" s="302"/>
      <c r="M182" s="179" t="s">
        <v>4361</v>
      </c>
      <c r="N182" s="179" t="s">
        <v>964</v>
      </c>
      <c r="O182" s="141">
        <f>AVERAGE(O183:O200)</f>
        <v>0</v>
      </c>
      <c r="P182" s="181" t="b">
        <f>COUNTIF(P183:P200,TRUE)&gt;0</f>
        <v>0</v>
      </c>
      <c r="Q182" s="181" t="b">
        <f>COUNTIF(Q183:Q200,TRUE)&gt;0</f>
        <v>1</v>
      </c>
      <c r="R182" s="181" t="b">
        <f>COUNTIF(R183:R200,TRUE)&gt;0</f>
        <v>0</v>
      </c>
      <c r="S182" s="181" t="b">
        <f>COUNTIF(S183:S200,TRUE)&gt;0</f>
        <v>1</v>
      </c>
      <c r="T182" s="181" t="b">
        <f>COUNTIF(T183:T200,TRUE)&gt;0</f>
        <v>0</v>
      </c>
      <c r="U182" s="181"/>
    </row>
    <row r="183" spans="1:21" s="8" customFormat="1" ht="11.25" x14ac:dyDescent="0.2">
      <c r="A183" s="152">
        <v>10001037</v>
      </c>
      <c r="B183" s="10" t="s">
        <v>14</v>
      </c>
      <c r="C183" s="12" t="s">
        <v>23</v>
      </c>
      <c r="D183" s="11" t="s">
        <v>629</v>
      </c>
      <c r="E183" s="12" t="s">
        <v>769</v>
      </c>
      <c r="F183" s="13">
        <v>1</v>
      </c>
      <c r="G183" s="22">
        <f>Overview!$B$16</f>
        <v>14</v>
      </c>
      <c r="H183" s="23">
        <f t="shared" ref="H183:H200" si="31">G183-I183</f>
        <v>14</v>
      </c>
      <c r="I183" s="23">
        <f>Overview!$E$16</f>
        <v>0</v>
      </c>
      <c r="J183" s="52">
        <f t="shared" ref="J183:J200" si="32">I183/F183</f>
        <v>0</v>
      </c>
      <c r="K183" s="53">
        <f>Overview!$H$16</f>
        <v>0</v>
      </c>
      <c r="L183" s="54" t="e">
        <f t="shared" ref="L183:L200" si="33">(K183-J183)/K183</f>
        <v>#DIV/0!</v>
      </c>
      <c r="M183" s="179" t="s">
        <v>951</v>
      </c>
      <c r="N183" s="179" t="s">
        <v>964</v>
      </c>
      <c r="O183" s="141">
        <f>I183</f>
        <v>0</v>
      </c>
      <c r="P183" s="181" t="b">
        <f>COUNTIF('Facility Data'!$A$1:$A$1500,"*"&amp;A183&amp;"*")&gt;0</f>
        <v>0</v>
      </c>
      <c r="Q183" s="181" t="b">
        <f>COUNTIF('Account Data'!$A$1:$A$1000,"*"&amp;A183&amp;"*")&gt;0</f>
        <v>1</v>
      </c>
      <c r="R183" s="182" t="b">
        <f t="shared" ref="R183:R200" si="34">IF(OR(P183=TRUE,T183=TRUE),TRUE,FALSE)</f>
        <v>0</v>
      </c>
      <c r="S183" s="182" t="b">
        <f t="shared" si="30"/>
        <v>1</v>
      </c>
      <c r="T183" s="181" t="b">
        <f>COUNTIF('New Items'!$A$1:$A$175,A183)&gt;0</f>
        <v>0</v>
      </c>
      <c r="U183" s="181" t="b">
        <f>COUNTIF(Discontinued!$A$1:$A$150,A183)&gt;0</f>
        <v>0</v>
      </c>
    </row>
    <row r="184" spans="1:21" s="8" customFormat="1" ht="11.25" x14ac:dyDescent="0.2">
      <c r="A184" s="152">
        <v>10074444</v>
      </c>
      <c r="B184" s="10" t="s">
        <v>2961</v>
      </c>
      <c r="C184" s="12" t="s">
        <v>23</v>
      </c>
      <c r="D184" s="11" t="s">
        <v>2951</v>
      </c>
      <c r="E184" s="12" t="s">
        <v>769</v>
      </c>
      <c r="F184" s="13">
        <v>1</v>
      </c>
      <c r="G184" s="22">
        <f>Overview!$B$16</f>
        <v>14</v>
      </c>
      <c r="H184" s="23">
        <f t="shared" si="31"/>
        <v>14</v>
      </c>
      <c r="I184" s="23">
        <f>Overview!$E$16</f>
        <v>0</v>
      </c>
      <c r="J184" s="52">
        <f t="shared" si="32"/>
        <v>0</v>
      </c>
      <c r="K184" s="53">
        <f>Overview!$H$16</f>
        <v>0</v>
      </c>
      <c r="L184" s="54" t="e">
        <f t="shared" si="33"/>
        <v>#DIV/0!</v>
      </c>
      <c r="M184" s="179" t="s">
        <v>3393</v>
      </c>
      <c r="N184" s="179" t="s">
        <v>964</v>
      </c>
      <c r="O184" s="141">
        <f>I184</f>
        <v>0</v>
      </c>
      <c r="P184" s="181" t="b">
        <f>COUNTIF('Facility Data'!$A$1:$A$1500,"*"&amp;A184&amp;"*")&gt;0</f>
        <v>0</v>
      </c>
      <c r="Q184" s="181" t="b">
        <f>COUNTIF('Account Data'!$A$1:$A$1000,"*"&amp;A184&amp;"*")&gt;0</f>
        <v>0</v>
      </c>
      <c r="R184" s="182" t="b">
        <f t="shared" si="34"/>
        <v>0</v>
      </c>
      <c r="S184" s="182" t="b">
        <f t="shared" si="30"/>
        <v>0</v>
      </c>
      <c r="T184" s="181" t="b">
        <f>COUNTIF('New Items'!$A$1:$A$175,A184)&gt;0</f>
        <v>0</v>
      </c>
      <c r="U184" s="181" t="b">
        <f>COUNTIF(Discontinued!$A$1:$A$150,A184)&gt;0</f>
        <v>0</v>
      </c>
    </row>
    <row r="185" spans="1:21" s="8" customFormat="1" ht="11.25" x14ac:dyDescent="0.2">
      <c r="A185" s="152">
        <v>10001038</v>
      </c>
      <c r="B185" s="10" t="s">
        <v>12</v>
      </c>
      <c r="C185" s="12" t="s">
        <v>21</v>
      </c>
      <c r="D185" s="11" t="s">
        <v>631</v>
      </c>
      <c r="E185" s="12" t="s">
        <v>769</v>
      </c>
      <c r="F185" s="13">
        <v>1</v>
      </c>
      <c r="G185" s="22">
        <f>Overview!$B$16</f>
        <v>14</v>
      </c>
      <c r="H185" s="23">
        <f t="shared" si="31"/>
        <v>14</v>
      </c>
      <c r="I185" s="23">
        <f>Overview!$E$16</f>
        <v>0</v>
      </c>
      <c r="J185" s="52">
        <f t="shared" si="32"/>
        <v>0</v>
      </c>
      <c r="K185" s="53">
        <f>Overview!$H$16</f>
        <v>0</v>
      </c>
      <c r="L185" s="54" t="e">
        <f t="shared" si="33"/>
        <v>#DIV/0!</v>
      </c>
      <c r="M185" s="179" t="s">
        <v>951</v>
      </c>
      <c r="N185" s="179" t="s">
        <v>964</v>
      </c>
      <c r="O185" s="141">
        <f t="shared" ref="O185:O200" si="35">I185</f>
        <v>0</v>
      </c>
      <c r="P185" s="181" t="b">
        <f>COUNTIF('Facility Data'!$A$1:$A$1500,"*"&amp;A185&amp;"*")&gt;0</f>
        <v>0</v>
      </c>
      <c r="Q185" s="181" t="b">
        <f>COUNTIF('Account Data'!$A$1:$A$1000,"*"&amp;A185&amp;"*")&gt;0</f>
        <v>1</v>
      </c>
      <c r="R185" s="182" t="b">
        <f t="shared" si="34"/>
        <v>0</v>
      </c>
      <c r="S185" s="182" t="b">
        <f t="shared" si="30"/>
        <v>1</v>
      </c>
      <c r="T185" s="181" t="b">
        <f>COUNTIF('New Items'!$A$1:$A$175,A185)&gt;0</f>
        <v>0</v>
      </c>
      <c r="U185" s="181" t="b">
        <f>COUNTIF(Discontinued!$A$1:$A$150,A185)&gt;0</f>
        <v>0</v>
      </c>
    </row>
    <row r="186" spans="1:21" s="8" customFormat="1" ht="11.25" x14ac:dyDescent="0.2">
      <c r="A186" s="152">
        <v>10133171</v>
      </c>
      <c r="B186" s="10" t="s">
        <v>4024</v>
      </c>
      <c r="C186" s="12" t="s">
        <v>4025</v>
      </c>
      <c r="D186" s="119" t="s">
        <v>3761</v>
      </c>
      <c r="E186" s="12" t="s">
        <v>769</v>
      </c>
      <c r="F186" s="13">
        <v>1</v>
      </c>
      <c r="G186" s="22">
        <f>Overview!$B$16</f>
        <v>14</v>
      </c>
      <c r="H186" s="23">
        <f>G186-I186</f>
        <v>14</v>
      </c>
      <c r="I186" s="23">
        <f>Overview!$E$16</f>
        <v>0</v>
      </c>
      <c r="J186" s="52">
        <f>I186/F186</f>
        <v>0</v>
      </c>
      <c r="K186" s="53">
        <f>Overview!$H$16</f>
        <v>0</v>
      </c>
      <c r="L186" s="54" t="e">
        <f>(K186-J186)/K186</f>
        <v>#DIV/0!</v>
      </c>
      <c r="M186" s="179" t="s">
        <v>951</v>
      </c>
      <c r="N186" s="179" t="s">
        <v>964</v>
      </c>
      <c r="O186" s="141">
        <f>I186</f>
        <v>0</v>
      </c>
      <c r="P186" s="181" t="b">
        <f>COUNTIF('Facility Data'!$A$1:$A$1500,"*"&amp;A186&amp;"*")&gt;0</f>
        <v>0</v>
      </c>
      <c r="Q186" s="181" t="b">
        <f>COUNTIF('Account Data'!$A$1:$A$1000,"*"&amp;A186&amp;"*")&gt;0</f>
        <v>0</v>
      </c>
      <c r="R186" s="182" t="b">
        <f>IF(OR(P186=TRUE,T186=TRUE),TRUE,FALSE)</f>
        <v>0</v>
      </c>
      <c r="S186" s="182" t="b">
        <f>IF(OR(Q186=TRUE,T186=TRUE),TRUE,FALSE)</f>
        <v>0</v>
      </c>
      <c r="T186" s="181" t="b">
        <f>COUNTIF('New Items'!$A$1:$A$175,A186)&gt;0</f>
        <v>0</v>
      </c>
      <c r="U186" s="181" t="b">
        <f>COUNTIF(Discontinued!$A$1:$A$150,A186)&gt;0</f>
        <v>0</v>
      </c>
    </row>
    <row r="187" spans="1:21" s="8" customFormat="1" ht="11.25" x14ac:dyDescent="0.2">
      <c r="A187" s="152">
        <v>10000675</v>
      </c>
      <c r="B187" s="10" t="s">
        <v>1276</v>
      </c>
      <c r="C187" s="12" t="s">
        <v>1277</v>
      </c>
      <c r="D187" s="11" t="s">
        <v>632</v>
      </c>
      <c r="E187" s="12" t="s">
        <v>769</v>
      </c>
      <c r="F187" s="13">
        <v>1</v>
      </c>
      <c r="G187" s="22">
        <f>Overview!$B$16</f>
        <v>14</v>
      </c>
      <c r="H187" s="23">
        <f t="shared" si="31"/>
        <v>14</v>
      </c>
      <c r="I187" s="23">
        <f>Overview!$E$16</f>
        <v>0</v>
      </c>
      <c r="J187" s="52">
        <f t="shared" si="32"/>
        <v>0</v>
      </c>
      <c r="K187" s="53">
        <f>Overview!$H$16</f>
        <v>0</v>
      </c>
      <c r="L187" s="54" t="e">
        <f t="shared" si="33"/>
        <v>#DIV/0!</v>
      </c>
      <c r="M187" s="179" t="s">
        <v>951</v>
      </c>
      <c r="N187" s="179" t="s">
        <v>964</v>
      </c>
      <c r="O187" s="141">
        <f>I187</f>
        <v>0</v>
      </c>
      <c r="P187" s="181" t="b">
        <f>COUNTIF('Facility Data'!$A$1:$A$1500,"*"&amp;A187&amp;"*")&gt;0</f>
        <v>0</v>
      </c>
      <c r="Q187" s="181" t="b">
        <f>COUNTIF('Account Data'!$A$1:$A$1000,"*"&amp;A187&amp;"*")&gt;0</f>
        <v>0</v>
      </c>
      <c r="R187" s="182" t="b">
        <f t="shared" si="34"/>
        <v>0</v>
      </c>
      <c r="S187" s="182" t="b">
        <f t="shared" si="30"/>
        <v>0</v>
      </c>
      <c r="T187" s="181" t="b">
        <f>COUNTIF('New Items'!$A$1:$A$175,A187)&gt;0</f>
        <v>0</v>
      </c>
      <c r="U187" s="181" t="b">
        <f>COUNTIF(Discontinued!$A$1:$A$150,A187)&gt;0</f>
        <v>0</v>
      </c>
    </row>
    <row r="188" spans="1:21" s="8" customFormat="1" ht="11.25" x14ac:dyDescent="0.2">
      <c r="A188" s="152">
        <v>10091006</v>
      </c>
      <c r="B188" s="10" t="s">
        <v>2962</v>
      </c>
      <c r="C188" s="12" t="s">
        <v>1277</v>
      </c>
      <c r="D188" s="11" t="s">
        <v>2963</v>
      </c>
      <c r="E188" s="12" t="s">
        <v>769</v>
      </c>
      <c r="F188" s="13">
        <v>1</v>
      </c>
      <c r="G188" s="22">
        <f>Overview!$B$16</f>
        <v>14</v>
      </c>
      <c r="H188" s="23">
        <f t="shared" si="31"/>
        <v>14</v>
      </c>
      <c r="I188" s="23">
        <f>Overview!$E$16</f>
        <v>0</v>
      </c>
      <c r="J188" s="52">
        <f t="shared" si="32"/>
        <v>0</v>
      </c>
      <c r="K188" s="53">
        <f>Overview!$H$16</f>
        <v>0</v>
      </c>
      <c r="L188" s="54" t="e">
        <f t="shared" si="33"/>
        <v>#DIV/0!</v>
      </c>
      <c r="M188" s="179" t="s">
        <v>3393</v>
      </c>
      <c r="N188" s="179" t="s">
        <v>964</v>
      </c>
      <c r="O188" s="141">
        <f t="shared" si="35"/>
        <v>0</v>
      </c>
      <c r="P188" s="181" t="b">
        <f>COUNTIF('Facility Data'!$A$1:$A$1500,"*"&amp;A188&amp;"*")&gt;0</f>
        <v>0</v>
      </c>
      <c r="Q188" s="181" t="b">
        <f>COUNTIF('Account Data'!$A$1:$A$1000,"*"&amp;A188&amp;"*")&gt;0</f>
        <v>0</v>
      </c>
      <c r="R188" s="182" t="b">
        <f t="shared" si="34"/>
        <v>0</v>
      </c>
      <c r="S188" s="182" t="b">
        <f t="shared" si="30"/>
        <v>0</v>
      </c>
      <c r="T188" s="181" t="b">
        <f>COUNTIF('New Items'!$A$1:$A$175,A188)&gt;0</f>
        <v>0</v>
      </c>
      <c r="U188" s="181" t="b">
        <f>COUNTIF(Discontinued!$A$1:$A$150,A188)&gt;0</f>
        <v>0</v>
      </c>
    </row>
    <row r="189" spans="1:21" s="8" customFormat="1" ht="11.25" x14ac:dyDescent="0.2">
      <c r="A189" s="152">
        <v>10001034</v>
      </c>
      <c r="B189" s="10" t="s">
        <v>17</v>
      </c>
      <c r="C189" s="12" t="s">
        <v>26</v>
      </c>
      <c r="D189" s="11" t="s">
        <v>643</v>
      </c>
      <c r="E189" s="12" t="s">
        <v>769</v>
      </c>
      <c r="F189" s="13">
        <v>1</v>
      </c>
      <c r="G189" s="22">
        <f>Overview!$B$16</f>
        <v>14</v>
      </c>
      <c r="H189" s="23">
        <f t="shared" si="31"/>
        <v>14</v>
      </c>
      <c r="I189" s="23">
        <f>Overview!$E$16</f>
        <v>0</v>
      </c>
      <c r="J189" s="52">
        <f t="shared" si="32"/>
        <v>0</v>
      </c>
      <c r="K189" s="53">
        <f>Overview!$H$16</f>
        <v>0</v>
      </c>
      <c r="L189" s="54" t="e">
        <f t="shared" si="33"/>
        <v>#DIV/0!</v>
      </c>
      <c r="M189" s="179"/>
      <c r="N189" s="179" t="s">
        <v>964</v>
      </c>
      <c r="O189" s="141">
        <f t="shared" si="35"/>
        <v>0</v>
      </c>
      <c r="P189" s="181" t="b">
        <f>COUNTIF('Facility Data'!$A$1:$A$1500,"*"&amp;A189&amp;"*")&gt;0</f>
        <v>0</v>
      </c>
      <c r="Q189" s="181" t="b">
        <f>COUNTIF('Account Data'!$A$1:$A$1000,"*"&amp;A189&amp;"*")&gt;0</f>
        <v>0</v>
      </c>
      <c r="R189" s="182" t="b">
        <f t="shared" si="34"/>
        <v>0</v>
      </c>
      <c r="S189" s="182" t="b">
        <f t="shared" si="30"/>
        <v>0</v>
      </c>
      <c r="T189" s="181" t="b">
        <f>COUNTIF('New Items'!$A$1:$A$175,A189)&gt;0</f>
        <v>0</v>
      </c>
      <c r="U189" s="181" t="b">
        <f>COUNTIF(Discontinued!$A$1:$A$150,A189)&gt;0</f>
        <v>0</v>
      </c>
    </row>
    <row r="190" spans="1:21" s="8" customFormat="1" ht="11.25" x14ac:dyDescent="0.2">
      <c r="A190" s="152">
        <v>10001035</v>
      </c>
      <c r="B190" s="10" t="s">
        <v>4763</v>
      </c>
      <c r="C190" s="12" t="s">
        <v>22</v>
      </c>
      <c r="D190" s="11" t="s">
        <v>4733</v>
      </c>
      <c r="E190" s="12" t="s">
        <v>769</v>
      </c>
      <c r="F190" s="13">
        <v>1</v>
      </c>
      <c r="G190" s="22">
        <f>Overview!$B$16</f>
        <v>14</v>
      </c>
      <c r="H190" s="23">
        <f>G190-I190</f>
        <v>14</v>
      </c>
      <c r="I190" s="23">
        <f>Overview!$E$16</f>
        <v>0</v>
      </c>
      <c r="J190" s="52">
        <f>I190/F190</f>
        <v>0</v>
      </c>
      <c r="K190" s="53">
        <f>Overview!$H$16</f>
        <v>0</v>
      </c>
      <c r="L190" s="54" t="e">
        <f>(K190-J190)/K190</f>
        <v>#DIV/0!</v>
      </c>
      <c r="M190" s="179"/>
      <c r="N190" s="179" t="s">
        <v>964</v>
      </c>
      <c r="O190" s="141">
        <f>I190</f>
        <v>0</v>
      </c>
      <c r="P190" s="181" t="b">
        <f>COUNTIF('Facility Data'!$A$1:$A$1500,"*"&amp;A190&amp;"*")&gt;0</f>
        <v>0</v>
      </c>
      <c r="Q190" s="181" t="b">
        <f>COUNTIF('Account Data'!$A$1:$A$1000,"*"&amp;A190&amp;"*")&gt;0</f>
        <v>0</v>
      </c>
      <c r="R190" s="182" t="b">
        <f>IF(OR(P190=TRUE,T190=TRUE),TRUE,FALSE)</f>
        <v>0</v>
      </c>
      <c r="S190" s="182" t="b">
        <f>IF(OR(Q190=TRUE,T190=TRUE),TRUE,FALSE)</f>
        <v>0</v>
      </c>
      <c r="T190" s="181" t="b">
        <f>COUNTIF('New Items'!$A$1:$A$175,A190)&gt;0</f>
        <v>0</v>
      </c>
      <c r="U190" s="181" t="b">
        <f>COUNTIF(Discontinued!$A$1:$A$150,A190)&gt;0</f>
        <v>0</v>
      </c>
    </row>
    <row r="191" spans="1:21" s="8" customFormat="1" ht="11.25" x14ac:dyDescent="0.2">
      <c r="A191" s="152">
        <v>10001044</v>
      </c>
      <c r="B191" s="10" t="s">
        <v>16</v>
      </c>
      <c r="C191" s="12" t="s">
        <v>25</v>
      </c>
      <c r="D191" s="11" t="s">
        <v>645</v>
      </c>
      <c r="E191" s="12" t="s">
        <v>769</v>
      </c>
      <c r="F191" s="13">
        <v>1</v>
      </c>
      <c r="G191" s="22">
        <f>Overview!$B$16</f>
        <v>14</v>
      </c>
      <c r="H191" s="23">
        <f t="shared" si="31"/>
        <v>14</v>
      </c>
      <c r="I191" s="23">
        <f>Overview!$E$16</f>
        <v>0</v>
      </c>
      <c r="J191" s="52">
        <f t="shared" si="32"/>
        <v>0</v>
      </c>
      <c r="K191" s="53">
        <f>Overview!$H$16</f>
        <v>0</v>
      </c>
      <c r="L191" s="54" t="e">
        <f t="shared" si="33"/>
        <v>#DIV/0!</v>
      </c>
      <c r="M191" s="179" t="s">
        <v>4406</v>
      </c>
      <c r="N191" s="179" t="s">
        <v>964</v>
      </c>
      <c r="O191" s="141">
        <f t="shared" si="35"/>
        <v>0</v>
      </c>
      <c r="P191" s="181" t="b">
        <f>COUNTIF('Facility Data'!$A$1:$A$1500,"*"&amp;A191&amp;"*")&gt;0</f>
        <v>0</v>
      </c>
      <c r="Q191" s="181" t="b">
        <f>COUNTIF('Account Data'!$A$1:$A$1000,"*"&amp;A191&amp;"*")&gt;0</f>
        <v>0</v>
      </c>
      <c r="R191" s="182" t="b">
        <f t="shared" si="34"/>
        <v>0</v>
      </c>
      <c r="S191" s="182" t="b">
        <f t="shared" si="30"/>
        <v>0</v>
      </c>
      <c r="T191" s="181" t="b">
        <f>COUNTIF('New Items'!$A$1:$A$175,A191)&gt;0</f>
        <v>0</v>
      </c>
      <c r="U191" s="181" t="b">
        <f>COUNTIF(Discontinued!$A$1:$A$150,A191)&gt;0</f>
        <v>0</v>
      </c>
    </row>
    <row r="192" spans="1:21" s="8" customFormat="1" ht="11.25" x14ac:dyDescent="0.2">
      <c r="A192" s="152">
        <v>10001045</v>
      </c>
      <c r="B192" s="10" t="s">
        <v>4764</v>
      </c>
      <c r="C192" s="12" t="s">
        <v>1567</v>
      </c>
      <c r="D192" s="11" t="s">
        <v>4735</v>
      </c>
      <c r="E192" s="12" t="s">
        <v>769</v>
      </c>
      <c r="F192" s="13">
        <v>1</v>
      </c>
      <c r="G192" s="22">
        <f>Overview!$B$16</f>
        <v>14</v>
      </c>
      <c r="H192" s="23">
        <f>G192-I192</f>
        <v>14</v>
      </c>
      <c r="I192" s="23">
        <f>Overview!$E$16</f>
        <v>0</v>
      </c>
      <c r="J192" s="52">
        <f>I192/F192</f>
        <v>0</v>
      </c>
      <c r="K192" s="53">
        <f>Overview!$H$16</f>
        <v>0</v>
      </c>
      <c r="L192" s="54" t="e">
        <f>(K192-J192)/K192</f>
        <v>#DIV/0!</v>
      </c>
      <c r="M192" s="179" t="s">
        <v>4406</v>
      </c>
      <c r="N192" s="179" t="s">
        <v>964</v>
      </c>
      <c r="O192" s="141">
        <f>I192</f>
        <v>0</v>
      </c>
      <c r="P192" s="181" t="b">
        <f>COUNTIF('Facility Data'!$A$1:$A$1500,"*"&amp;A192&amp;"*")&gt;0</f>
        <v>0</v>
      </c>
      <c r="Q192" s="181" t="b">
        <f>COUNTIF('Account Data'!$A$1:$A$1000,"*"&amp;A192&amp;"*")&gt;0</f>
        <v>0</v>
      </c>
      <c r="R192" s="182" t="b">
        <f>IF(OR(P192=TRUE,T192=TRUE),TRUE,FALSE)</f>
        <v>0</v>
      </c>
      <c r="S192" s="182" t="b">
        <f>IF(OR(Q192=TRUE,T192=TRUE),TRUE,FALSE)</f>
        <v>0</v>
      </c>
      <c r="T192" s="181" t="b">
        <f>COUNTIF('New Items'!$A$1:$A$175,A192)&gt;0</f>
        <v>0</v>
      </c>
      <c r="U192" s="181" t="b">
        <f>COUNTIF(Discontinued!$A$1:$A$150,A192)&gt;0</f>
        <v>0</v>
      </c>
    </row>
    <row r="193" spans="1:21" s="8" customFormat="1" ht="11.25" x14ac:dyDescent="0.2">
      <c r="A193" s="152">
        <v>10001049</v>
      </c>
      <c r="B193" s="10" t="s">
        <v>1278</v>
      </c>
      <c r="C193" s="12" t="s">
        <v>1279</v>
      </c>
      <c r="D193" s="11" t="s">
        <v>648</v>
      </c>
      <c r="E193" s="12" t="s">
        <v>769</v>
      </c>
      <c r="F193" s="13">
        <v>1</v>
      </c>
      <c r="G193" s="22">
        <f>Overview!$B$16</f>
        <v>14</v>
      </c>
      <c r="H193" s="23">
        <f t="shared" si="31"/>
        <v>14</v>
      </c>
      <c r="I193" s="23">
        <f>Overview!$E$16</f>
        <v>0</v>
      </c>
      <c r="J193" s="52">
        <f t="shared" si="32"/>
        <v>0</v>
      </c>
      <c r="K193" s="53">
        <f>Overview!$H$16</f>
        <v>0</v>
      </c>
      <c r="L193" s="54" t="e">
        <f t="shared" si="33"/>
        <v>#DIV/0!</v>
      </c>
      <c r="M193" s="179"/>
      <c r="N193" s="179" t="s">
        <v>964</v>
      </c>
      <c r="O193" s="141">
        <f t="shared" si="35"/>
        <v>0</v>
      </c>
      <c r="P193" s="181" t="b">
        <f>COUNTIF('Facility Data'!$A$1:$A$1500,"*"&amp;A193&amp;"*")&gt;0</f>
        <v>0</v>
      </c>
      <c r="Q193" s="181" t="b">
        <f>COUNTIF('Account Data'!$A$1:$A$1000,"*"&amp;A193&amp;"*")&gt;0</f>
        <v>0</v>
      </c>
      <c r="R193" s="182" t="b">
        <f t="shared" si="34"/>
        <v>0</v>
      </c>
      <c r="S193" s="182" t="b">
        <f t="shared" si="30"/>
        <v>0</v>
      </c>
      <c r="T193" s="181" t="b">
        <f>COUNTIF('New Items'!$A$1:$A$175,A193)&gt;0</f>
        <v>0</v>
      </c>
      <c r="U193" s="181" t="b">
        <f>COUNTIF(Discontinued!$A$1:$A$150,A193)&gt;0</f>
        <v>0</v>
      </c>
    </row>
    <row r="194" spans="1:21" s="8" customFormat="1" ht="11.25" x14ac:dyDescent="0.2">
      <c r="A194" s="152">
        <v>10001048</v>
      </c>
      <c r="B194" s="10" t="s">
        <v>9</v>
      </c>
      <c r="C194" s="12" t="s">
        <v>18</v>
      </c>
      <c r="D194" s="11" t="s">
        <v>650</v>
      </c>
      <c r="E194" s="12" t="s">
        <v>769</v>
      </c>
      <c r="F194" s="13">
        <v>1</v>
      </c>
      <c r="G194" s="22">
        <f>Overview!$B$16</f>
        <v>14</v>
      </c>
      <c r="H194" s="23">
        <f t="shared" si="31"/>
        <v>14</v>
      </c>
      <c r="I194" s="23">
        <f>Overview!$E$16</f>
        <v>0</v>
      </c>
      <c r="J194" s="52">
        <f t="shared" si="32"/>
        <v>0</v>
      </c>
      <c r="K194" s="53">
        <f>Overview!$H$16</f>
        <v>0</v>
      </c>
      <c r="L194" s="54" t="e">
        <f t="shared" si="33"/>
        <v>#DIV/0!</v>
      </c>
      <c r="M194" s="179" t="s">
        <v>4369</v>
      </c>
      <c r="N194" s="179" t="s">
        <v>964</v>
      </c>
      <c r="O194" s="141">
        <f t="shared" si="35"/>
        <v>0</v>
      </c>
      <c r="P194" s="181" t="b">
        <f>COUNTIF('Facility Data'!$A$1:$A$1500,"*"&amp;A194&amp;"*")&gt;0</f>
        <v>0</v>
      </c>
      <c r="Q194" s="181" t="b">
        <f>COUNTIF('Account Data'!$A$1:$A$1000,"*"&amp;A194&amp;"*")&gt;0</f>
        <v>0</v>
      </c>
      <c r="R194" s="182" t="b">
        <f t="shared" si="34"/>
        <v>0</v>
      </c>
      <c r="S194" s="182" t="b">
        <f t="shared" si="30"/>
        <v>0</v>
      </c>
      <c r="T194" s="181" t="b">
        <f>COUNTIF('New Items'!$A$1:$A$175,A194)&gt;0</f>
        <v>0</v>
      </c>
      <c r="U194" s="181" t="b">
        <f>COUNTIF(Discontinued!$A$1:$A$150,A194)&gt;0</f>
        <v>0</v>
      </c>
    </row>
    <row r="195" spans="1:21" s="8" customFormat="1" ht="11.25" x14ac:dyDescent="0.2">
      <c r="A195" s="152">
        <v>10006264</v>
      </c>
      <c r="B195" s="10" t="s">
        <v>15</v>
      </c>
      <c r="C195" s="12" t="s">
        <v>24</v>
      </c>
      <c r="D195" s="11" t="s">
        <v>652</v>
      </c>
      <c r="E195" s="12" t="s">
        <v>769</v>
      </c>
      <c r="F195" s="13">
        <v>1</v>
      </c>
      <c r="G195" s="22">
        <f>Overview!$B$16</f>
        <v>14</v>
      </c>
      <c r="H195" s="23">
        <f t="shared" si="31"/>
        <v>14</v>
      </c>
      <c r="I195" s="23">
        <f>Overview!$E$16</f>
        <v>0</v>
      </c>
      <c r="J195" s="52">
        <f t="shared" si="32"/>
        <v>0</v>
      </c>
      <c r="K195" s="53">
        <f>Overview!$H$16</f>
        <v>0</v>
      </c>
      <c r="L195" s="54" t="e">
        <f t="shared" si="33"/>
        <v>#DIV/0!</v>
      </c>
      <c r="M195" s="179"/>
      <c r="N195" s="179" t="s">
        <v>964</v>
      </c>
      <c r="O195" s="141">
        <f>I195</f>
        <v>0</v>
      </c>
      <c r="P195" s="181" t="b">
        <f>COUNTIF('Facility Data'!$A$1:$A$1500,"*"&amp;A195&amp;"*")&gt;0</f>
        <v>0</v>
      </c>
      <c r="Q195" s="181" t="b">
        <f>COUNTIF('Account Data'!$A$1:$A$1000,"*"&amp;A195&amp;"*")&gt;0</f>
        <v>0</v>
      </c>
      <c r="R195" s="182" t="b">
        <f t="shared" si="34"/>
        <v>0</v>
      </c>
      <c r="S195" s="182" t="b">
        <f t="shared" si="30"/>
        <v>0</v>
      </c>
      <c r="T195" s="181" t="b">
        <f>COUNTIF('New Items'!$A$1:$A$175,A195)&gt;0</f>
        <v>0</v>
      </c>
      <c r="U195" s="181" t="b">
        <f>COUNTIF(Discontinued!$A$1:$A$150,A195)&gt;0</f>
        <v>0</v>
      </c>
    </row>
    <row r="196" spans="1:21" s="8" customFormat="1" ht="11.25" x14ac:dyDescent="0.2">
      <c r="A196" s="152">
        <v>10097745</v>
      </c>
      <c r="B196" s="10" t="s">
        <v>1605</v>
      </c>
      <c r="C196" s="12" t="s">
        <v>1606</v>
      </c>
      <c r="D196" s="11" t="s">
        <v>653</v>
      </c>
      <c r="E196" s="12" t="s">
        <v>769</v>
      </c>
      <c r="F196" s="13">
        <v>1</v>
      </c>
      <c r="G196" s="22">
        <f>Overview!$B$16</f>
        <v>14</v>
      </c>
      <c r="H196" s="23">
        <f t="shared" si="31"/>
        <v>14</v>
      </c>
      <c r="I196" s="23">
        <f>Overview!$E$16</f>
        <v>0</v>
      </c>
      <c r="J196" s="52">
        <f t="shared" si="32"/>
        <v>0</v>
      </c>
      <c r="K196" s="53">
        <f>Overview!$H$16</f>
        <v>0</v>
      </c>
      <c r="L196" s="54" t="e">
        <f t="shared" si="33"/>
        <v>#DIV/0!</v>
      </c>
      <c r="M196" s="179"/>
      <c r="N196" s="179" t="s">
        <v>964</v>
      </c>
      <c r="O196" s="141">
        <f t="shared" si="35"/>
        <v>0</v>
      </c>
      <c r="P196" s="181" t="b">
        <f>COUNTIF('Facility Data'!$A$1:$A$1500,"*"&amp;A196&amp;"*")&gt;0</f>
        <v>0</v>
      </c>
      <c r="Q196" s="181" t="b">
        <f>COUNTIF('Account Data'!$A$1:$A$1000,"*"&amp;A196&amp;"*")&gt;0</f>
        <v>0</v>
      </c>
      <c r="R196" s="182" t="b">
        <f t="shared" si="34"/>
        <v>0</v>
      </c>
      <c r="S196" s="182" t="b">
        <f t="shared" si="30"/>
        <v>0</v>
      </c>
      <c r="T196" s="181" t="b">
        <f>COUNTIF('New Items'!$A$1:$A$175,A196)&gt;0</f>
        <v>0</v>
      </c>
      <c r="U196" s="181" t="b">
        <f>COUNTIF(Discontinued!$A$1:$A$150,A196)&gt;0</f>
        <v>0</v>
      </c>
    </row>
    <row r="197" spans="1:21" s="8" customFormat="1" ht="11.25" x14ac:dyDescent="0.2">
      <c r="A197" s="152">
        <v>10001043</v>
      </c>
      <c r="B197" s="10" t="s">
        <v>10</v>
      </c>
      <c r="C197" s="12" t="s">
        <v>19</v>
      </c>
      <c r="D197" s="11" t="s">
        <v>636</v>
      </c>
      <c r="E197" s="12" t="s">
        <v>769</v>
      </c>
      <c r="F197" s="13">
        <v>1</v>
      </c>
      <c r="G197" s="22">
        <f>Overview!$B$16</f>
        <v>14</v>
      </c>
      <c r="H197" s="23">
        <f t="shared" si="31"/>
        <v>14</v>
      </c>
      <c r="I197" s="23">
        <f>Overview!$E$16</f>
        <v>0</v>
      </c>
      <c r="J197" s="52">
        <f t="shared" si="32"/>
        <v>0</v>
      </c>
      <c r="K197" s="53">
        <f>Overview!$H$16</f>
        <v>0</v>
      </c>
      <c r="L197" s="54" t="e">
        <f t="shared" si="33"/>
        <v>#DIV/0!</v>
      </c>
      <c r="M197" s="179" t="s">
        <v>4370</v>
      </c>
      <c r="N197" s="179" t="s">
        <v>964</v>
      </c>
      <c r="O197" s="141">
        <f t="shared" si="35"/>
        <v>0</v>
      </c>
      <c r="P197" s="181" t="b">
        <f>COUNTIF('Facility Data'!$A$1:$A$1500,"*"&amp;A197&amp;"*")&gt;0</f>
        <v>0</v>
      </c>
      <c r="Q197" s="181" t="b">
        <f>COUNTIF('Account Data'!$A$1:$A$1000,"*"&amp;A197&amp;"*")&gt;0</f>
        <v>0</v>
      </c>
      <c r="R197" s="182" t="b">
        <f t="shared" si="34"/>
        <v>0</v>
      </c>
      <c r="S197" s="182" t="b">
        <f t="shared" si="30"/>
        <v>0</v>
      </c>
      <c r="T197" s="181" t="b">
        <f>COUNTIF('New Items'!$A$1:$A$175,A197)&gt;0</f>
        <v>0</v>
      </c>
      <c r="U197" s="181" t="b">
        <f>COUNTIF(Discontinued!$A$1:$A$150,A197)&gt;0</f>
        <v>0</v>
      </c>
    </row>
    <row r="198" spans="1:21" s="8" customFormat="1" ht="11.25" x14ac:dyDescent="0.2">
      <c r="A198" s="152">
        <v>10000043</v>
      </c>
      <c r="B198" s="10" t="s">
        <v>1280</v>
      </c>
      <c r="C198" s="12" t="s">
        <v>1281</v>
      </c>
      <c r="D198" s="11" t="s">
        <v>655</v>
      </c>
      <c r="E198" s="12" t="s">
        <v>769</v>
      </c>
      <c r="F198" s="13">
        <v>1</v>
      </c>
      <c r="G198" s="22">
        <f>Overview!$B$16</f>
        <v>14</v>
      </c>
      <c r="H198" s="23">
        <f t="shared" si="31"/>
        <v>14</v>
      </c>
      <c r="I198" s="23">
        <f>Overview!$E$16</f>
        <v>0</v>
      </c>
      <c r="J198" s="52">
        <f t="shared" si="32"/>
        <v>0</v>
      </c>
      <c r="K198" s="53">
        <f>Overview!$H$16</f>
        <v>0</v>
      </c>
      <c r="L198" s="54" t="e">
        <f t="shared" si="33"/>
        <v>#DIV/0!</v>
      </c>
      <c r="M198" s="179"/>
      <c r="N198" s="179" t="s">
        <v>964</v>
      </c>
      <c r="O198" s="141">
        <f t="shared" si="35"/>
        <v>0</v>
      </c>
      <c r="P198" s="181" t="b">
        <f>COUNTIF('Facility Data'!$A$1:$A$1500,"*"&amp;A198&amp;"*")&gt;0</f>
        <v>0</v>
      </c>
      <c r="Q198" s="181" t="b">
        <f>COUNTIF('Account Data'!$A$1:$A$1000,"*"&amp;A198&amp;"*")&gt;0</f>
        <v>0</v>
      </c>
      <c r="R198" s="182" t="b">
        <f t="shared" si="34"/>
        <v>0</v>
      </c>
      <c r="S198" s="182" t="b">
        <f t="shared" si="30"/>
        <v>0</v>
      </c>
      <c r="T198" s="181" t="b">
        <f>COUNTIF('New Items'!$A$1:$A$175,A198)&gt;0</f>
        <v>0</v>
      </c>
      <c r="U198" s="181" t="b">
        <f>COUNTIF(Discontinued!$A$1:$A$150,A198)&gt;0</f>
        <v>0</v>
      </c>
    </row>
    <row r="199" spans="1:21" s="8" customFormat="1" ht="11.25" x14ac:dyDescent="0.2">
      <c r="A199" s="152">
        <v>10000219</v>
      </c>
      <c r="B199" s="10" t="s">
        <v>1282</v>
      </c>
      <c r="C199" s="12" t="s">
        <v>1283</v>
      </c>
      <c r="D199" s="11" t="s">
        <v>640</v>
      </c>
      <c r="E199" s="12" t="s">
        <v>769</v>
      </c>
      <c r="F199" s="13">
        <v>1</v>
      </c>
      <c r="G199" s="22">
        <f>Overview!$B$16</f>
        <v>14</v>
      </c>
      <c r="H199" s="23">
        <f t="shared" si="31"/>
        <v>14</v>
      </c>
      <c r="I199" s="23">
        <f>Overview!$E$16</f>
        <v>0</v>
      </c>
      <c r="J199" s="52">
        <f t="shared" si="32"/>
        <v>0</v>
      </c>
      <c r="K199" s="53">
        <f>Overview!$H$16</f>
        <v>0</v>
      </c>
      <c r="L199" s="54" t="e">
        <f t="shared" si="33"/>
        <v>#DIV/0!</v>
      </c>
      <c r="M199" s="179"/>
      <c r="N199" s="179" t="s">
        <v>964</v>
      </c>
      <c r="O199" s="141">
        <f t="shared" si="35"/>
        <v>0</v>
      </c>
      <c r="P199" s="181" t="b">
        <f>COUNTIF('Facility Data'!$A$1:$A$1500,"*"&amp;A199&amp;"*")&gt;0</f>
        <v>0</v>
      </c>
      <c r="Q199" s="181" t="b">
        <f>COUNTIF('Account Data'!$A$1:$A$1000,"*"&amp;A199&amp;"*")&gt;0</f>
        <v>0</v>
      </c>
      <c r="R199" s="182" t="b">
        <f t="shared" si="34"/>
        <v>0</v>
      </c>
      <c r="S199" s="182" t="b">
        <f t="shared" si="30"/>
        <v>0</v>
      </c>
      <c r="T199" s="181" t="b">
        <f>COUNTIF('New Items'!$A$1:$A$175,A199)&gt;0</f>
        <v>0</v>
      </c>
      <c r="U199" s="181" t="b">
        <f>COUNTIF(Discontinued!$A$1:$A$150,A199)&gt;0</f>
        <v>0</v>
      </c>
    </row>
    <row r="200" spans="1:21" s="8" customFormat="1" ht="12" thickBot="1" x14ac:dyDescent="0.25">
      <c r="A200" s="152">
        <v>10001039</v>
      </c>
      <c r="B200" s="10" t="s">
        <v>11</v>
      </c>
      <c r="C200" s="12" t="s">
        <v>20</v>
      </c>
      <c r="D200" s="11" t="s">
        <v>660</v>
      </c>
      <c r="E200" s="12" t="s">
        <v>769</v>
      </c>
      <c r="F200" s="13">
        <v>1</v>
      </c>
      <c r="G200" s="22">
        <f>Overview!$B$16</f>
        <v>14</v>
      </c>
      <c r="H200" s="23">
        <f t="shared" si="31"/>
        <v>14</v>
      </c>
      <c r="I200" s="23">
        <f>Overview!$E$16</f>
        <v>0</v>
      </c>
      <c r="J200" s="52">
        <f t="shared" si="32"/>
        <v>0</v>
      </c>
      <c r="K200" s="53">
        <f>Overview!$H$16</f>
        <v>0</v>
      </c>
      <c r="L200" s="54" t="e">
        <f t="shared" si="33"/>
        <v>#DIV/0!</v>
      </c>
      <c r="M200" s="179"/>
      <c r="N200" s="179" t="s">
        <v>964</v>
      </c>
      <c r="O200" s="141">
        <f t="shared" si="35"/>
        <v>0</v>
      </c>
      <c r="P200" s="181" t="b">
        <f>COUNTIF('Facility Data'!$A$1:$A$1500,"*"&amp;A200&amp;"*")&gt;0</f>
        <v>0</v>
      </c>
      <c r="Q200" s="181" t="b">
        <f>COUNTIF('Account Data'!$A$1:$A$1000,"*"&amp;A200&amp;"*")&gt;0</f>
        <v>0</v>
      </c>
      <c r="R200" s="182" t="b">
        <f t="shared" si="34"/>
        <v>0</v>
      </c>
      <c r="S200" s="182" t="b">
        <f t="shared" si="30"/>
        <v>0</v>
      </c>
      <c r="T200" s="181" t="b">
        <f>COUNTIF('New Items'!$A$1:$A$175,A200)&gt;0</f>
        <v>0</v>
      </c>
      <c r="U200" s="181" t="b">
        <f>COUNTIF(Discontinued!$A$1:$A$150,A200)&gt;0</f>
        <v>0</v>
      </c>
    </row>
    <row r="201" spans="1:21" s="8" customFormat="1" ht="13.5" thickBot="1" x14ac:dyDescent="0.25">
      <c r="A201" s="300" t="s">
        <v>1405</v>
      </c>
      <c r="B201" s="301"/>
      <c r="C201" s="301"/>
      <c r="D201" s="301"/>
      <c r="E201" s="301"/>
      <c r="F201" s="301"/>
      <c r="G201" s="301"/>
      <c r="H201" s="301"/>
      <c r="I201" s="301"/>
      <c r="J201" s="301"/>
      <c r="K201" s="301"/>
      <c r="L201" s="302"/>
      <c r="M201" s="179" t="s">
        <v>4361</v>
      </c>
      <c r="N201" s="179" t="s">
        <v>1406</v>
      </c>
      <c r="O201" s="141">
        <f>AVERAGE(O202:O213)</f>
        <v>0</v>
      </c>
      <c r="P201" s="181" t="b">
        <f>COUNTIF(P202:P213,TRUE)&gt;0</f>
        <v>1</v>
      </c>
      <c r="Q201" s="181" t="b">
        <f>COUNTIF(Q202:Q213,TRUE)&gt;0</f>
        <v>0</v>
      </c>
      <c r="R201" s="181" t="b">
        <f>COUNTIF(R202:R213,TRUE)&gt;0</f>
        <v>1</v>
      </c>
      <c r="S201" s="181" t="b">
        <f>COUNTIF(S202:S213,TRUE)&gt;0</f>
        <v>0</v>
      </c>
      <c r="T201" s="181" t="b">
        <f>COUNTIF(T202:T213,TRUE)&gt;0</f>
        <v>0</v>
      </c>
      <c r="U201" s="181"/>
    </row>
    <row r="202" spans="1:21" s="8" customFormat="1" ht="11.25" x14ac:dyDescent="0.2">
      <c r="A202" s="152">
        <v>10000222</v>
      </c>
      <c r="B202" s="10" t="s">
        <v>1522</v>
      </c>
      <c r="C202" s="12" t="s">
        <v>1523</v>
      </c>
      <c r="D202" s="11" t="s">
        <v>629</v>
      </c>
      <c r="E202" s="12" t="s">
        <v>769</v>
      </c>
      <c r="F202" s="13">
        <v>1</v>
      </c>
      <c r="G202" s="22">
        <f>Overview!$B$17</f>
        <v>14</v>
      </c>
      <c r="H202" s="23">
        <f t="shared" ref="H202:H213" si="36">G202-I202</f>
        <v>14</v>
      </c>
      <c r="I202" s="23">
        <f>Overview!$E$17</f>
        <v>0</v>
      </c>
      <c r="J202" s="52">
        <f t="shared" ref="J202:J213" si="37">I202/F202</f>
        <v>0</v>
      </c>
      <c r="K202" s="53">
        <f>Overview!$H$17</f>
        <v>0</v>
      </c>
      <c r="L202" s="54" t="e">
        <f t="shared" ref="L202:L213" si="38">(K202-J202)/K202</f>
        <v>#DIV/0!</v>
      </c>
      <c r="M202" s="179" t="s">
        <v>951</v>
      </c>
      <c r="N202" s="179" t="s">
        <v>1406</v>
      </c>
      <c r="O202" s="141">
        <f>I202</f>
        <v>0</v>
      </c>
      <c r="P202" s="181" t="b">
        <f>COUNTIF('Facility Data'!$A$1:$A$1500,"*"&amp;A202&amp;"*")&gt;0</f>
        <v>0</v>
      </c>
      <c r="Q202" s="181" t="b">
        <f>COUNTIF('Account Data'!$A$1:$A$1000,"*"&amp;A202&amp;"*")&gt;0</f>
        <v>0</v>
      </c>
      <c r="R202" s="182" t="b">
        <f t="shared" ref="R202:R213" si="39">IF(OR(P202=TRUE,T202=TRUE),TRUE,FALSE)</f>
        <v>0</v>
      </c>
      <c r="S202" s="182" t="b">
        <f t="shared" si="30"/>
        <v>0</v>
      </c>
      <c r="T202" s="181" t="b">
        <f>COUNTIF('New Items'!$A$1:$A$175,A202)&gt;0</f>
        <v>0</v>
      </c>
      <c r="U202" s="181" t="b">
        <f>COUNTIF(Discontinued!$A$1:$A$150,A202)&gt;0</f>
        <v>0</v>
      </c>
    </row>
    <row r="203" spans="1:21" s="8" customFormat="1" ht="11.25" x14ac:dyDescent="0.2">
      <c r="A203" s="152">
        <v>10000223</v>
      </c>
      <c r="B203" s="10" t="s">
        <v>1524</v>
      </c>
      <c r="C203" s="12" t="s">
        <v>1525</v>
      </c>
      <c r="D203" s="11" t="s">
        <v>631</v>
      </c>
      <c r="E203" s="12" t="s">
        <v>769</v>
      </c>
      <c r="F203" s="13">
        <v>1</v>
      </c>
      <c r="G203" s="22">
        <f>Overview!$B$17</f>
        <v>14</v>
      </c>
      <c r="H203" s="23">
        <f t="shared" si="36"/>
        <v>14</v>
      </c>
      <c r="I203" s="23">
        <f>Overview!$E$17</f>
        <v>0</v>
      </c>
      <c r="J203" s="52">
        <f t="shared" si="37"/>
        <v>0</v>
      </c>
      <c r="K203" s="53">
        <f>Overview!$H$17</f>
        <v>0</v>
      </c>
      <c r="L203" s="54" t="e">
        <f t="shared" si="38"/>
        <v>#DIV/0!</v>
      </c>
      <c r="M203" s="179" t="s">
        <v>951</v>
      </c>
      <c r="N203" s="179" t="s">
        <v>1406</v>
      </c>
      <c r="O203" s="141">
        <f t="shared" ref="O203:O213" si="40">I203</f>
        <v>0</v>
      </c>
      <c r="P203" s="181" t="b">
        <f>COUNTIF('Facility Data'!$A$1:$A$1500,"*"&amp;A203&amp;"*")&gt;0</f>
        <v>0</v>
      </c>
      <c r="Q203" s="181" t="b">
        <f>COUNTIF('Account Data'!$A$1:$A$1000,"*"&amp;A203&amp;"*")&gt;0</f>
        <v>0</v>
      </c>
      <c r="R203" s="182" t="b">
        <f t="shared" si="39"/>
        <v>0</v>
      </c>
      <c r="S203" s="182" t="b">
        <f t="shared" si="30"/>
        <v>0</v>
      </c>
      <c r="T203" s="181" t="b">
        <f>COUNTIF('New Items'!$A$1:$A$175,A203)&gt;0</f>
        <v>0</v>
      </c>
      <c r="U203" s="181" t="b">
        <f>COUNTIF(Discontinued!$A$1:$A$150,A203)&gt;0</f>
        <v>0</v>
      </c>
    </row>
    <row r="204" spans="1:21" s="8" customFormat="1" ht="11.25" x14ac:dyDescent="0.2">
      <c r="A204" s="152">
        <v>10133172</v>
      </c>
      <c r="B204" s="10" t="s">
        <v>4026</v>
      </c>
      <c r="C204" s="12" t="s">
        <v>4027</v>
      </c>
      <c r="D204" s="119" t="s">
        <v>3761</v>
      </c>
      <c r="E204" s="12" t="s">
        <v>769</v>
      </c>
      <c r="F204" s="13">
        <v>1</v>
      </c>
      <c r="G204" s="22">
        <f>Overview!$B$17</f>
        <v>14</v>
      </c>
      <c r="H204" s="23">
        <f>G204-I204</f>
        <v>14</v>
      </c>
      <c r="I204" s="23">
        <f>Overview!$E$17</f>
        <v>0</v>
      </c>
      <c r="J204" s="52">
        <f>I204/F204</f>
        <v>0</v>
      </c>
      <c r="K204" s="53">
        <f>Overview!$H$17</f>
        <v>0</v>
      </c>
      <c r="L204" s="54" t="e">
        <f>(K204-J204)/K204</f>
        <v>#DIV/0!</v>
      </c>
      <c r="M204" s="179" t="s">
        <v>951</v>
      </c>
      <c r="N204" s="179" t="s">
        <v>1406</v>
      </c>
      <c r="O204" s="141">
        <f>I204</f>
        <v>0</v>
      </c>
      <c r="P204" s="181" t="b">
        <f>COUNTIF('Facility Data'!$A$1:$A$1500,"*"&amp;A204&amp;"*")&gt;0</f>
        <v>0</v>
      </c>
      <c r="Q204" s="181" t="b">
        <f>COUNTIF('Account Data'!$A$1:$A$1000,"*"&amp;A204&amp;"*")&gt;0</f>
        <v>0</v>
      </c>
      <c r="R204" s="182" t="b">
        <f t="shared" si="39"/>
        <v>0</v>
      </c>
      <c r="S204" s="182" t="b">
        <f>IF(OR(Q204=TRUE,T204=TRUE),TRUE,FALSE)</f>
        <v>0</v>
      </c>
      <c r="T204" s="181" t="b">
        <f>COUNTIF('New Items'!$A$1:$A$175,A204)&gt;0</f>
        <v>0</v>
      </c>
      <c r="U204" s="181" t="b">
        <f>COUNTIF(Discontinued!$A$1:$A$150,A204)&gt;0</f>
        <v>0</v>
      </c>
    </row>
    <row r="205" spans="1:21" s="8" customFormat="1" ht="11.25" x14ac:dyDescent="0.2">
      <c r="A205" s="152">
        <v>10002297</v>
      </c>
      <c r="B205" s="10" t="s">
        <v>1526</v>
      </c>
      <c r="C205" s="12" t="s">
        <v>1527</v>
      </c>
      <c r="D205" s="11" t="s">
        <v>643</v>
      </c>
      <c r="E205" s="12" t="s">
        <v>769</v>
      </c>
      <c r="F205" s="13">
        <v>1</v>
      </c>
      <c r="G205" s="22">
        <f>Overview!$B$17</f>
        <v>14</v>
      </c>
      <c r="H205" s="23">
        <f t="shared" si="36"/>
        <v>14</v>
      </c>
      <c r="I205" s="23">
        <f>Overview!$E$17</f>
        <v>0</v>
      </c>
      <c r="J205" s="52">
        <f t="shared" si="37"/>
        <v>0</v>
      </c>
      <c r="K205" s="53">
        <f>Overview!$H$17</f>
        <v>0</v>
      </c>
      <c r="L205" s="54" t="e">
        <f t="shared" si="38"/>
        <v>#DIV/0!</v>
      </c>
      <c r="M205" s="179"/>
      <c r="N205" s="179" t="s">
        <v>1406</v>
      </c>
      <c r="O205" s="141">
        <f t="shared" si="40"/>
        <v>0</v>
      </c>
      <c r="P205" s="181" t="b">
        <f>COUNTIF('Facility Data'!$A$1:$A$1500,"*"&amp;A205&amp;"*")&gt;0</f>
        <v>0</v>
      </c>
      <c r="Q205" s="181" t="b">
        <f>COUNTIF('Account Data'!$A$1:$A$1000,"*"&amp;A205&amp;"*")&gt;0</f>
        <v>0</v>
      </c>
      <c r="R205" s="182" t="b">
        <f t="shared" si="39"/>
        <v>0</v>
      </c>
      <c r="S205" s="182" t="b">
        <f t="shared" si="30"/>
        <v>0</v>
      </c>
      <c r="T205" s="181" t="b">
        <f>COUNTIF('New Items'!$A$1:$A$175,A205)&gt;0</f>
        <v>0</v>
      </c>
      <c r="U205" s="181" t="b">
        <f>COUNTIF(Discontinued!$A$1:$A$150,A205)&gt;0</f>
        <v>0</v>
      </c>
    </row>
    <row r="206" spans="1:21" s="8" customFormat="1" ht="11.25" x14ac:dyDescent="0.2">
      <c r="A206" s="152">
        <v>10000227</v>
      </c>
      <c r="B206" s="10" t="s">
        <v>1528</v>
      </c>
      <c r="C206" s="12" t="s">
        <v>1529</v>
      </c>
      <c r="D206" s="11" t="s">
        <v>645</v>
      </c>
      <c r="E206" s="12" t="s">
        <v>769</v>
      </c>
      <c r="F206" s="13">
        <v>1</v>
      </c>
      <c r="G206" s="22">
        <f>Overview!$B$17</f>
        <v>14</v>
      </c>
      <c r="H206" s="23">
        <f t="shared" si="36"/>
        <v>14</v>
      </c>
      <c r="I206" s="23">
        <f>Overview!$E$17</f>
        <v>0</v>
      </c>
      <c r="J206" s="52">
        <f t="shared" si="37"/>
        <v>0</v>
      </c>
      <c r="K206" s="53">
        <f>Overview!$H$17</f>
        <v>0</v>
      </c>
      <c r="L206" s="54" t="e">
        <f t="shared" si="38"/>
        <v>#DIV/0!</v>
      </c>
      <c r="M206" s="179" t="s">
        <v>4406</v>
      </c>
      <c r="N206" s="179" t="s">
        <v>1406</v>
      </c>
      <c r="O206" s="141">
        <f t="shared" si="40"/>
        <v>0</v>
      </c>
      <c r="P206" s="181" t="b">
        <f>COUNTIF('Facility Data'!$A$1:$A$1500,"*"&amp;A206&amp;"*")&gt;0</f>
        <v>1</v>
      </c>
      <c r="Q206" s="181" t="b">
        <f>COUNTIF('Account Data'!$A$1:$A$1000,"*"&amp;A206&amp;"*")&gt;0</f>
        <v>0</v>
      </c>
      <c r="R206" s="182" t="b">
        <f t="shared" si="39"/>
        <v>1</v>
      </c>
      <c r="S206" s="182" t="b">
        <f t="shared" si="30"/>
        <v>0</v>
      </c>
      <c r="T206" s="181" t="b">
        <f>COUNTIF('New Items'!$A$1:$A$175,A206)&gt;0</f>
        <v>0</v>
      </c>
      <c r="U206" s="181" t="b">
        <f>COUNTIF(Discontinued!$A$1:$A$150,A206)&gt;0</f>
        <v>0</v>
      </c>
    </row>
    <row r="207" spans="1:21" s="8" customFormat="1" ht="11.25" x14ac:dyDescent="0.2">
      <c r="A207" s="152">
        <v>10000228</v>
      </c>
      <c r="B207" s="10" t="s">
        <v>1530</v>
      </c>
      <c r="C207" s="12" t="s">
        <v>1531</v>
      </c>
      <c r="D207" s="11" t="s">
        <v>650</v>
      </c>
      <c r="E207" s="12" t="s">
        <v>769</v>
      </c>
      <c r="F207" s="13">
        <v>1</v>
      </c>
      <c r="G207" s="22">
        <f>Overview!$B$17</f>
        <v>14</v>
      </c>
      <c r="H207" s="23">
        <f t="shared" si="36"/>
        <v>14</v>
      </c>
      <c r="I207" s="23">
        <f>Overview!$E$17</f>
        <v>0</v>
      </c>
      <c r="J207" s="52">
        <f t="shared" si="37"/>
        <v>0</v>
      </c>
      <c r="K207" s="53">
        <f>Overview!$H$17</f>
        <v>0</v>
      </c>
      <c r="L207" s="54" t="e">
        <f t="shared" si="38"/>
        <v>#DIV/0!</v>
      </c>
      <c r="M207" s="179" t="s">
        <v>4369</v>
      </c>
      <c r="N207" s="179" t="s">
        <v>1406</v>
      </c>
      <c r="O207" s="141">
        <f t="shared" si="40"/>
        <v>0</v>
      </c>
      <c r="P207" s="181" t="b">
        <f>COUNTIF('Facility Data'!$A$1:$A$1500,"*"&amp;A207&amp;"*")&gt;0</f>
        <v>1</v>
      </c>
      <c r="Q207" s="181" t="b">
        <f>COUNTIF('Account Data'!$A$1:$A$1000,"*"&amp;A207&amp;"*")&gt;0</f>
        <v>0</v>
      </c>
      <c r="R207" s="182" t="b">
        <f t="shared" si="39"/>
        <v>1</v>
      </c>
      <c r="S207" s="182" t="b">
        <f t="shared" si="30"/>
        <v>0</v>
      </c>
      <c r="T207" s="181" t="b">
        <f>COUNTIF('New Items'!$A$1:$A$175,A207)&gt;0</f>
        <v>0</v>
      </c>
      <c r="U207" s="181" t="b">
        <f>COUNTIF(Discontinued!$A$1:$A$150,A207)&gt;0</f>
        <v>0</v>
      </c>
    </row>
    <row r="208" spans="1:21" s="8" customFormat="1" ht="11.25" x14ac:dyDescent="0.2">
      <c r="A208" s="152">
        <v>10036798</v>
      </c>
      <c r="B208" s="10" t="s">
        <v>1532</v>
      </c>
      <c r="C208" s="12" t="s">
        <v>1533</v>
      </c>
      <c r="D208" s="11" t="s">
        <v>652</v>
      </c>
      <c r="E208" s="12" t="s">
        <v>769</v>
      </c>
      <c r="F208" s="13">
        <v>1</v>
      </c>
      <c r="G208" s="22">
        <f>Overview!$B$17</f>
        <v>14</v>
      </c>
      <c r="H208" s="23">
        <f t="shared" si="36"/>
        <v>14</v>
      </c>
      <c r="I208" s="23">
        <f>Overview!$E$17</f>
        <v>0</v>
      </c>
      <c r="J208" s="52">
        <f t="shared" si="37"/>
        <v>0</v>
      </c>
      <c r="K208" s="53">
        <f>Overview!$H$17</f>
        <v>0</v>
      </c>
      <c r="L208" s="54" t="e">
        <f t="shared" si="38"/>
        <v>#DIV/0!</v>
      </c>
      <c r="M208" s="179"/>
      <c r="N208" s="179" t="s">
        <v>1406</v>
      </c>
      <c r="O208" s="141">
        <f t="shared" si="40"/>
        <v>0</v>
      </c>
      <c r="P208" s="181" t="b">
        <f>COUNTIF('Facility Data'!$A$1:$A$1500,"*"&amp;A208&amp;"*")&gt;0</f>
        <v>1</v>
      </c>
      <c r="Q208" s="181" t="b">
        <f>COUNTIF('Account Data'!$A$1:$A$1000,"*"&amp;A208&amp;"*")&gt;0</f>
        <v>0</v>
      </c>
      <c r="R208" s="182" t="b">
        <f t="shared" si="39"/>
        <v>1</v>
      </c>
      <c r="S208" s="182" t="b">
        <f t="shared" si="30"/>
        <v>0</v>
      </c>
      <c r="T208" s="181" t="b">
        <f>COUNTIF('New Items'!$A$1:$A$175,A208)&gt;0</f>
        <v>0</v>
      </c>
      <c r="U208" s="181" t="b">
        <f>COUNTIF(Discontinued!$A$1:$A$150,A208)&gt;0</f>
        <v>0</v>
      </c>
    </row>
    <row r="209" spans="1:21" s="8" customFormat="1" ht="11.25" x14ac:dyDescent="0.2">
      <c r="A209" s="152">
        <v>10001719</v>
      </c>
      <c r="B209" s="10" t="s">
        <v>1540</v>
      </c>
      <c r="C209" s="12" t="s">
        <v>1541</v>
      </c>
      <c r="D209" s="11" t="s">
        <v>4116</v>
      </c>
      <c r="E209" s="12" t="s">
        <v>769</v>
      </c>
      <c r="F209" s="13">
        <v>1</v>
      </c>
      <c r="G209" s="22">
        <f>Overview!$B$17</f>
        <v>14</v>
      </c>
      <c r="H209" s="23">
        <f t="shared" si="36"/>
        <v>14</v>
      </c>
      <c r="I209" s="23">
        <f>Overview!$E$17</f>
        <v>0</v>
      </c>
      <c r="J209" s="52">
        <f t="shared" si="37"/>
        <v>0</v>
      </c>
      <c r="K209" s="53">
        <f>Overview!$H$17</f>
        <v>0</v>
      </c>
      <c r="L209" s="54" t="e">
        <f t="shared" si="38"/>
        <v>#DIV/0!</v>
      </c>
      <c r="M209" s="179" t="s">
        <v>953</v>
      </c>
      <c r="N209" s="179" t="s">
        <v>1406</v>
      </c>
      <c r="O209" s="141">
        <f>I209</f>
        <v>0</v>
      </c>
      <c r="P209" s="181" t="b">
        <f>COUNTIF('Facility Data'!$A$1:$A$1500,"*"&amp;A209&amp;"*")&gt;0</f>
        <v>0</v>
      </c>
      <c r="Q209" s="181" t="b">
        <f>COUNTIF('Account Data'!$A$1:$A$1000,"*"&amp;A209&amp;"*")&gt;0</f>
        <v>0</v>
      </c>
      <c r="R209" s="182" t="b">
        <f t="shared" si="39"/>
        <v>0</v>
      </c>
      <c r="S209" s="182" t="b">
        <f t="shared" si="30"/>
        <v>0</v>
      </c>
      <c r="T209" s="181" t="b">
        <f>COUNTIF('New Items'!$A$1:$A$175,A209)&gt;0</f>
        <v>0</v>
      </c>
      <c r="U209" s="181" t="b">
        <f>COUNTIF(Discontinued!$A$1:$A$150,A209)&gt;0</f>
        <v>0</v>
      </c>
    </row>
    <row r="210" spans="1:21" s="8" customFormat="1" ht="11.25" x14ac:dyDescent="0.2">
      <c r="A210" s="152">
        <v>10000051</v>
      </c>
      <c r="B210" s="10" t="s">
        <v>1534</v>
      </c>
      <c r="C210" s="12" t="s">
        <v>1535</v>
      </c>
      <c r="D210" s="11" t="s">
        <v>636</v>
      </c>
      <c r="E210" s="12" t="s">
        <v>769</v>
      </c>
      <c r="F210" s="13">
        <v>1</v>
      </c>
      <c r="G210" s="22">
        <f>Overview!$B$17</f>
        <v>14</v>
      </c>
      <c r="H210" s="23">
        <f t="shared" si="36"/>
        <v>14</v>
      </c>
      <c r="I210" s="23">
        <f>Overview!$E$17</f>
        <v>0</v>
      </c>
      <c r="J210" s="52">
        <f t="shared" si="37"/>
        <v>0</v>
      </c>
      <c r="K210" s="53">
        <f>Overview!$H$17</f>
        <v>0</v>
      </c>
      <c r="L210" s="54" t="e">
        <f t="shared" si="38"/>
        <v>#DIV/0!</v>
      </c>
      <c r="M210" s="179" t="s">
        <v>4370</v>
      </c>
      <c r="N210" s="179" t="s">
        <v>1406</v>
      </c>
      <c r="O210" s="141">
        <f t="shared" si="40"/>
        <v>0</v>
      </c>
      <c r="P210" s="181" t="b">
        <f>COUNTIF('Facility Data'!$A$1:$A$1500,"*"&amp;A210&amp;"*")&gt;0</f>
        <v>1</v>
      </c>
      <c r="Q210" s="181" t="b">
        <f>COUNTIF('Account Data'!$A$1:$A$1000,"*"&amp;A210&amp;"*")&gt;0</f>
        <v>0</v>
      </c>
      <c r="R210" s="182" t="b">
        <f t="shared" si="39"/>
        <v>1</v>
      </c>
      <c r="S210" s="182" t="b">
        <f t="shared" si="30"/>
        <v>0</v>
      </c>
      <c r="T210" s="181" t="b">
        <f>COUNTIF('New Items'!$A$1:$A$175,A210)&gt;0</f>
        <v>0</v>
      </c>
      <c r="U210" s="181" t="b">
        <f>COUNTIF(Discontinued!$A$1:$A$150,A210)&gt;0</f>
        <v>0</v>
      </c>
    </row>
    <row r="211" spans="1:21" s="8" customFormat="1" ht="11.25" x14ac:dyDescent="0.2">
      <c r="A211" s="152">
        <v>10000032</v>
      </c>
      <c r="B211" s="10" t="s">
        <v>1536</v>
      </c>
      <c r="C211" s="12" t="s">
        <v>1537</v>
      </c>
      <c r="D211" s="11" t="s">
        <v>655</v>
      </c>
      <c r="E211" s="12" t="s">
        <v>769</v>
      </c>
      <c r="F211" s="13">
        <v>1</v>
      </c>
      <c r="G211" s="22">
        <f>Overview!$B$17</f>
        <v>14</v>
      </c>
      <c r="H211" s="23">
        <f t="shared" si="36"/>
        <v>14</v>
      </c>
      <c r="I211" s="23">
        <f>Overview!$E$17</f>
        <v>0</v>
      </c>
      <c r="J211" s="52">
        <f t="shared" si="37"/>
        <v>0</v>
      </c>
      <c r="K211" s="53">
        <f>Overview!$H$17</f>
        <v>0</v>
      </c>
      <c r="L211" s="54" t="e">
        <f t="shared" si="38"/>
        <v>#DIV/0!</v>
      </c>
      <c r="M211" s="179"/>
      <c r="N211" s="179" t="s">
        <v>1406</v>
      </c>
      <c r="O211" s="141">
        <f t="shared" si="40"/>
        <v>0</v>
      </c>
      <c r="P211" s="181" t="b">
        <f>COUNTIF('Facility Data'!$A$1:$A$1500,"*"&amp;A211&amp;"*")&gt;0</f>
        <v>1</v>
      </c>
      <c r="Q211" s="181" t="b">
        <f>COUNTIF('Account Data'!$A$1:$A$1000,"*"&amp;A211&amp;"*")&gt;0</f>
        <v>0</v>
      </c>
      <c r="R211" s="182" t="b">
        <f t="shared" si="39"/>
        <v>1</v>
      </c>
      <c r="S211" s="182" t="b">
        <f t="shared" si="30"/>
        <v>0</v>
      </c>
      <c r="T211" s="181" t="b">
        <f>COUNTIF('New Items'!$A$1:$A$175,A211)&gt;0</f>
        <v>0</v>
      </c>
      <c r="U211" s="181" t="b">
        <f>COUNTIF(Discontinued!$A$1:$A$150,A211)&gt;0</f>
        <v>0</v>
      </c>
    </row>
    <row r="212" spans="1:21" s="8" customFormat="1" ht="11.25" x14ac:dyDescent="0.2">
      <c r="A212" s="152">
        <v>10000226</v>
      </c>
      <c r="B212" s="10" t="s">
        <v>1538</v>
      </c>
      <c r="C212" s="12" t="s">
        <v>1539</v>
      </c>
      <c r="D212" s="11" t="s">
        <v>640</v>
      </c>
      <c r="E212" s="12" t="s">
        <v>769</v>
      </c>
      <c r="F212" s="13">
        <v>1</v>
      </c>
      <c r="G212" s="22">
        <f>Overview!$B$17</f>
        <v>14</v>
      </c>
      <c r="H212" s="23">
        <f>G212-I212</f>
        <v>14</v>
      </c>
      <c r="I212" s="23">
        <f>Overview!$E$17</f>
        <v>0</v>
      </c>
      <c r="J212" s="52">
        <f>I212/F212</f>
        <v>0</v>
      </c>
      <c r="K212" s="53">
        <f>Overview!$H$17</f>
        <v>0</v>
      </c>
      <c r="L212" s="54" t="e">
        <f>(K212-J212)/K212</f>
        <v>#DIV/0!</v>
      </c>
      <c r="M212" s="179"/>
      <c r="N212" s="179" t="s">
        <v>1406</v>
      </c>
      <c r="O212" s="141">
        <f>I212</f>
        <v>0</v>
      </c>
      <c r="P212" s="181" t="b">
        <f>COUNTIF('Facility Data'!$A$1:$A$1500,"*"&amp;A212&amp;"*")&gt;0</f>
        <v>1</v>
      </c>
      <c r="Q212" s="181" t="b">
        <f>COUNTIF('Account Data'!$A$1:$A$1000,"*"&amp;A212&amp;"*")&gt;0</f>
        <v>0</v>
      </c>
      <c r="R212" s="182" t="b">
        <f t="shared" si="39"/>
        <v>1</v>
      </c>
      <c r="S212" s="182" t="b">
        <f>IF(OR(Q212=TRUE,T212=TRUE),TRUE,FALSE)</f>
        <v>0</v>
      </c>
      <c r="T212" s="181" t="b">
        <f>COUNTIF('New Items'!$A$1:$A$175,A212)&gt;0</f>
        <v>0</v>
      </c>
      <c r="U212" s="181" t="b">
        <f>COUNTIF(Discontinued!$A$1:$A$150,A212)&gt;0</f>
        <v>0</v>
      </c>
    </row>
    <row r="213" spans="1:21" s="8" customFormat="1" ht="12" thickBot="1" x14ac:dyDescent="0.25">
      <c r="A213" s="152">
        <v>10000225</v>
      </c>
      <c r="B213" s="10" t="s">
        <v>3807</v>
      </c>
      <c r="C213" s="12" t="s">
        <v>3808</v>
      </c>
      <c r="D213" s="11" t="s">
        <v>660</v>
      </c>
      <c r="E213" s="12" t="s">
        <v>769</v>
      </c>
      <c r="F213" s="13">
        <v>1</v>
      </c>
      <c r="G213" s="22">
        <f>Overview!$B$17</f>
        <v>14</v>
      </c>
      <c r="H213" s="23">
        <f t="shared" si="36"/>
        <v>14</v>
      </c>
      <c r="I213" s="23">
        <f>Overview!$E$17</f>
        <v>0</v>
      </c>
      <c r="J213" s="52">
        <f t="shared" si="37"/>
        <v>0</v>
      </c>
      <c r="K213" s="53">
        <f>Overview!$H$17</f>
        <v>0</v>
      </c>
      <c r="L213" s="54" t="e">
        <f t="shared" si="38"/>
        <v>#DIV/0!</v>
      </c>
      <c r="M213" s="179"/>
      <c r="N213" s="179" t="s">
        <v>1406</v>
      </c>
      <c r="O213" s="141">
        <f t="shared" si="40"/>
        <v>0</v>
      </c>
      <c r="P213" s="181" t="b">
        <f>COUNTIF('Facility Data'!$A$1:$A$1500,"*"&amp;A213&amp;"*")&gt;0</f>
        <v>1</v>
      </c>
      <c r="Q213" s="181" t="b">
        <f>COUNTIF('Account Data'!$A$1:$A$1000,"*"&amp;A213&amp;"*")&gt;0</f>
        <v>0</v>
      </c>
      <c r="R213" s="182" t="b">
        <f t="shared" si="39"/>
        <v>1</v>
      </c>
      <c r="S213" s="182" t="b">
        <f t="shared" si="30"/>
        <v>0</v>
      </c>
      <c r="T213" s="181" t="b">
        <f>COUNTIF('New Items'!$A$1:$A$175,A213)&gt;0</f>
        <v>0</v>
      </c>
      <c r="U213" s="181" t="b">
        <f>COUNTIF(Discontinued!$A$1:$A$150,A213)&gt;0</f>
        <v>0</v>
      </c>
    </row>
    <row r="214" spans="1:21" s="8" customFormat="1" ht="13.5" thickBot="1" x14ac:dyDescent="0.25">
      <c r="A214" s="300" t="s">
        <v>1397</v>
      </c>
      <c r="B214" s="301"/>
      <c r="C214" s="301"/>
      <c r="D214" s="301"/>
      <c r="E214" s="301"/>
      <c r="F214" s="301"/>
      <c r="G214" s="301"/>
      <c r="H214" s="301"/>
      <c r="I214" s="301"/>
      <c r="J214" s="301"/>
      <c r="K214" s="301"/>
      <c r="L214" s="302"/>
      <c r="M214" s="179" t="s">
        <v>4361</v>
      </c>
      <c r="N214" s="179" t="s">
        <v>1398</v>
      </c>
      <c r="O214" s="141">
        <f>AVERAGE(O215:O221)</f>
        <v>0</v>
      </c>
      <c r="P214" s="181" t="b">
        <f>COUNTIF(P215:P221,TRUE)&gt;0</f>
        <v>1</v>
      </c>
      <c r="Q214" s="181" t="b">
        <f>COUNTIF(Q215:Q221,TRUE)&gt;0</f>
        <v>0</v>
      </c>
      <c r="R214" s="181" t="b">
        <f>COUNTIF(R215:R221,TRUE)&gt;0</f>
        <v>1</v>
      </c>
      <c r="S214" s="181" t="b">
        <f>COUNTIF(S215:S221,TRUE)&gt;0</f>
        <v>0</v>
      </c>
      <c r="T214" s="181" t="b">
        <f>COUNTIF(T215:T221,TRUE)&gt;0</f>
        <v>0</v>
      </c>
      <c r="U214" s="181"/>
    </row>
    <row r="215" spans="1:21" s="8" customFormat="1" ht="11.25" x14ac:dyDescent="0.2">
      <c r="A215" s="152">
        <v>10001615</v>
      </c>
      <c r="B215" s="10" t="s">
        <v>1399</v>
      </c>
      <c r="C215" s="12" t="s">
        <v>1400</v>
      </c>
      <c r="D215" s="11" t="s">
        <v>629</v>
      </c>
      <c r="E215" s="12" t="s">
        <v>769</v>
      </c>
      <c r="F215" s="13">
        <v>1</v>
      </c>
      <c r="G215" s="22">
        <f>Overview!$B$18</f>
        <v>21</v>
      </c>
      <c r="H215" s="23">
        <f t="shared" ref="H215:H221" si="41">G215-I215</f>
        <v>21</v>
      </c>
      <c r="I215" s="23">
        <f>Overview!$E$18</f>
        <v>0</v>
      </c>
      <c r="J215" s="52">
        <f t="shared" ref="J215:J221" si="42">I215/F215</f>
        <v>0</v>
      </c>
      <c r="K215" s="53">
        <f>Overview!$H$18</f>
        <v>0</v>
      </c>
      <c r="L215" s="54" t="e">
        <f t="shared" ref="L215:L221" si="43">(K215-J215)/K215</f>
        <v>#DIV/0!</v>
      </c>
      <c r="M215" s="179" t="s">
        <v>951</v>
      </c>
      <c r="N215" s="179" t="s">
        <v>1398</v>
      </c>
      <c r="O215" s="141">
        <f t="shared" ref="O215:O221" si="44">I215</f>
        <v>0</v>
      </c>
      <c r="P215" s="181" t="b">
        <f>COUNTIF('Facility Data'!$A$1:$A$1500,"*"&amp;A215&amp;"*")&gt;0</f>
        <v>0</v>
      </c>
      <c r="Q215" s="181" t="b">
        <f>COUNTIF('Account Data'!$A$1:$A$1000,"*"&amp;A215&amp;"*")&gt;0</f>
        <v>0</v>
      </c>
      <c r="R215" s="182" t="b">
        <f t="shared" ref="R215:R221" si="45">IF(OR(P215=TRUE,T215=TRUE),TRUE,FALSE)</f>
        <v>0</v>
      </c>
      <c r="S215" s="182" t="b">
        <f t="shared" si="30"/>
        <v>0</v>
      </c>
      <c r="T215" s="181" t="b">
        <f>COUNTIF('New Items'!$A$1:$A$175,A215)&gt;0</f>
        <v>0</v>
      </c>
      <c r="U215" s="181" t="b">
        <f>COUNTIF(Discontinued!$A$1:$A$150,A215)&gt;0</f>
        <v>0</v>
      </c>
    </row>
    <row r="216" spans="1:21" s="8" customFormat="1" ht="11.25" x14ac:dyDescent="0.2">
      <c r="A216" s="152">
        <v>10001616</v>
      </c>
      <c r="B216" s="10" t="s">
        <v>1401</v>
      </c>
      <c r="C216" s="12" t="s">
        <v>1402</v>
      </c>
      <c r="D216" s="11" t="s">
        <v>631</v>
      </c>
      <c r="E216" s="12" t="s">
        <v>769</v>
      </c>
      <c r="F216" s="13">
        <v>1</v>
      </c>
      <c r="G216" s="22">
        <f>Overview!$B$18</f>
        <v>21</v>
      </c>
      <c r="H216" s="23">
        <f t="shared" si="41"/>
        <v>21</v>
      </c>
      <c r="I216" s="23">
        <f>Overview!$E$18</f>
        <v>0</v>
      </c>
      <c r="J216" s="52">
        <f t="shared" si="42"/>
        <v>0</v>
      </c>
      <c r="K216" s="53">
        <f>Overview!$H$18</f>
        <v>0</v>
      </c>
      <c r="L216" s="54" t="e">
        <f t="shared" si="43"/>
        <v>#DIV/0!</v>
      </c>
      <c r="M216" s="179" t="s">
        <v>951</v>
      </c>
      <c r="N216" s="179" t="s">
        <v>1398</v>
      </c>
      <c r="O216" s="141">
        <f t="shared" si="44"/>
        <v>0</v>
      </c>
      <c r="P216" s="181" t="b">
        <f>COUNTIF('Facility Data'!$A$1:$A$1500,"*"&amp;A216&amp;"*")&gt;0</f>
        <v>0</v>
      </c>
      <c r="Q216" s="181" t="b">
        <f>COUNTIF('Account Data'!$A$1:$A$1000,"*"&amp;A216&amp;"*")&gt;0</f>
        <v>0</v>
      </c>
      <c r="R216" s="182" t="b">
        <f t="shared" si="45"/>
        <v>0</v>
      </c>
      <c r="S216" s="182" t="b">
        <f t="shared" si="30"/>
        <v>0</v>
      </c>
      <c r="T216" s="181" t="b">
        <f>COUNTIF('New Items'!$A$1:$A$175,A216)&gt;0</f>
        <v>0</v>
      </c>
      <c r="U216" s="181" t="b">
        <f>COUNTIF(Discontinued!$A$1:$A$150,A216)&gt;0</f>
        <v>0</v>
      </c>
    </row>
    <row r="217" spans="1:21" s="8" customFormat="1" ht="11.25" x14ac:dyDescent="0.2">
      <c r="A217" s="152">
        <v>10001614</v>
      </c>
      <c r="B217" s="10" t="s">
        <v>1515</v>
      </c>
      <c r="C217" s="12" t="s">
        <v>1516</v>
      </c>
      <c r="D217" s="11" t="s">
        <v>643</v>
      </c>
      <c r="E217" s="12" t="s">
        <v>769</v>
      </c>
      <c r="F217" s="13">
        <v>1</v>
      </c>
      <c r="G217" s="22">
        <f>Overview!$B$18</f>
        <v>21</v>
      </c>
      <c r="H217" s="23">
        <f t="shared" si="41"/>
        <v>21</v>
      </c>
      <c r="I217" s="23">
        <f>Overview!$E$18</f>
        <v>0</v>
      </c>
      <c r="J217" s="52">
        <f t="shared" si="42"/>
        <v>0</v>
      </c>
      <c r="K217" s="53">
        <f>Overview!$H$18</f>
        <v>0</v>
      </c>
      <c r="L217" s="54" t="e">
        <f t="shared" si="43"/>
        <v>#DIV/0!</v>
      </c>
      <c r="M217" s="179"/>
      <c r="N217" s="179" t="s">
        <v>1398</v>
      </c>
      <c r="O217" s="141">
        <f t="shared" si="44"/>
        <v>0</v>
      </c>
      <c r="P217" s="181" t="b">
        <f>COUNTIF('Facility Data'!$A$1:$A$1500,"*"&amp;A217&amp;"*")&gt;0</f>
        <v>0</v>
      </c>
      <c r="Q217" s="181" t="b">
        <f>COUNTIF('Account Data'!$A$1:$A$1000,"*"&amp;A217&amp;"*")&gt;0</f>
        <v>0</v>
      </c>
      <c r="R217" s="182" t="b">
        <f t="shared" si="45"/>
        <v>0</v>
      </c>
      <c r="S217" s="182" t="b">
        <f t="shared" si="30"/>
        <v>0</v>
      </c>
      <c r="T217" s="181" t="b">
        <f>COUNTIF('New Items'!$A$1:$A$175,A217)&gt;0</f>
        <v>0</v>
      </c>
      <c r="U217" s="181" t="b">
        <f>COUNTIF(Discontinued!$A$1:$A$150,A217)&gt;0</f>
        <v>0</v>
      </c>
    </row>
    <row r="218" spans="1:21" s="8" customFormat="1" ht="11.25" x14ac:dyDescent="0.2">
      <c r="A218" s="152">
        <v>10001617</v>
      </c>
      <c r="B218" s="10" t="s">
        <v>1712</v>
      </c>
      <c r="C218" s="12" t="s">
        <v>1713</v>
      </c>
      <c r="D218" s="11" t="s">
        <v>650</v>
      </c>
      <c r="E218" s="12" t="s">
        <v>769</v>
      </c>
      <c r="F218" s="13">
        <v>1</v>
      </c>
      <c r="G218" s="22">
        <f>Overview!$B$18</f>
        <v>21</v>
      </c>
      <c r="H218" s="23">
        <f t="shared" si="41"/>
        <v>21</v>
      </c>
      <c r="I218" s="23">
        <f>Overview!$E$18</f>
        <v>0</v>
      </c>
      <c r="J218" s="52">
        <f t="shared" si="42"/>
        <v>0</v>
      </c>
      <c r="K218" s="53">
        <f>Overview!$H$18</f>
        <v>0</v>
      </c>
      <c r="L218" s="54" t="e">
        <f t="shared" si="43"/>
        <v>#DIV/0!</v>
      </c>
      <c r="M218" s="179" t="s">
        <v>4369</v>
      </c>
      <c r="N218" s="179" t="s">
        <v>1398</v>
      </c>
      <c r="O218" s="141">
        <f t="shared" si="44"/>
        <v>0</v>
      </c>
      <c r="P218" s="181" t="b">
        <f>COUNTIF('Facility Data'!$A$1:$A$1500,"*"&amp;A218&amp;"*")&gt;0</f>
        <v>0</v>
      </c>
      <c r="Q218" s="181" t="b">
        <f>COUNTIF('Account Data'!$A$1:$A$1000,"*"&amp;A218&amp;"*")&gt;0</f>
        <v>0</v>
      </c>
      <c r="R218" s="182" t="b">
        <f t="shared" si="45"/>
        <v>0</v>
      </c>
      <c r="S218" s="182" t="b">
        <f t="shared" si="30"/>
        <v>0</v>
      </c>
      <c r="T218" s="181" t="b">
        <f>COUNTIF('New Items'!$A$1:$A$175,A218)&gt;0</f>
        <v>0</v>
      </c>
      <c r="U218" s="181" t="b">
        <f>COUNTIF(Discontinued!$A$1:$A$150,A218)&gt;0</f>
        <v>0</v>
      </c>
    </row>
    <row r="219" spans="1:21" s="8" customFormat="1" ht="11.25" x14ac:dyDescent="0.2">
      <c r="A219" s="152">
        <v>10056875</v>
      </c>
      <c r="B219" s="10" t="s">
        <v>1607</v>
      </c>
      <c r="C219" s="12" t="s">
        <v>1608</v>
      </c>
      <c r="D219" s="11" t="s">
        <v>652</v>
      </c>
      <c r="E219" s="12" t="s">
        <v>769</v>
      </c>
      <c r="F219" s="13">
        <v>1</v>
      </c>
      <c r="G219" s="22">
        <f>Overview!$B$18</f>
        <v>21</v>
      </c>
      <c r="H219" s="23">
        <f t="shared" si="41"/>
        <v>21</v>
      </c>
      <c r="I219" s="23">
        <f>Overview!$E$18</f>
        <v>0</v>
      </c>
      <c r="J219" s="52">
        <f t="shared" si="42"/>
        <v>0</v>
      </c>
      <c r="K219" s="53">
        <f>Overview!$H$18</f>
        <v>0</v>
      </c>
      <c r="L219" s="54" t="e">
        <f t="shared" si="43"/>
        <v>#DIV/0!</v>
      </c>
      <c r="M219" s="179"/>
      <c r="N219" s="179" t="s">
        <v>1398</v>
      </c>
      <c r="O219" s="141">
        <f t="shared" si="44"/>
        <v>0</v>
      </c>
      <c r="P219" s="181" t="b">
        <f>COUNTIF('Facility Data'!$A$1:$A$1500,"*"&amp;A219&amp;"*")&gt;0</f>
        <v>0</v>
      </c>
      <c r="Q219" s="181" t="b">
        <f>COUNTIF('Account Data'!$A$1:$A$1000,"*"&amp;A219&amp;"*")&gt;0</f>
        <v>0</v>
      </c>
      <c r="R219" s="182" t="b">
        <f t="shared" si="45"/>
        <v>0</v>
      </c>
      <c r="S219" s="182" t="b">
        <f t="shared" si="30"/>
        <v>0</v>
      </c>
      <c r="T219" s="181" t="b">
        <f>COUNTIF('New Items'!$A$1:$A$175,A219)&gt;0</f>
        <v>0</v>
      </c>
      <c r="U219" s="181" t="b">
        <f>COUNTIF(Discontinued!$A$1:$A$150,A219)&gt;0</f>
        <v>0</v>
      </c>
    </row>
    <row r="220" spans="1:21" s="8" customFormat="1" ht="11.25" x14ac:dyDescent="0.2">
      <c r="A220" s="152">
        <v>10002746</v>
      </c>
      <c r="B220" s="10" t="s">
        <v>1714</v>
      </c>
      <c r="C220" s="12" t="s">
        <v>1715</v>
      </c>
      <c r="D220" s="11" t="s">
        <v>636</v>
      </c>
      <c r="E220" s="12" t="s">
        <v>769</v>
      </c>
      <c r="F220" s="13">
        <v>1</v>
      </c>
      <c r="G220" s="22">
        <f>Overview!$B$18</f>
        <v>21</v>
      </c>
      <c r="H220" s="23">
        <f t="shared" si="41"/>
        <v>21</v>
      </c>
      <c r="I220" s="23">
        <f>Overview!$E$18</f>
        <v>0</v>
      </c>
      <c r="J220" s="52">
        <f t="shared" si="42"/>
        <v>0</v>
      </c>
      <c r="K220" s="53">
        <f>Overview!$H$18</f>
        <v>0</v>
      </c>
      <c r="L220" s="54" t="e">
        <f t="shared" si="43"/>
        <v>#DIV/0!</v>
      </c>
      <c r="M220" s="179" t="s">
        <v>4370</v>
      </c>
      <c r="N220" s="179" t="s">
        <v>1398</v>
      </c>
      <c r="O220" s="141">
        <f t="shared" si="44"/>
        <v>0</v>
      </c>
      <c r="P220" s="181" t="b">
        <f>COUNTIF('Facility Data'!$A$1:$A$1500,"*"&amp;A220&amp;"*")&gt;0</f>
        <v>0</v>
      </c>
      <c r="Q220" s="181" t="b">
        <f>COUNTIF('Account Data'!$A$1:$A$1000,"*"&amp;A220&amp;"*")&gt;0</f>
        <v>0</v>
      </c>
      <c r="R220" s="182" t="b">
        <f t="shared" si="45"/>
        <v>0</v>
      </c>
      <c r="S220" s="182" t="b">
        <f t="shared" si="30"/>
        <v>0</v>
      </c>
      <c r="T220" s="181" t="b">
        <f>COUNTIF('New Items'!$A$1:$A$175,A220)&gt;0</f>
        <v>0</v>
      </c>
      <c r="U220" s="181" t="b">
        <f>COUNTIF(Discontinued!$A$1:$A$150,A220)&gt;0</f>
        <v>0</v>
      </c>
    </row>
    <row r="221" spans="1:21" s="8" customFormat="1" ht="12" thickBot="1" x14ac:dyDescent="0.25">
      <c r="A221" s="152">
        <v>10097659</v>
      </c>
      <c r="B221" s="10" t="s">
        <v>1403</v>
      </c>
      <c r="C221" s="12" t="s">
        <v>1404</v>
      </c>
      <c r="D221" s="11" t="s">
        <v>640</v>
      </c>
      <c r="E221" s="12" t="s">
        <v>769</v>
      </c>
      <c r="F221" s="13">
        <v>1</v>
      </c>
      <c r="G221" s="22">
        <f>Overview!$B$18</f>
        <v>21</v>
      </c>
      <c r="H221" s="23">
        <f t="shared" si="41"/>
        <v>21</v>
      </c>
      <c r="I221" s="23">
        <f>Overview!$E$18</f>
        <v>0</v>
      </c>
      <c r="J221" s="52">
        <f t="shared" si="42"/>
        <v>0</v>
      </c>
      <c r="K221" s="53">
        <f>Overview!$H$18</f>
        <v>0</v>
      </c>
      <c r="L221" s="54" t="e">
        <f t="shared" si="43"/>
        <v>#DIV/0!</v>
      </c>
      <c r="M221" s="179"/>
      <c r="N221" s="179" t="s">
        <v>1398</v>
      </c>
      <c r="O221" s="141">
        <f t="shared" si="44"/>
        <v>0</v>
      </c>
      <c r="P221" s="181" t="b">
        <f>COUNTIF('Facility Data'!$A$1:$A$1500,"*"&amp;A221&amp;"*")&gt;0</f>
        <v>1</v>
      </c>
      <c r="Q221" s="181" t="b">
        <f>COUNTIF('Account Data'!$A$1:$A$1000,"*"&amp;A221&amp;"*")&gt;0</f>
        <v>0</v>
      </c>
      <c r="R221" s="182" t="b">
        <f t="shared" si="45"/>
        <v>1</v>
      </c>
      <c r="S221" s="182" t="b">
        <f t="shared" si="30"/>
        <v>0</v>
      </c>
      <c r="T221" s="181" t="b">
        <f>COUNTIF('New Items'!$A$1:$A$175,A221)&gt;0</f>
        <v>0</v>
      </c>
      <c r="U221" s="181" t="b">
        <f>COUNTIF(Discontinued!$A$1:$A$150,A221)&gt;0</f>
        <v>0</v>
      </c>
    </row>
    <row r="222" spans="1:21" s="8" customFormat="1" ht="13.5" thickBot="1" x14ac:dyDescent="0.25">
      <c r="A222" s="300" t="s">
        <v>283</v>
      </c>
      <c r="B222" s="301"/>
      <c r="C222" s="301"/>
      <c r="D222" s="301"/>
      <c r="E222" s="301"/>
      <c r="F222" s="301"/>
      <c r="G222" s="301"/>
      <c r="H222" s="301"/>
      <c r="I222" s="301"/>
      <c r="J222" s="301"/>
      <c r="K222" s="301"/>
      <c r="L222" s="302"/>
      <c r="M222" s="179" t="s">
        <v>4361</v>
      </c>
      <c r="N222" s="179" t="s">
        <v>966</v>
      </c>
      <c r="O222" s="141">
        <f>AVERAGE(O223:O231)</f>
        <v>0</v>
      </c>
      <c r="P222" s="181" t="b">
        <f>COUNTIF(P223:P231,TRUE)&gt;0</f>
        <v>1</v>
      </c>
      <c r="Q222" s="181" t="b">
        <f>COUNTIF(Q223:Q231,TRUE)&gt;0</f>
        <v>1</v>
      </c>
      <c r="R222" s="181" t="b">
        <f>COUNTIF(R223:R231,TRUE)&gt;0</f>
        <v>1</v>
      </c>
      <c r="S222" s="181" t="b">
        <f>COUNTIF(S223:S231,TRUE)&gt;0</f>
        <v>1</v>
      </c>
      <c r="T222" s="181" t="b">
        <f>COUNTIF(T223:T231,TRUE)&gt;0</f>
        <v>0</v>
      </c>
      <c r="U222" s="181"/>
    </row>
    <row r="223" spans="1:21" s="8" customFormat="1" ht="11.25" x14ac:dyDescent="0.2">
      <c r="A223" s="152">
        <v>10078568</v>
      </c>
      <c r="B223" s="10" t="s">
        <v>133</v>
      </c>
      <c r="C223" s="12" t="s">
        <v>134</v>
      </c>
      <c r="D223" s="11" t="s">
        <v>629</v>
      </c>
      <c r="E223" s="12" t="s">
        <v>772</v>
      </c>
      <c r="F223" s="13">
        <v>24</v>
      </c>
      <c r="G223" s="22">
        <f>Overview!$B$19</f>
        <v>30</v>
      </c>
      <c r="H223" s="23">
        <f t="shared" ref="H223:H231" si="46">G223-I223</f>
        <v>30</v>
      </c>
      <c r="I223" s="23">
        <f>Overview!$E$19</f>
        <v>0</v>
      </c>
      <c r="J223" s="52">
        <f t="shared" ref="J223:J231" si="47">I223/F223</f>
        <v>0</v>
      </c>
      <c r="K223" s="53">
        <f>Overview!$H$19</f>
        <v>0</v>
      </c>
      <c r="L223" s="54" t="e">
        <f t="shared" ref="L223:L231" si="48">(K223-J223)/K223</f>
        <v>#DIV/0!</v>
      </c>
      <c r="M223" s="179" t="s">
        <v>951</v>
      </c>
      <c r="N223" s="179" t="s">
        <v>966</v>
      </c>
      <c r="O223" s="141">
        <f t="shared" ref="O223:O231" si="49">I223</f>
        <v>0</v>
      </c>
      <c r="P223" s="181" t="b">
        <f>COUNTIF('Facility Data'!$A$1:$A$1500,"*"&amp;A223&amp;"*")&gt;0</f>
        <v>0</v>
      </c>
      <c r="Q223" s="181" t="b">
        <f>COUNTIF('Account Data'!$A$1:$A$1000,"*"&amp;A223&amp;"*")&gt;0</f>
        <v>1</v>
      </c>
      <c r="R223" s="182" t="b">
        <f t="shared" ref="R223:R231" si="50">IF(OR(P223=TRUE,T223=TRUE),TRUE,FALSE)</f>
        <v>0</v>
      </c>
      <c r="S223" s="182" t="b">
        <f t="shared" ref="S223:S231" si="51">IF(OR(Q223=TRUE,T223=TRUE),TRUE,FALSE)</f>
        <v>1</v>
      </c>
      <c r="T223" s="181" t="b">
        <f>COUNTIF('New Items'!$A$1:$A$175,A223)&gt;0</f>
        <v>0</v>
      </c>
      <c r="U223" s="181" t="b">
        <f>COUNTIF(Discontinued!$A$1:$A$150,A223)&gt;0</f>
        <v>0</v>
      </c>
    </row>
    <row r="224" spans="1:21" s="8" customFormat="1" ht="11.25" x14ac:dyDescent="0.2">
      <c r="A224" s="152">
        <v>10086157</v>
      </c>
      <c r="B224" s="10" t="s">
        <v>2959</v>
      </c>
      <c r="C224" s="12" t="s">
        <v>134</v>
      </c>
      <c r="D224" s="11" t="s">
        <v>2960</v>
      </c>
      <c r="E224" s="12" t="s">
        <v>772</v>
      </c>
      <c r="F224" s="13">
        <v>24</v>
      </c>
      <c r="G224" s="22">
        <f>Overview!$B$19</f>
        <v>30</v>
      </c>
      <c r="H224" s="23">
        <f t="shared" si="46"/>
        <v>30</v>
      </c>
      <c r="I224" s="23">
        <f>Overview!$E$19</f>
        <v>0</v>
      </c>
      <c r="J224" s="52">
        <f t="shared" si="47"/>
        <v>0</v>
      </c>
      <c r="K224" s="53">
        <f>Overview!$H$19</f>
        <v>0</v>
      </c>
      <c r="L224" s="54" t="e">
        <f t="shared" si="48"/>
        <v>#DIV/0!</v>
      </c>
      <c r="M224" s="179" t="s">
        <v>951</v>
      </c>
      <c r="N224" s="179" t="s">
        <v>966</v>
      </c>
      <c r="O224" s="141">
        <f t="shared" si="49"/>
        <v>0</v>
      </c>
      <c r="P224" s="181" t="b">
        <f>COUNTIF('Facility Data'!$A$1:$A$1500,"*"&amp;A224&amp;"*")&gt;0</f>
        <v>0</v>
      </c>
      <c r="Q224" s="181" t="b">
        <f>COUNTIF('Account Data'!$A$1:$A$1000,"*"&amp;A224&amp;"*")&gt;0</f>
        <v>1</v>
      </c>
      <c r="R224" s="182" t="b">
        <f t="shared" si="50"/>
        <v>0</v>
      </c>
      <c r="S224" s="182" t="b">
        <f t="shared" si="51"/>
        <v>1</v>
      </c>
      <c r="T224" s="181" t="b">
        <f>COUNTIF('New Items'!$A$1:$A$175,A224)&gt;0</f>
        <v>0</v>
      </c>
      <c r="U224" s="181" t="b">
        <f>COUNTIF(Discontinued!$A$1:$A$150,A224)&gt;0</f>
        <v>0</v>
      </c>
    </row>
    <row r="225" spans="1:21" s="8" customFormat="1" ht="11.25" x14ac:dyDescent="0.2">
      <c r="A225" s="152">
        <v>10129364</v>
      </c>
      <c r="B225" s="10" t="s">
        <v>3763</v>
      </c>
      <c r="C225" s="12" t="s">
        <v>3765</v>
      </c>
      <c r="D225" s="119" t="s">
        <v>3761</v>
      </c>
      <c r="E225" s="12" t="s">
        <v>772</v>
      </c>
      <c r="F225" s="13">
        <v>24</v>
      </c>
      <c r="G225" s="22">
        <f>Overview!$B$19</f>
        <v>30</v>
      </c>
      <c r="H225" s="23">
        <f>G225-I225</f>
        <v>30</v>
      </c>
      <c r="I225" s="23">
        <f>Overview!$E$19</f>
        <v>0</v>
      </c>
      <c r="J225" s="52">
        <f>I225/F225</f>
        <v>0</v>
      </c>
      <c r="K225" s="53">
        <f>Overview!$H$19</f>
        <v>0</v>
      </c>
      <c r="L225" s="54" t="e">
        <f>(K225-J225)/K225</f>
        <v>#DIV/0!</v>
      </c>
      <c r="M225" s="179" t="s">
        <v>951</v>
      </c>
      <c r="N225" s="179" t="s">
        <v>966</v>
      </c>
      <c r="O225" s="141">
        <f>I225</f>
        <v>0</v>
      </c>
      <c r="P225" s="181" t="b">
        <f>COUNTIF('Facility Data'!$A$1:$A$1500,"*"&amp;A225&amp;"*")&gt;0</f>
        <v>0</v>
      </c>
      <c r="Q225" s="181" t="b">
        <f>COUNTIF('Account Data'!$A$1:$A$1000,"*"&amp;A225&amp;"*")&gt;0</f>
        <v>0</v>
      </c>
      <c r="R225" s="182" t="b">
        <f t="shared" si="50"/>
        <v>0</v>
      </c>
      <c r="S225" s="182" t="b">
        <f>IF(OR(Q225=TRUE,T225=TRUE),TRUE,FALSE)</f>
        <v>0</v>
      </c>
      <c r="T225" s="181" t="b">
        <f>COUNTIF('New Items'!$A$1:$A$175,A225)&gt;0</f>
        <v>0</v>
      </c>
      <c r="U225" s="181" t="b">
        <f>COUNTIF(Discontinued!$A$1:$A$150,A225)&gt;0</f>
        <v>0</v>
      </c>
    </row>
    <row r="226" spans="1:21" s="8" customFormat="1" ht="11.25" x14ac:dyDescent="0.2">
      <c r="A226" s="152">
        <v>10129363</v>
      </c>
      <c r="B226" s="10" t="s">
        <v>3764</v>
      </c>
      <c r="C226" s="12" t="s">
        <v>3766</v>
      </c>
      <c r="D226" s="119" t="s">
        <v>3762</v>
      </c>
      <c r="E226" s="12" t="s">
        <v>772</v>
      </c>
      <c r="F226" s="13">
        <v>24</v>
      </c>
      <c r="G226" s="22">
        <f>Overview!$B$19</f>
        <v>30</v>
      </c>
      <c r="H226" s="23">
        <f>G226-I226</f>
        <v>30</v>
      </c>
      <c r="I226" s="23">
        <f>Overview!$E$19</f>
        <v>0</v>
      </c>
      <c r="J226" s="52">
        <f>I226/F226</f>
        <v>0</v>
      </c>
      <c r="K226" s="53">
        <f>Overview!$H$19</f>
        <v>0</v>
      </c>
      <c r="L226" s="54" t="e">
        <f>(K226-J226)/K226</f>
        <v>#DIV/0!</v>
      </c>
      <c r="M226" s="179" t="s">
        <v>951</v>
      </c>
      <c r="N226" s="179" t="s">
        <v>966</v>
      </c>
      <c r="O226" s="141">
        <f>I226</f>
        <v>0</v>
      </c>
      <c r="P226" s="181" t="b">
        <f>COUNTIF('Facility Data'!$A$1:$A$1500,"*"&amp;A226&amp;"*")&gt;0</f>
        <v>0</v>
      </c>
      <c r="Q226" s="181" t="b">
        <f>COUNTIF('Account Data'!$A$1:$A$1000,"*"&amp;A226&amp;"*")&gt;0</f>
        <v>0</v>
      </c>
      <c r="R226" s="182" t="b">
        <f t="shared" si="50"/>
        <v>0</v>
      </c>
      <c r="S226" s="182" t="b">
        <f>IF(OR(Q226=TRUE,T226=TRUE),TRUE,FALSE)</f>
        <v>0</v>
      </c>
      <c r="T226" s="181" t="b">
        <f>COUNTIF('New Items'!$A$1:$A$175,A226)&gt;0</f>
        <v>0</v>
      </c>
      <c r="U226" s="181" t="b">
        <f>COUNTIF(Discontinued!$A$1:$A$150,A226)&gt;0</f>
        <v>0</v>
      </c>
    </row>
    <row r="227" spans="1:21" s="8" customFormat="1" ht="11.25" x14ac:dyDescent="0.2">
      <c r="A227" s="152">
        <v>10089301</v>
      </c>
      <c r="B227" s="10" t="s">
        <v>135</v>
      </c>
      <c r="C227" s="12" t="s">
        <v>136</v>
      </c>
      <c r="D227" s="11" t="s">
        <v>643</v>
      </c>
      <c r="E227" s="12" t="s">
        <v>772</v>
      </c>
      <c r="F227" s="13">
        <v>24</v>
      </c>
      <c r="G227" s="22">
        <f>Overview!$B$19</f>
        <v>30</v>
      </c>
      <c r="H227" s="23">
        <f t="shared" si="46"/>
        <v>30</v>
      </c>
      <c r="I227" s="23">
        <f>Overview!$E$19</f>
        <v>0</v>
      </c>
      <c r="J227" s="52">
        <f t="shared" si="47"/>
        <v>0</v>
      </c>
      <c r="K227" s="53">
        <f>Overview!$H$19</f>
        <v>0</v>
      </c>
      <c r="L227" s="54" t="e">
        <f t="shared" si="48"/>
        <v>#DIV/0!</v>
      </c>
      <c r="M227" s="179"/>
      <c r="N227" s="179" t="s">
        <v>966</v>
      </c>
      <c r="O227" s="141">
        <f t="shared" si="49"/>
        <v>0</v>
      </c>
      <c r="P227" s="181" t="b">
        <f>COUNTIF('Facility Data'!$A$1:$A$1500,"*"&amp;A227&amp;"*")&gt;0</f>
        <v>1</v>
      </c>
      <c r="Q227" s="181" t="b">
        <f>COUNTIF('Account Data'!$A$1:$A$1000,"*"&amp;A227&amp;"*")&gt;0</f>
        <v>1</v>
      </c>
      <c r="R227" s="182" t="b">
        <f t="shared" si="50"/>
        <v>1</v>
      </c>
      <c r="S227" s="182" t="b">
        <f t="shared" si="51"/>
        <v>1</v>
      </c>
      <c r="T227" s="181" t="b">
        <f>COUNTIF('New Items'!$A$1:$A$175,A227)&gt;0</f>
        <v>0</v>
      </c>
      <c r="U227" s="181" t="b">
        <f>COUNTIF(Discontinued!$A$1:$A$150,A227)&gt;0</f>
        <v>0</v>
      </c>
    </row>
    <row r="228" spans="1:21" s="8" customFormat="1" ht="11.25" x14ac:dyDescent="0.2">
      <c r="A228" s="152">
        <v>10089269</v>
      </c>
      <c r="B228" s="10" t="s">
        <v>137</v>
      </c>
      <c r="C228" s="12" t="s">
        <v>138</v>
      </c>
      <c r="D228" s="11" t="s">
        <v>645</v>
      </c>
      <c r="E228" s="12" t="s">
        <v>772</v>
      </c>
      <c r="F228" s="13">
        <v>24</v>
      </c>
      <c r="G228" s="22">
        <f>Overview!$B$19</f>
        <v>30</v>
      </c>
      <c r="H228" s="23">
        <f t="shared" si="46"/>
        <v>30</v>
      </c>
      <c r="I228" s="23">
        <f>Overview!$E$19</f>
        <v>0</v>
      </c>
      <c r="J228" s="52">
        <f t="shared" si="47"/>
        <v>0</v>
      </c>
      <c r="K228" s="53">
        <f>Overview!$H$19</f>
        <v>0</v>
      </c>
      <c r="L228" s="54" t="e">
        <f t="shared" si="48"/>
        <v>#DIV/0!</v>
      </c>
      <c r="M228" s="179" t="s">
        <v>4406</v>
      </c>
      <c r="N228" s="179" t="s">
        <v>966</v>
      </c>
      <c r="O228" s="141">
        <f t="shared" si="49"/>
        <v>0</v>
      </c>
      <c r="P228" s="181" t="b">
        <f>COUNTIF('Facility Data'!$A$1:$A$1500,"*"&amp;A228&amp;"*")&gt;0</f>
        <v>1</v>
      </c>
      <c r="Q228" s="181" t="b">
        <f>COUNTIF('Account Data'!$A$1:$A$1000,"*"&amp;A228&amp;"*")&gt;0</f>
        <v>1</v>
      </c>
      <c r="R228" s="182" t="b">
        <f t="shared" si="50"/>
        <v>1</v>
      </c>
      <c r="S228" s="182" t="b">
        <f t="shared" si="51"/>
        <v>1</v>
      </c>
      <c r="T228" s="181" t="b">
        <f>COUNTIF('New Items'!$A$1:$A$175,A228)&gt;0</f>
        <v>0</v>
      </c>
      <c r="U228" s="181" t="b">
        <f>COUNTIF(Discontinued!$A$1:$A$150,A228)&gt;0</f>
        <v>0</v>
      </c>
    </row>
    <row r="229" spans="1:21" s="8" customFormat="1" ht="11.25" x14ac:dyDescent="0.2">
      <c r="A229" s="152">
        <v>10086430</v>
      </c>
      <c r="B229" s="10" t="s">
        <v>139</v>
      </c>
      <c r="C229" s="12" t="s">
        <v>140</v>
      </c>
      <c r="D229" s="11" t="s">
        <v>650</v>
      </c>
      <c r="E229" s="12" t="s">
        <v>772</v>
      </c>
      <c r="F229" s="13">
        <v>24</v>
      </c>
      <c r="G229" s="22">
        <f>Overview!$B$19</f>
        <v>30</v>
      </c>
      <c r="H229" s="23">
        <f t="shared" si="46"/>
        <v>30</v>
      </c>
      <c r="I229" s="23">
        <f>Overview!$E$19</f>
        <v>0</v>
      </c>
      <c r="J229" s="52">
        <f t="shared" si="47"/>
        <v>0</v>
      </c>
      <c r="K229" s="53">
        <f>Overview!$H$19</f>
        <v>0</v>
      </c>
      <c r="L229" s="54" t="e">
        <f t="shared" si="48"/>
        <v>#DIV/0!</v>
      </c>
      <c r="M229" s="179" t="s">
        <v>4369</v>
      </c>
      <c r="N229" s="179" t="s">
        <v>966</v>
      </c>
      <c r="O229" s="141">
        <f t="shared" si="49"/>
        <v>0</v>
      </c>
      <c r="P229" s="181" t="b">
        <f>COUNTIF('Facility Data'!$A$1:$A$1500,"*"&amp;A229&amp;"*")&gt;0</f>
        <v>1</v>
      </c>
      <c r="Q229" s="181" t="b">
        <f>COUNTIF('Account Data'!$A$1:$A$1000,"*"&amp;A229&amp;"*")&gt;0</f>
        <v>1</v>
      </c>
      <c r="R229" s="182" t="b">
        <f t="shared" si="50"/>
        <v>1</v>
      </c>
      <c r="S229" s="182" t="b">
        <f t="shared" si="51"/>
        <v>1</v>
      </c>
      <c r="T229" s="181" t="b">
        <f>COUNTIF('New Items'!$A$1:$A$175,A229)&gt;0</f>
        <v>0</v>
      </c>
      <c r="U229" s="181" t="b">
        <f>COUNTIF(Discontinued!$A$1:$A$150,A229)&gt;0</f>
        <v>0</v>
      </c>
    </row>
    <row r="230" spans="1:21" s="8" customFormat="1" ht="11.25" x14ac:dyDescent="0.2">
      <c r="A230" s="152">
        <v>10089257</v>
      </c>
      <c r="B230" s="10" t="s">
        <v>141</v>
      </c>
      <c r="C230" s="12" t="s">
        <v>142</v>
      </c>
      <c r="D230" s="11" t="s">
        <v>652</v>
      </c>
      <c r="E230" s="12" t="s">
        <v>772</v>
      </c>
      <c r="F230" s="13">
        <v>24</v>
      </c>
      <c r="G230" s="22">
        <f>Overview!$B$19</f>
        <v>30</v>
      </c>
      <c r="H230" s="23">
        <f t="shared" si="46"/>
        <v>30</v>
      </c>
      <c r="I230" s="23">
        <f>Overview!$E$19</f>
        <v>0</v>
      </c>
      <c r="J230" s="52">
        <f t="shared" si="47"/>
        <v>0</v>
      </c>
      <c r="K230" s="53">
        <f>Overview!$H$19</f>
        <v>0</v>
      </c>
      <c r="L230" s="54" t="e">
        <f t="shared" si="48"/>
        <v>#DIV/0!</v>
      </c>
      <c r="M230" s="179"/>
      <c r="N230" s="179" t="s">
        <v>966</v>
      </c>
      <c r="O230" s="141">
        <f t="shared" si="49"/>
        <v>0</v>
      </c>
      <c r="P230" s="181" t="b">
        <f>COUNTIF('Facility Data'!$A$1:$A$1500,"*"&amp;A230&amp;"*")&gt;0</f>
        <v>0</v>
      </c>
      <c r="Q230" s="181" t="b">
        <f>COUNTIF('Account Data'!$A$1:$A$1000,"*"&amp;A230&amp;"*")&gt;0</f>
        <v>1</v>
      </c>
      <c r="R230" s="182" t="b">
        <f t="shared" si="50"/>
        <v>0</v>
      </c>
      <c r="S230" s="182" t="b">
        <f t="shared" si="51"/>
        <v>1</v>
      </c>
      <c r="T230" s="181" t="b">
        <f>COUNTIF('New Items'!$A$1:$A$175,A230)&gt;0</f>
        <v>0</v>
      </c>
      <c r="U230" s="181" t="b">
        <f>COUNTIF(Discontinued!$A$1:$A$150,A230)&gt;0</f>
        <v>0</v>
      </c>
    </row>
    <row r="231" spans="1:21" s="8" customFormat="1" ht="12" thickBot="1" x14ac:dyDescent="0.25">
      <c r="A231" s="152">
        <v>10090161</v>
      </c>
      <c r="B231" s="10" t="s">
        <v>1288</v>
      </c>
      <c r="C231" s="12" t="s">
        <v>1289</v>
      </c>
      <c r="D231" s="11" t="s">
        <v>640</v>
      </c>
      <c r="E231" s="12" t="s">
        <v>772</v>
      </c>
      <c r="F231" s="13">
        <v>24</v>
      </c>
      <c r="G231" s="22">
        <f>Overview!$B$19</f>
        <v>30</v>
      </c>
      <c r="H231" s="23">
        <f t="shared" si="46"/>
        <v>30</v>
      </c>
      <c r="I231" s="23">
        <f>Overview!$E$19</f>
        <v>0</v>
      </c>
      <c r="J231" s="52">
        <f t="shared" si="47"/>
        <v>0</v>
      </c>
      <c r="K231" s="53">
        <f>Overview!$H$19</f>
        <v>0</v>
      </c>
      <c r="L231" s="54" t="e">
        <f t="shared" si="48"/>
        <v>#DIV/0!</v>
      </c>
      <c r="M231" s="179"/>
      <c r="N231" s="179" t="s">
        <v>966</v>
      </c>
      <c r="O231" s="141">
        <f t="shared" si="49"/>
        <v>0</v>
      </c>
      <c r="P231" s="181" t="b">
        <f>COUNTIF('Facility Data'!$A$1:$A$1500,"*"&amp;A231&amp;"*")&gt;0</f>
        <v>1</v>
      </c>
      <c r="Q231" s="181" t="b">
        <f>COUNTIF('Account Data'!$A$1:$A$1000,"*"&amp;A231&amp;"*")&gt;0</f>
        <v>0</v>
      </c>
      <c r="R231" s="182" t="b">
        <f t="shared" si="50"/>
        <v>1</v>
      </c>
      <c r="S231" s="182" t="b">
        <f t="shared" si="51"/>
        <v>0</v>
      </c>
      <c r="T231" s="181" t="b">
        <f>COUNTIF('New Items'!$A$1:$A$175,A231)&gt;0</f>
        <v>0</v>
      </c>
      <c r="U231" s="181" t="b">
        <f>COUNTIF(Discontinued!$A$1:$A$150,A231)&gt;0</f>
        <v>0</v>
      </c>
    </row>
    <row r="232" spans="1:21" s="8" customFormat="1" ht="13.5" thickBot="1" x14ac:dyDescent="0.25">
      <c r="A232" s="300" t="s">
        <v>287</v>
      </c>
      <c r="B232" s="301"/>
      <c r="C232" s="301"/>
      <c r="D232" s="301"/>
      <c r="E232" s="301"/>
      <c r="F232" s="301"/>
      <c r="G232" s="301"/>
      <c r="H232" s="301"/>
      <c r="I232" s="301"/>
      <c r="J232" s="301"/>
      <c r="K232" s="301"/>
      <c r="L232" s="302"/>
      <c r="M232" s="179" t="s">
        <v>4361</v>
      </c>
      <c r="N232" s="179" t="s">
        <v>3138</v>
      </c>
      <c r="O232" s="141">
        <f>AVERAGE(O233:O252)</f>
        <v>0</v>
      </c>
      <c r="P232" s="181" t="b">
        <f>COUNTIF(P233:P252,TRUE)&gt;0</f>
        <v>1</v>
      </c>
      <c r="Q232" s="181" t="b">
        <f>COUNTIF(Q233:Q252,TRUE)&gt;0</f>
        <v>1</v>
      </c>
      <c r="R232" s="181" t="b">
        <f>COUNTIF(R233:R252,TRUE)&gt;0</f>
        <v>1</v>
      </c>
      <c r="S232" s="181" t="b">
        <f>COUNTIF(S233:S252,TRUE)&gt;0</f>
        <v>1</v>
      </c>
      <c r="T232" s="181" t="b">
        <f>COUNTIF(T233:T252,TRUE)&gt;0</f>
        <v>0</v>
      </c>
      <c r="U232" s="181"/>
    </row>
    <row r="233" spans="1:21" s="8" customFormat="1" ht="11.25" x14ac:dyDescent="0.2">
      <c r="A233" s="152">
        <v>10002278</v>
      </c>
      <c r="B233" s="10" t="s">
        <v>288</v>
      </c>
      <c r="C233" s="12" t="s">
        <v>289</v>
      </c>
      <c r="D233" s="11" t="s">
        <v>629</v>
      </c>
      <c r="E233" s="12" t="s">
        <v>769</v>
      </c>
      <c r="F233" s="13">
        <v>3</v>
      </c>
      <c r="G233" s="22">
        <f>Overview!$B$20</f>
        <v>18</v>
      </c>
      <c r="H233" s="114">
        <f t="shared" ref="H233:H252" si="52">G233-I233</f>
        <v>18</v>
      </c>
      <c r="I233" s="114">
        <f>Overview!$E$20</f>
        <v>0</v>
      </c>
      <c r="J233" s="115">
        <f t="shared" ref="J233:J252" si="53">I233/F233</f>
        <v>0</v>
      </c>
      <c r="K233" s="116">
        <f>Overview!$H$20</f>
        <v>0</v>
      </c>
      <c r="L233" s="117" t="e">
        <f t="shared" ref="L233:L252" si="54">(K233-J233)/K233</f>
        <v>#DIV/0!</v>
      </c>
      <c r="M233" s="179" t="s">
        <v>951</v>
      </c>
      <c r="N233" s="179" t="s">
        <v>3138</v>
      </c>
      <c r="O233" s="141">
        <f>I233</f>
        <v>0</v>
      </c>
      <c r="P233" s="181" t="b">
        <f>COUNTIF('Facility Data'!$A$1:$A$1500,"*"&amp;A233&amp;"*")&gt;0</f>
        <v>0</v>
      </c>
      <c r="Q233" s="181" t="b">
        <f>COUNTIF('Account Data'!$A$1:$A$1000,"*"&amp;A233&amp;"*")&gt;0</f>
        <v>1</v>
      </c>
      <c r="R233" s="182" t="b">
        <f t="shared" ref="R233:R252" si="55">IF(OR(P233=TRUE,T233=TRUE),TRUE,FALSE)</f>
        <v>0</v>
      </c>
      <c r="S233" s="182" t="b">
        <f t="shared" ref="S233:S252" si="56">IF(OR(Q233=TRUE,T233=TRUE),TRUE,FALSE)</f>
        <v>1</v>
      </c>
      <c r="T233" s="181" t="b">
        <f>COUNTIF('New Items'!$A$1:$A$175,A233)&gt;0</f>
        <v>0</v>
      </c>
      <c r="U233" s="181" t="b">
        <f>COUNTIF(Discontinued!$A$1:$A$150,A233)&gt;0</f>
        <v>0</v>
      </c>
    </row>
    <row r="234" spans="1:21" s="8" customFormat="1" ht="11.25" x14ac:dyDescent="0.2">
      <c r="A234" s="152">
        <v>10120325</v>
      </c>
      <c r="B234" s="10" t="s">
        <v>2949</v>
      </c>
      <c r="C234" s="12" t="s">
        <v>289</v>
      </c>
      <c r="D234" s="11" t="s">
        <v>2951</v>
      </c>
      <c r="E234" s="12" t="s">
        <v>769</v>
      </c>
      <c r="F234" s="13">
        <v>3</v>
      </c>
      <c r="G234" s="22">
        <f>Overview!$B$20</f>
        <v>18</v>
      </c>
      <c r="H234" s="114">
        <f t="shared" si="52"/>
        <v>18</v>
      </c>
      <c r="I234" s="114">
        <f>Overview!$E$20</f>
        <v>0</v>
      </c>
      <c r="J234" s="115">
        <f t="shared" si="53"/>
        <v>0</v>
      </c>
      <c r="K234" s="116">
        <f>Overview!$H$20</f>
        <v>0</v>
      </c>
      <c r="L234" s="117" t="e">
        <f t="shared" si="54"/>
        <v>#DIV/0!</v>
      </c>
      <c r="M234" s="179" t="s">
        <v>3393</v>
      </c>
      <c r="N234" s="179" t="s">
        <v>3138</v>
      </c>
      <c r="O234" s="141">
        <f>I234</f>
        <v>0</v>
      </c>
      <c r="P234" s="181" t="b">
        <f>COUNTIF('Facility Data'!$A$1:$A$1500,"*"&amp;A234&amp;"*")&gt;0</f>
        <v>0</v>
      </c>
      <c r="Q234" s="181" t="b">
        <f>COUNTIF('Account Data'!$A$1:$A$1000,"*"&amp;A234&amp;"*")&gt;0</f>
        <v>0</v>
      </c>
      <c r="R234" s="182" t="b">
        <f t="shared" si="55"/>
        <v>0</v>
      </c>
      <c r="S234" s="182" t="b">
        <f t="shared" si="56"/>
        <v>0</v>
      </c>
      <c r="T234" s="181" t="b">
        <f>COUNTIF('New Items'!$A$1:$A$175,A234)&gt;0</f>
        <v>0</v>
      </c>
      <c r="U234" s="181" t="b">
        <f>COUNTIF(Discontinued!$A$1:$A$150,A234)&gt;0</f>
        <v>0</v>
      </c>
    </row>
    <row r="235" spans="1:21" s="8" customFormat="1" ht="11.25" x14ac:dyDescent="0.2">
      <c r="A235" s="152">
        <v>10000689</v>
      </c>
      <c r="B235" s="10" t="s">
        <v>2953</v>
      </c>
      <c r="C235" s="12" t="s">
        <v>2954</v>
      </c>
      <c r="D235" s="11" t="s">
        <v>2955</v>
      </c>
      <c r="E235" s="12" t="s">
        <v>769</v>
      </c>
      <c r="F235" s="13">
        <v>3</v>
      </c>
      <c r="G235" s="22">
        <f>Overview!$B$20</f>
        <v>18</v>
      </c>
      <c r="H235" s="114">
        <f t="shared" si="52"/>
        <v>18</v>
      </c>
      <c r="I235" s="114">
        <f>Overview!$E$20</f>
        <v>0</v>
      </c>
      <c r="J235" s="115">
        <f t="shared" si="53"/>
        <v>0</v>
      </c>
      <c r="K235" s="116">
        <f>Overview!$H$20</f>
        <v>0</v>
      </c>
      <c r="L235" s="117" t="e">
        <f t="shared" si="54"/>
        <v>#DIV/0!</v>
      </c>
      <c r="M235" s="179" t="s">
        <v>951</v>
      </c>
      <c r="N235" s="179" t="s">
        <v>3138</v>
      </c>
      <c r="O235" s="141">
        <f>I235</f>
        <v>0</v>
      </c>
      <c r="P235" s="181" t="b">
        <f>COUNTIF('Facility Data'!$A$1:$A$1500,"*"&amp;A235&amp;"*")&gt;0</f>
        <v>0</v>
      </c>
      <c r="Q235" s="181" t="b">
        <f>COUNTIF('Account Data'!$A$1:$A$1000,"*"&amp;A235&amp;"*")&gt;0</f>
        <v>0</v>
      </c>
      <c r="R235" s="182" t="b">
        <f t="shared" si="55"/>
        <v>0</v>
      </c>
      <c r="S235" s="182" t="b">
        <f t="shared" si="56"/>
        <v>0</v>
      </c>
      <c r="T235" s="181" t="b">
        <f>COUNTIF('New Items'!$A$1:$A$175,A235)&gt;0</f>
        <v>0</v>
      </c>
      <c r="U235" s="181" t="b">
        <f>COUNTIF(Discontinued!$A$1:$A$150,A235)&gt;0</f>
        <v>0</v>
      </c>
    </row>
    <row r="236" spans="1:21" s="8" customFormat="1" ht="11.25" x14ac:dyDescent="0.2">
      <c r="A236" s="152">
        <v>10002280</v>
      </c>
      <c r="B236" s="10" t="s">
        <v>290</v>
      </c>
      <c r="C236" s="12" t="s">
        <v>291</v>
      </c>
      <c r="D236" s="11" t="s">
        <v>631</v>
      </c>
      <c r="E236" s="12" t="s">
        <v>769</v>
      </c>
      <c r="F236" s="13">
        <v>3</v>
      </c>
      <c r="G236" s="22">
        <f>Overview!$B$20</f>
        <v>18</v>
      </c>
      <c r="H236" s="114">
        <f t="shared" si="52"/>
        <v>18</v>
      </c>
      <c r="I236" s="114">
        <f>Overview!$E$20</f>
        <v>0</v>
      </c>
      <c r="J236" s="115">
        <f t="shared" si="53"/>
        <v>0</v>
      </c>
      <c r="K236" s="116">
        <f>Overview!$H$20</f>
        <v>0</v>
      </c>
      <c r="L236" s="117" t="e">
        <f t="shared" si="54"/>
        <v>#DIV/0!</v>
      </c>
      <c r="M236" s="179" t="s">
        <v>951</v>
      </c>
      <c r="N236" s="179" t="s">
        <v>3138</v>
      </c>
      <c r="O236" s="141">
        <f>I236</f>
        <v>0</v>
      </c>
      <c r="P236" s="181" t="b">
        <f>COUNTIF('Facility Data'!$A$1:$A$1500,"*"&amp;A236&amp;"*")&gt;0</f>
        <v>0</v>
      </c>
      <c r="Q236" s="181" t="b">
        <f>COUNTIF('Account Data'!$A$1:$A$1000,"*"&amp;A236&amp;"*")&gt;0</f>
        <v>1</v>
      </c>
      <c r="R236" s="182" t="b">
        <f t="shared" si="55"/>
        <v>0</v>
      </c>
      <c r="S236" s="182" t="b">
        <f t="shared" si="56"/>
        <v>1</v>
      </c>
      <c r="T236" s="181" t="b">
        <f>COUNTIF('New Items'!$A$1:$A$175,A236)&gt;0</f>
        <v>0</v>
      </c>
      <c r="U236" s="181" t="b">
        <f>COUNTIF(Discontinued!$A$1:$A$150,A236)&gt;0</f>
        <v>0</v>
      </c>
    </row>
    <row r="237" spans="1:21" s="8" customFormat="1" ht="11.25" x14ac:dyDescent="0.2">
      <c r="A237" s="152">
        <v>10120324</v>
      </c>
      <c r="B237" s="10" t="s">
        <v>2950</v>
      </c>
      <c r="C237" s="12" t="s">
        <v>291</v>
      </c>
      <c r="D237" s="11" t="s">
        <v>2952</v>
      </c>
      <c r="E237" s="12" t="s">
        <v>769</v>
      </c>
      <c r="F237" s="13">
        <v>3</v>
      </c>
      <c r="G237" s="22">
        <f>Overview!$B$20</f>
        <v>18</v>
      </c>
      <c r="H237" s="114">
        <f t="shared" si="52"/>
        <v>18</v>
      </c>
      <c r="I237" s="114">
        <f>Overview!$E$20</f>
        <v>0</v>
      </c>
      <c r="J237" s="115">
        <f t="shared" si="53"/>
        <v>0</v>
      </c>
      <c r="K237" s="116">
        <f>Overview!$H$20</f>
        <v>0</v>
      </c>
      <c r="L237" s="117" t="e">
        <f t="shared" si="54"/>
        <v>#DIV/0!</v>
      </c>
      <c r="M237" s="179" t="s">
        <v>3393</v>
      </c>
      <c r="N237" s="179" t="s">
        <v>3138</v>
      </c>
      <c r="O237" s="141">
        <f>I237</f>
        <v>0</v>
      </c>
      <c r="P237" s="181" t="b">
        <f>COUNTIF('Facility Data'!$A$1:$A$1500,"*"&amp;A237&amp;"*")&gt;0</f>
        <v>0</v>
      </c>
      <c r="Q237" s="181" t="b">
        <f>COUNTIF('Account Data'!$A$1:$A$1000,"*"&amp;A237&amp;"*")&gt;0</f>
        <v>0</v>
      </c>
      <c r="R237" s="182" t="b">
        <f t="shared" si="55"/>
        <v>0</v>
      </c>
      <c r="S237" s="182" t="b">
        <f t="shared" si="56"/>
        <v>0</v>
      </c>
      <c r="T237" s="181" t="b">
        <f>COUNTIF('New Items'!$A$1:$A$175,A237)&gt;0</f>
        <v>0</v>
      </c>
      <c r="U237" s="181" t="b">
        <f>COUNTIF(Discontinued!$A$1:$A$150,A237)&gt;0</f>
        <v>0</v>
      </c>
    </row>
    <row r="238" spans="1:21" s="8" customFormat="1" ht="11.25" x14ac:dyDescent="0.2">
      <c r="A238" s="152">
        <v>10000690</v>
      </c>
      <c r="B238" s="10" t="s">
        <v>2956</v>
      </c>
      <c r="C238" s="12" t="s">
        <v>2957</v>
      </c>
      <c r="D238" s="11" t="s">
        <v>2958</v>
      </c>
      <c r="E238" s="12" t="s">
        <v>769</v>
      </c>
      <c r="F238" s="13">
        <v>3</v>
      </c>
      <c r="G238" s="22">
        <f>Overview!$B$20</f>
        <v>18</v>
      </c>
      <c r="H238" s="114">
        <f t="shared" si="52"/>
        <v>18</v>
      </c>
      <c r="I238" s="114">
        <f>Overview!$E$20</f>
        <v>0</v>
      </c>
      <c r="J238" s="115">
        <f t="shared" si="53"/>
        <v>0</v>
      </c>
      <c r="K238" s="116">
        <f>Overview!$H$20</f>
        <v>0</v>
      </c>
      <c r="L238" s="117" t="e">
        <f t="shared" si="54"/>
        <v>#DIV/0!</v>
      </c>
      <c r="M238" s="179" t="s">
        <v>951</v>
      </c>
      <c r="N238" s="179" t="s">
        <v>3138</v>
      </c>
      <c r="O238" s="141">
        <f t="shared" ref="O238:O252" si="57">I238</f>
        <v>0</v>
      </c>
      <c r="P238" s="181" t="b">
        <f>COUNTIF('Facility Data'!$A$1:$A$1500,"*"&amp;A238&amp;"*")&gt;0</f>
        <v>0</v>
      </c>
      <c r="Q238" s="181" t="b">
        <f>COUNTIF('Account Data'!$A$1:$A$1000,"*"&amp;A238&amp;"*")&gt;0</f>
        <v>0</v>
      </c>
      <c r="R238" s="182" t="b">
        <f t="shared" si="55"/>
        <v>0</v>
      </c>
      <c r="S238" s="182" t="b">
        <f t="shared" si="56"/>
        <v>0</v>
      </c>
      <c r="T238" s="181" t="b">
        <f>COUNTIF('New Items'!$A$1:$A$175,A238)&gt;0</f>
        <v>0</v>
      </c>
      <c r="U238" s="181" t="b">
        <f>COUNTIF(Discontinued!$A$1:$A$150,A238)&gt;0</f>
        <v>0</v>
      </c>
    </row>
    <row r="239" spans="1:21" s="8" customFormat="1" ht="11.25" x14ac:dyDescent="0.2">
      <c r="A239" s="152">
        <v>10002282</v>
      </c>
      <c r="B239" s="10" t="s">
        <v>292</v>
      </c>
      <c r="C239" s="12" t="s">
        <v>293</v>
      </c>
      <c r="D239" s="11" t="s">
        <v>643</v>
      </c>
      <c r="E239" s="12" t="s">
        <v>769</v>
      </c>
      <c r="F239" s="13">
        <v>3</v>
      </c>
      <c r="G239" s="22">
        <f>Overview!$B$20</f>
        <v>18</v>
      </c>
      <c r="H239" s="114">
        <f t="shared" si="52"/>
        <v>18</v>
      </c>
      <c r="I239" s="114">
        <f>Overview!$E$20</f>
        <v>0</v>
      </c>
      <c r="J239" s="115">
        <f t="shared" si="53"/>
        <v>0</v>
      </c>
      <c r="K239" s="116">
        <f>Overview!$H$20</f>
        <v>0</v>
      </c>
      <c r="L239" s="117" t="e">
        <f t="shared" si="54"/>
        <v>#DIV/0!</v>
      </c>
      <c r="M239" s="179"/>
      <c r="N239" s="179" t="s">
        <v>3138</v>
      </c>
      <c r="O239" s="141">
        <f>I239</f>
        <v>0</v>
      </c>
      <c r="P239" s="181" t="b">
        <f>COUNTIF('Facility Data'!$A$1:$A$1500,"*"&amp;A239&amp;"*")&gt;0</f>
        <v>1</v>
      </c>
      <c r="Q239" s="181" t="b">
        <f>COUNTIF('Account Data'!$A$1:$A$1000,"*"&amp;A239&amp;"*")&gt;0</f>
        <v>1</v>
      </c>
      <c r="R239" s="182" t="b">
        <f t="shared" si="55"/>
        <v>1</v>
      </c>
      <c r="S239" s="182" t="b">
        <f t="shared" si="56"/>
        <v>1</v>
      </c>
      <c r="T239" s="181" t="b">
        <f>COUNTIF('New Items'!$A$1:$A$175,A239)&gt;0</f>
        <v>0</v>
      </c>
      <c r="U239" s="181" t="b">
        <f>COUNTIF(Discontinued!$A$1:$A$150,A239)&gt;0</f>
        <v>0</v>
      </c>
    </row>
    <row r="240" spans="1:21" s="8" customFormat="1" ht="11.25" x14ac:dyDescent="0.2">
      <c r="A240" s="152">
        <v>10120327</v>
      </c>
      <c r="B240" s="10" t="s">
        <v>2859</v>
      </c>
      <c r="C240" s="12" t="s">
        <v>293</v>
      </c>
      <c r="D240" s="11" t="s">
        <v>2861</v>
      </c>
      <c r="E240" s="12" t="s">
        <v>769</v>
      </c>
      <c r="F240" s="13">
        <v>3</v>
      </c>
      <c r="G240" s="22">
        <f>Overview!$B$20</f>
        <v>18</v>
      </c>
      <c r="H240" s="114">
        <f t="shared" si="52"/>
        <v>18</v>
      </c>
      <c r="I240" s="114">
        <f>Overview!$E$20</f>
        <v>0</v>
      </c>
      <c r="J240" s="115">
        <f t="shared" si="53"/>
        <v>0</v>
      </c>
      <c r="K240" s="116">
        <f>Overview!$H$20</f>
        <v>0</v>
      </c>
      <c r="L240" s="117" t="e">
        <f t="shared" si="54"/>
        <v>#DIV/0!</v>
      </c>
      <c r="M240" s="179" t="s">
        <v>1000</v>
      </c>
      <c r="N240" s="179" t="s">
        <v>3138</v>
      </c>
      <c r="O240" s="141">
        <f t="shared" si="57"/>
        <v>0</v>
      </c>
      <c r="P240" s="181" t="b">
        <f>COUNTIF('Facility Data'!$A$1:$A$1500,"*"&amp;A240&amp;"*")&gt;0</f>
        <v>0</v>
      </c>
      <c r="Q240" s="181" t="b">
        <f>COUNTIF('Account Data'!$A$1:$A$1000,"*"&amp;A240&amp;"*")&gt;0</f>
        <v>0</v>
      </c>
      <c r="R240" s="182" t="b">
        <f t="shared" si="55"/>
        <v>0</v>
      </c>
      <c r="S240" s="182" t="b">
        <f t="shared" si="56"/>
        <v>0</v>
      </c>
      <c r="T240" s="181" t="b">
        <f>COUNTIF('New Items'!$A$1:$A$175,A240)&gt;0</f>
        <v>0</v>
      </c>
      <c r="U240" s="181" t="b">
        <f>COUNTIF(Discontinued!$A$1:$A$150,A240)&gt;0</f>
        <v>0</v>
      </c>
    </row>
    <row r="241" spans="1:21" s="8" customFormat="1" ht="11.25" x14ac:dyDescent="0.2">
      <c r="A241" s="152">
        <v>10002283</v>
      </c>
      <c r="B241" s="10" t="s">
        <v>4765</v>
      </c>
      <c r="C241" s="12" t="s">
        <v>295</v>
      </c>
      <c r="D241" s="11" t="s">
        <v>4733</v>
      </c>
      <c r="E241" s="12" t="s">
        <v>769</v>
      </c>
      <c r="F241" s="13">
        <v>3</v>
      </c>
      <c r="G241" s="22">
        <f>Overview!$B$20</f>
        <v>18</v>
      </c>
      <c r="H241" s="114">
        <f>G241-I241</f>
        <v>18</v>
      </c>
      <c r="I241" s="114">
        <f>Overview!$E$20</f>
        <v>0</v>
      </c>
      <c r="J241" s="115">
        <f>I241/F241</f>
        <v>0</v>
      </c>
      <c r="K241" s="116">
        <f>Overview!$H$20</f>
        <v>0</v>
      </c>
      <c r="L241" s="117" t="e">
        <f>(K241-J241)/K241</f>
        <v>#DIV/0!</v>
      </c>
      <c r="M241" s="179"/>
      <c r="N241" s="179" t="s">
        <v>3138</v>
      </c>
      <c r="O241" s="141">
        <f>I241</f>
        <v>0</v>
      </c>
      <c r="P241" s="181" t="b">
        <f>COUNTIF('Facility Data'!$A$1:$A$1500,"*"&amp;A241&amp;"*")&gt;0</f>
        <v>1</v>
      </c>
      <c r="Q241" s="181" t="b">
        <f>COUNTIF('Account Data'!$A$1:$A$1000,"*"&amp;A241&amp;"*")&gt;0</f>
        <v>1</v>
      </c>
      <c r="R241" s="182" t="b">
        <f>IF(OR(P241=TRUE,T241=TRUE),TRUE,FALSE)</f>
        <v>1</v>
      </c>
      <c r="S241" s="182" t="b">
        <f>IF(OR(Q241=TRUE,T241=TRUE),TRUE,FALSE)</f>
        <v>1</v>
      </c>
      <c r="T241" s="181" t="b">
        <f>COUNTIF('New Items'!$A$1:$A$175,A241)&gt;0</f>
        <v>0</v>
      </c>
      <c r="U241" s="181" t="b">
        <f>COUNTIF(Discontinued!$A$1:$A$150,A241)&gt;0</f>
        <v>0</v>
      </c>
    </row>
    <row r="242" spans="1:21" s="8" customFormat="1" ht="11.25" x14ac:dyDescent="0.2">
      <c r="A242" s="152">
        <v>10120323</v>
      </c>
      <c r="B242" s="10" t="s">
        <v>4793</v>
      </c>
      <c r="C242" s="12" t="s">
        <v>295</v>
      </c>
      <c r="D242" s="11" t="s">
        <v>4794</v>
      </c>
      <c r="E242" s="12" t="s">
        <v>769</v>
      </c>
      <c r="F242" s="13">
        <v>3</v>
      </c>
      <c r="G242" s="22">
        <f>Overview!$B$20</f>
        <v>18</v>
      </c>
      <c r="H242" s="114">
        <f t="shared" si="52"/>
        <v>18</v>
      </c>
      <c r="I242" s="114">
        <f>Overview!$E$20</f>
        <v>0</v>
      </c>
      <c r="J242" s="115">
        <f t="shared" si="53"/>
        <v>0</v>
      </c>
      <c r="K242" s="116">
        <f>Overview!$H$20</f>
        <v>0</v>
      </c>
      <c r="L242" s="117" t="e">
        <f t="shared" si="54"/>
        <v>#DIV/0!</v>
      </c>
      <c r="M242" s="179" t="s">
        <v>1000</v>
      </c>
      <c r="N242" s="179" t="s">
        <v>3138</v>
      </c>
      <c r="O242" s="141">
        <f t="shared" si="57"/>
        <v>0</v>
      </c>
      <c r="P242" s="181" t="b">
        <f>COUNTIF('Facility Data'!$A$1:$A$1500,"*"&amp;A242&amp;"*")&gt;0</f>
        <v>0</v>
      </c>
      <c r="Q242" s="181" t="b">
        <f>COUNTIF('Account Data'!$A$1:$A$1000,"*"&amp;A242&amp;"*")&gt;0</f>
        <v>0</v>
      </c>
      <c r="R242" s="182" t="b">
        <f t="shared" si="55"/>
        <v>0</v>
      </c>
      <c r="S242" s="182" t="b">
        <f t="shared" si="56"/>
        <v>0</v>
      </c>
      <c r="T242" s="181" t="b">
        <f>COUNTIF('New Items'!$A$1:$A$175,A242)&gt;0</f>
        <v>0</v>
      </c>
      <c r="U242" s="181" t="b">
        <f>COUNTIF(Discontinued!$A$1:$A$150,A242)&gt;0</f>
        <v>0</v>
      </c>
    </row>
    <row r="243" spans="1:21" s="8" customFormat="1" ht="11.25" x14ac:dyDescent="0.2">
      <c r="A243" s="152">
        <v>10002281</v>
      </c>
      <c r="B243" s="10" t="s">
        <v>296</v>
      </c>
      <c r="C243" s="12" t="s">
        <v>297</v>
      </c>
      <c r="D243" s="11" t="s">
        <v>645</v>
      </c>
      <c r="E243" s="12" t="s">
        <v>769</v>
      </c>
      <c r="F243" s="13">
        <v>3</v>
      </c>
      <c r="G243" s="22">
        <f>Overview!$B$20</f>
        <v>18</v>
      </c>
      <c r="H243" s="114">
        <f t="shared" si="52"/>
        <v>18</v>
      </c>
      <c r="I243" s="114">
        <f>Overview!$E$20</f>
        <v>0</v>
      </c>
      <c r="J243" s="115">
        <f t="shared" si="53"/>
        <v>0</v>
      </c>
      <c r="K243" s="116">
        <f>Overview!$H$20</f>
        <v>0</v>
      </c>
      <c r="L243" s="117" t="e">
        <f t="shared" si="54"/>
        <v>#DIV/0!</v>
      </c>
      <c r="M243" s="179" t="s">
        <v>4406</v>
      </c>
      <c r="N243" s="179" t="s">
        <v>3138</v>
      </c>
      <c r="O243" s="141">
        <f t="shared" si="57"/>
        <v>0</v>
      </c>
      <c r="P243" s="181" t="b">
        <f>COUNTIF('Facility Data'!$A$1:$A$1500,"*"&amp;A243&amp;"*")&gt;0</f>
        <v>1</v>
      </c>
      <c r="Q243" s="181" t="b">
        <f>COUNTIF('Account Data'!$A$1:$A$1000,"*"&amp;A243&amp;"*")&gt;0</f>
        <v>0</v>
      </c>
      <c r="R243" s="182" t="b">
        <f t="shared" si="55"/>
        <v>1</v>
      </c>
      <c r="S243" s="182" t="b">
        <f t="shared" si="56"/>
        <v>0</v>
      </c>
      <c r="T243" s="181" t="b">
        <f>COUNTIF('New Items'!$A$1:$A$175,A243)&gt;0</f>
        <v>0</v>
      </c>
      <c r="U243" s="181" t="b">
        <f>COUNTIF(Discontinued!$A$1:$A$150,A243)&gt;0</f>
        <v>0</v>
      </c>
    </row>
    <row r="244" spans="1:21" s="8" customFormat="1" ht="11.25" x14ac:dyDescent="0.2">
      <c r="A244" s="152">
        <v>10089655</v>
      </c>
      <c r="B244" s="10" t="s">
        <v>4766</v>
      </c>
      <c r="C244" s="12" t="s">
        <v>299</v>
      </c>
      <c r="D244" s="11" t="s">
        <v>4735</v>
      </c>
      <c r="E244" s="12" t="s">
        <v>769</v>
      </c>
      <c r="F244" s="13">
        <v>3</v>
      </c>
      <c r="G244" s="22">
        <f>Overview!$B$20</f>
        <v>18</v>
      </c>
      <c r="H244" s="114">
        <f>G244-I244</f>
        <v>18</v>
      </c>
      <c r="I244" s="114">
        <f>Overview!$E$20</f>
        <v>0</v>
      </c>
      <c r="J244" s="115">
        <f>I244/F244</f>
        <v>0</v>
      </c>
      <c r="K244" s="116">
        <f>Overview!$H$20</f>
        <v>0</v>
      </c>
      <c r="L244" s="117" t="e">
        <f>(K244-J244)/K244</f>
        <v>#DIV/0!</v>
      </c>
      <c r="M244" s="179" t="s">
        <v>4406</v>
      </c>
      <c r="N244" s="179" t="s">
        <v>3138</v>
      </c>
      <c r="O244" s="141">
        <f>I244</f>
        <v>0</v>
      </c>
      <c r="P244" s="181" t="b">
        <f>COUNTIF('Facility Data'!$A$1:$A$1500,"*"&amp;A244&amp;"*")&gt;0</f>
        <v>0</v>
      </c>
      <c r="Q244" s="181" t="b">
        <f>COUNTIF('Account Data'!$A$1:$A$1000,"*"&amp;A244&amp;"*")&gt;0</f>
        <v>0</v>
      </c>
      <c r="R244" s="182" t="b">
        <f>IF(OR(P244=TRUE,T244=TRUE),TRUE,FALSE)</f>
        <v>0</v>
      </c>
      <c r="S244" s="182" t="b">
        <f>IF(OR(Q244=TRUE,T244=TRUE),TRUE,FALSE)</f>
        <v>0</v>
      </c>
      <c r="T244" s="181" t="b">
        <f>COUNTIF('New Items'!$A$1:$A$175,A244)&gt;0</f>
        <v>0</v>
      </c>
      <c r="U244" s="181" t="b">
        <f>COUNTIF(Discontinued!$A$1:$A$150,A244)&gt;0</f>
        <v>0</v>
      </c>
    </row>
    <row r="245" spans="1:21" s="8" customFormat="1" ht="11.25" x14ac:dyDescent="0.2">
      <c r="A245" s="152">
        <v>10002285</v>
      </c>
      <c r="B245" s="10" t="s">
        <v>300</v>
      </c>
      <c r="C245" s="12" t="s">
        <v>301</v>
      </c>
      <c r="D245" s="11" t="s">
        <v>650</v>
      </c>
      <c r="E245" s="12" t="s">
        <v>769</v>
      </c>
      <c r="F245" s="13">
        <v>3</v>
      </c>
      <c r="G245" s="22">
        <f>Overview!$B$20</f>
        <v>18</v>
      </c>
      <c r="H245" s="114">
        <f t="shared" si="52"/>
        <v>18</v>
      </c>
      <c r="I245" s="114">
        <f>Overview!$E$20</f>
        <v>0</v>
      </c>
      <c r="J245" s="115">
        <f t="shared" si="53"/>
        <v>0</v>
      </c>
      <c r="K245" s="116">
        <f>Overview!$H$20</f>
        <v>0</v>
      </c>
      <c r="L245" s="117" t="e">
        <f t="shared" si="54"/>
        <v>#DIV/0!</v>
      </c>
      <c r="M245" s="179" t="s">
        <v>4369</v>
      </c>
      <c r="N245" s="179" t="s">
        <v>3138</v>
      </c>
      <c r="O245" s="141">
        <f t="shared" si="57"/>
        <v>0</v>
      </c>
      <c r="P245" s="181" t="b">
        <f>COUNTIF('Facility Data'!$A$1:$A$1500,"*"&amp;A245&amp;"*")&gt;0</f>
        <v>1</v>
      </c>
      <c r="Q245" s="181" t="b">
        <f>COUNTIF('Account Data'!$A$1:$A$1000,"*"&amp;A245&amp;"*")&gt;0</f>
        <v>1</v>
      </c>
      <c r="R245" s="182" t="b">
        <f t="shared" si="55"/>
        <v>1</v>
      </c>
      <c r="S245" s="182" t="b">
        <f t="shared" si="56"/>
        <v>1</v>
      </c>
      <c r="T245" s="181" t="b">
        <f>COUNTIF('New Items'!$A$1:$A$175,A245)&gt;0</f>
        <v>0</v>
      </c>
      <c r="U245" s="181" t="b">
        <f>COUNTIF(Discontinued!$A$1:$A$150,A245)&gt;0</f>
        <v>0</v>
      </c>
    </row>
    <row r="246" spans="1:21" s="8" customFormat="1" ht="11.25" x14ac:dyDescent="0.2">
      <c r="A246" s="152">
        <v>10045978</v>
      </c>
      <c r="B246" s="10" t="s">
        <v>302</v>
      </c>
      <c r="C246" s="12" t="s">
        <v>303</v>
      </c>
      <c r="D246" s="11" t="s">
        <v>652</v>
      </c>
      <c r="E246" s="12" t="s">
        <v>769</v>
      </c>
      <c r="F246" s="13">
        <v>3</v>
      </c>
      <c r="G246" s="22">
        <f>Overview!$B$20</f>
        <v>18</v>
      </c>
      <c r="H246" s="114">
        <f t="shared" si="52"/>
        <v>18</v>
      </c>
      <c r="I246" s="114">
        <f>Overview!$E$20</f>
        <v>0</v>
      </c>
      <c r="J246" s="115">
        <f t="shared" si="53"/>
        <v>0</v>
      </c>
      <c r="K246" s="116">
        <f>Overview!$H$20</f>
        <v>0</v>
      </c>
      <c r="L246" s="117" t="e">
        <f t="shared" si="54"/>
        <v>#DIV/0!</v>
      </c>
      <c r="M246" s="179"/>
      <c r="N246" s="179" t="s">
        <v>3138</v>
      </c>
      <c r="O246" s="141">
        <f>I246</f>
        <v>0</v>
      </c>
      <c r="P246" s="181" t="b">
        <f>COUNTIF('Facility Data'!$A$1:$A$1500,"*"&amp;A246&amp;"*")&gt;0</f>
        <v>1</v>
      </c>
      <c r="Q246" s="181" t="b">
        <f>COUNTIF('Account Data'!$A$1:$A$1000,"*"&amp;A246&amp;"*")&gt;0</f>
        <v>1</v>
      </c>
      <c r="R246" s="182" t="b">
        <f t="shared" si="55"/>
        <v>1</v>
      </c>
      <c r="S246" s="182" t="b">
        <f t="shared" si="56"/>
        <v>1</v>
      </c>
      <c r="T246" s="181" t="b">
        <f>COUNTIF('New Items'!$A$1:$A$175,A246)&gt;0</f>
        <v>0</v>
      </c>
      <c r="U246" s="181" t="b">
        <f>COUNTIF(Discontinued!$A$1:$A$150,A246)&gt;0</f>
        <v>0</v>
      </c>
    </row>
    <row r="247" spans="1:21" s="8" customFormat="1" ht="11.25" x14ac:dyDescent="0.2">
      <c r="A247" s="152">
        <v>10120326</v>
      </c>
      <c r="B247" s="10" t="s">
        <v>2929</v>
      </c>
      <c r="C247" s="12" t="s">
        <v>303</v>
      </c>
      <c r="D247" s="11" t="s">
        <v>2930</v>
      </c>
      <c r="E247" s="12" t="s">
        <v>769</v>
      </c>
      <c r="F247" s="13">
        <v>3</v>
      </c>
      <c r="G247" s="22">
        <f>Overview!$B$20</f>
        <v>18</v>
      </c>
      <c r="H247" s="114">
        <f t="shared" si="52"/>
        <v>18</v>
      </c>
      <c r="I247" s="114">
        <f>Overview!$E$20</f>
        <v>0</v>
      </c>
      <c r="J247" s="115">
        <f t="shared" si="53"/>
        <v>0</v>
      </c>
      <c r="K247" s="116">
        <f>Overview!$H$20</f>
        <v>0</v>
      </c>
      <c r="L247" s="117" t="e">
        <f t="shared" si="54"/>
        <v>#DIV/0!</v>
      </c>
      <c r="M247" s="179" t="s">
        <v>1000</v>
      </c>
      <c r="N247" s="179" t="s">
        <v>3138</v>
      </c>
      <c r="O247" s="141">
        <f t="shared" si="57"/>
        <v>0</v>
      </c>
      <c r="P247" s="181" t="b">
        <f>COUNTIF('Facility Data'!$A$1:$A$1500,"*"&amp;A247&amp;"*")&gt;0</f>
        <v>0</v>
      </c>
      <c r="Q247" s="181" t="b">
        <f>COUNTIF('Account Data'!$A$1:$A$1000,"*"&amp;A247&amp;"*")&gt;0</f>
        <v>0</v>
      </c>
      <c r="R247" s="182" t="b">
        <f t="shared" si="55"/>
        <v>0</v>
      </c>
      <c r="S247" s="182" t="b">
        <f t="shared" si="56"/>
        <v>0</v>
      </c>
      <c r="T247" s="181" t="b">
        <f>COUNTIF('New Items'!$A$1:$A$175,A247)&gt;0</f>
        <v>0</v>
      </c>
      <c r="U247" s="181" t="b">
        <f>COUNTIF(Discontinued!$A$1:$A$150,A247)&gt;0</f>
        <v>0</v>
      </c>
    </row>
    <row r="248" spans="1:21" s="8" customFormat="1" ht="11.25" x14ac:dyDescent="0.2">
      <c r="A248" s="152">
        <v>10083872</v>
      </c>
      <c r="B248" s="10" t="s">
        <v>4767</v>
      </c>
      <c r="C248" s="12" t="s">
        <v>2686</v>
      </c>
      <c r="D248" s="11" t="s">
        <v>4737</v>
      </c>
      <c r="E248" s="12" t="s">
        <v>769</v>
      </c>
      <c r="F248" s="13">
        <v>3</v>
      </c>
      <c r="G248" s="22">
        <f>Overview!$B$20</f>
        <v>18</v>
      </c>
      <c r="H248" s="114">
        <f>G248-I248</f>
        <v>18</v>
      </c>
      <c r="I248" s="114">
        <f>Overview!$E$20</f>
        <v>0</v>
      </c>
      <c r="J248" s="115">
        <f>I248/F248</f>
        <v>0</v>
      </c>
      <c r="K248" s="116">
        <f>Overview!$H$20</f>
        <v>0</v>
      </c>
      <c r="L248" s="117" t="e">
        <f>(K248-J248)/K248</f>
        <v>#DIV/0!</v>
      </c>
      <c r="M248" s="179"/>
      <c r="N248" s="179" t="s">
        <v>3138</v>
      </c>
      <c r="O248" s="141">
        <f>I248</f>
        <v>0</v>
      </c>
      <c r="P248" s="181" t="b">
        <f>COUNTIF('Facility Data'!$A$1:$A$1500,"*"&amp;A248&amp;"*")&gt;0</f>
        <v>0</v>
      </c>
      <c r="Q248" s="181" t="b">
        <f>COUNTIF('Account Data'!$A$1:$A$1000,"*"&amp;A248&amp;"*")&gt;0</f>
        <v>0</v>
      </c>
      <c r="R248" s="182" t="b">
        <f>IF(OR(P248=TRUE,T248=TRUE),TRUE,FALSE)</f>
        <v>0</v>
      </c>
      <c r="S248" s="182" t="b">
        <f>IF(OR(Q248=TRUE,T248=TRUE),TRUE,FALSE)</f>
        <v>0</v>
      </c>
      <c r="T248" s="181" t="b">
        <f>COUNTIF('New Items'!$A$1:$A$175,A248)&gt;0</f>
        <v>0</v>
      </c>
      <c r="U248" s="181" t="b">
        <f>COUNTIF(Discontinued!$A$1:$A$150,A248)&gt;0</f>
        <v>0</v>
      </c>
    </row>
    <row r="249" spans="1:21" s="8" customFormat="1" ht="11.25" x14ac:dyDescent="0.2">
      <c r="A249" s="152">
        <v>10032958</v>
      </c>
      <c r="B249" s="10" t="s">
        <v>2710</v>
      </c>
      <c r="C249" s="12" t="s">
        <v>2711</v>
      </c>
      <c r="D249" s="11" t="s">
        <v>4116</v>
      </c>
      <c r="E249" s="12" t="s">
        <v>769</v>
      </c>
      <c r="F249" s="13">
        <v>3</v>
      </c>
      <c r="G249" s="22">
        <f>Overview!$B$20</f>
        <v>18</v>
      </c>
      <c r="H249" s="114">
        <f t="shared" si="52"/>
        <v>18</v>
      </c>
      <c r="I249" s="114">
        <f>Overview!$E$20</f>
        <v>0</v>
      </c>
      <c r="J249" s="115">
        <f t="shared" si="53"/>
        <v>0</v>
      </c>
      <c r="K249" s="116">
        <f>Overview!$H$20</f>
        <v>0</v>
      </c>
      <c r="L249" s="117" t="e">
        <f t="shared" si="54"/>
        <v>#DIV/0!</v>
      </c>
      <c r="M249" s="179" t="s">
        <v>953</v>
      </c>
      <c r="N249" s="179" t="s">
        <v>3138</v>
      </c>
      <c r="O249" s="141">
        <f>I249</f>
        <v>0</v>
      </c>
      <c r="P249" s="181" t="b">
        <f>COUNTIF('Facility Data'!$A$1:$A$1500,"*"&amp;A249&amp;"*")&gt;0</f>
        <v>0</v>
      </c>
      <c r="Q249" s="181" t="b">
        <f>COUNTIF('Account Data'!$A$1:$A$1000,"*"&amp;A249&amp;"*")&gt;0</f>
        <v>0</v>
      </c>
      <c r="R249" s="182" t="b">
        <f t="shared" si="55"/>
        <v>0</v>
      </c>
      <c r="S249" s="182" t="b">
        <f t="shared" si="56"/>
        <v>0</v>
      </c>
      <c r="T249" s="181" t="b">
        <f>COUNTIF('New Items'!$A$1:$A$175,A249)&gt;0</f>
        <v>0</v>
      </c>
      <c r="U249" s="181" t="b">
        <f>COUNTIF(Discontinued!$A$1:$A$150,A249)&gt;0</f>
        <v>0</v>
      </c>
    </row>
    <row r="250" spans="1:21" s="8" customFormat="1" ht="11.25" x14ac:dyDescent="0.2">
      <c r="A250" s="152">
        <v>10032959</v>
      </c>
      <c r="B250" s="10" t="s">
        <v>4795</v>
      </c>
      <c r="C250" s="12" t="s">
        <v>2713</v>
      </c>
      <c r="D250" s="11" t="s">
        <v>4780</v>
      </c>
      <c r="E250" s="12" t="s">
        <v>769</v>
      </c>
      <c r="F250" s="13">
        <v>3</v>
      </c>
      <c r="G250" s="22">
        <f>Overview!$B$20</f>
        <v>18</v>
      </c>
      <c r="H250" s="114">
        <f t="shared" si="52"/>
        <v>18</v>
      </c>
      <c r="I250" s="114">
        <f>Overview!$E$20</f>
        <v>0</v>
      </c>
      <c r="J250" s="115">
        <f t="shared" si="53"/>
        <v>0</v>
      </c>
      <c r="K250" s="116">
        <f>Overview!$H$20</f>
        <v>0</v>
      </c>
      <c r="L250" s="117" t="e">
        <f t="shared" si="54"/>
        <v>#DIV/0!</v>
      </c>
      <c r="M250" s="179" t="s">
        <v>953</v>
      </c>
      <c r="N250" s="179" t="s">
        <v>3138</v>
      </c>
      <c r="O250" s="141">
        <f t="shared" si="57"/>
        <v>0</v>
      </c>
      <c r="P250" s="181" t="b">
        <f>COUNTIF('Facility Data'!$A$1:$A$1500,"*"&amp;A250&amp;"*")&gt;0</f>
        <v>0</v>
      </c>
      <c r="Q250" s="181" t="b">
        <f>COUNTIF('Account Data'!$A$1:$A$1000,"*"&amp;A250&amp;"*")&gt;0</f>
        <v>0</v>
      </c>
      <c r="R250" s="182" t="b">
        <f t="shared" si="55"/>
        <v>0</v>
      </c>
      <c r="S250" s="182" t="b">
        <f t="shared" si="56"/>
        <v>0</v>
      </c>
      <c r="T250" s="181" t="b">
        <f>COUNTIF('New Items'!$A$1:$A$175,A250)&gt;0</f>
        <v>0</v>
      </c>
      <c r="U250" s="181" t="b">
        <f>COUNTIF(Discontinued!$A$1:$A$150,A250)&gt;0</f>
        <v>0</v>
      </c>
    </row>
    <row r="251" spans="1:21" s="8" customFormat="1" ht="11.25" x14ac:dyDescent="0.2">
      <c r="A251" s="152">
        <v>10028020</v>
      </c>
      <c r="B251" s="10" t="s">
        <v>304</v>
      </c>
      <c r="C251" s="12" t="s">
        <v>305</v>
      </c>
      <c r="D251" s="11" t="s">
        <v>636</v>
      </c>
      <c r="E251" s="12" t="s">
        <v>769</v>
      </c>
      <c r="F251" s="13">
        <v>3</v>
      </c>
      <c r="G251" s="22">
        <f>Overview!$B$20</f>
        <v>18</v>
      </c>
      <c r="H251" s="114">
        <f t="shared" si="52"/>
        <v>18</v>
      </c>
      <c r="I251" s="114">
        <f>Overview!$E$20</f>
        <v>0</v>
      </c>
      <c r="J251" s="115">
        <f t="shared" si="53"/>
        <v>0</v>
      </c>
      <c r="K251" s="116">
        <f>Overview!$H$20</f>
        <v>0</v>
      </c>
      <c r="L251" s="117" t="e">
        <f t="shared" si="54"/>
        <v>#DIV/0!</v>
      </c>
      <c r="M251" s="179" t="s">
        <v>4370</v>
      </c>
      <c r="N251" s="179" t="s">
        <v>3138</v>
      </c>
      <c r="O251" s="141">
        <f t="shared" si="57"/>
        <v>0</v>
      </c>
      <c r="P251" s="181" t="b">
        <f>COUNTIF('Facility Data'!$A$1:$A$1500,"*"&amp;A251&amp;"*")&gt;0</f>
        <v>1</v>
      </c>
      <c r="Q251" s="181" t="b">
        <f>COUNTIF('Account Data'!$A$1:$A$1000,"*"&amp;A251&amp;"*")&gt;0</f>
        <v>1</v>
      </c>
      <c r="R251" s="182" t="b">
        <f t="shared" si="55"/>
        <v>1</v>
      </c>
      <c r="S251" s="182" t="b">
        <f t="shared" si="56"/>
        <v>1</v>
      </c>
      <c r="T251" s="181" t="b">
        <f>COUNTIF('New Items'!$A$1:$A$175,A251)&gt;0</f>
        <v>0</v>
      </c>
      <c r="U251" s="181" t="b">
        <f>COUNTIF(Discontinued!$A$1:$A$150,A251)&gt;0</f>
        <v>0</v>
      </c>
    </row>
    <row r="252" spans="1:21" s="8" customFormat="1" ht="12" thickBot="1" x14ac:dyDescent="0.25">
      <c r="A252" s="152">
        <v>10002284</v>
      </c>
      <c r="B252" s="10" t="s">
        <v>1437</v>
      </c>
      <c r="C252" s="12" t="s">
        <v>1438</v>
      </c>
      <c r="D252" s="11" t="s">
        <v>640</v>
      </c>
      <c r="E252" s="12" t="s">
        <v>769</v>
      </c>
      <c r="F252" s="13">
        <v>3</v>
      </c>
      <c r="G252" s="22">
        <f>Overview!$B$20</f>
        <v>18</v>
      </c>
      <c r="H252" s="114">
        <f t="shared" si="52"/>
        <v>18</v>
      </c>
      <c r="I252" s="114">
        <f>Overview!$E$20</f>
        <v>0</v>
      </c>
      <c r="J252" s="115">
        <f t="shared" si="53"/>
        <v>0</v>
      </c>
      <c r="K252" s="116">
        <f>Overview!$H$20</f>
        <v>0</v>
      </c>
      <c r="L252" s="117" t="e">
        <f t="shared" si="54"/>
        <v>#DIV/0!</v>
      </c>
      <c r="M252" s="179"/>
      <c r="N252" s="179" t="s">
        <v>3138</v>
      </c>
      <c r="O252" s="141">
        <f t="shared" si="57"/>
        <v>0</v>
      </c>
      <c r="P252" s="181" t="b">
        <f>COUNTIF('Facility Data'!$A$1:$A$1500,"*"&amp;A252&amp;"*")&gt;0</f>
        <v>1</v>
      </c>
      <c r="Q252" s="181" t="b">
        <f>COUNTIF('Account Data'!$A$1:$A$1000,"*"&amp;A252&amp;"*")&gt;0</f>
        <v>0</v>
      </c>
      <c r="R252" s="182" t="b">
        <f t="shared" si="55"/>
        <v>1</v>
      </c>
      <c r="S252" s="182" t="b">
        <f t="shared" si="56"/>
        <v>0</v>
      </c>
      <c r="T252" s="181" t="b">
        <f>COUNTIF('New Items'!$A$1:$A$175,A252)&gt;0</f>
        <v>0</v>
      </c>
      <c r="U252" s="181" t="b">
        <f>COUNTIF(Discontinued!$A$1:$A$150,A252)&gt;0</f>
        <v>0</v>
      </c>
    </row>
    <row r="253" spans="1:21" s="8" customFormat="1" ht="13.5" thickBot="1" x14ac:dyDescent="0.25">
      <c r="A253" s="300" t="s">
        <v>306</v>
      </c>
      <c r="B253" s="301"/>
      <c r="C253" s="301"/>
      <c r="D253" s="301"/>
      <c r="E253" s="301"/>
      <c r="F253" s="301"/>
      <c r="G253" s="301"/>
      <c r="H253" s="301"/>
      <c r="I253" s="301"/>
      <c r="J253" s="301"/>
      <c r="K253" s="301"/>
      <c r="L253" s="302"/>
      <c r="M253" s="179" t="s">
        <v>4361</v>
      </c>
      <c r="N253" s="179" t="s">
        <v>971</v>
      </c>
      <c r="O253" s="141">
        <f>AVERAGE(O254:O282)</f>
        <v>0</v>
      </c>
      <c r="P253" s="181" t="b">
        <f>COUNTIF(P254:P282,TRUE)&gt;0</f>
        <v>1</v>
      </c>
      <c r="Q253" s="181" t="b">
        <f>COUNTIF(Q254:Q282,TRUE)&gt;0</f>
        <v>1</v>
      </c>
      <c r="R253" s="181" t="b">
        <f>COUNTIF(R254:R282,TRUE)&gt;0</f>
        <v>1</v>
      </c>
      <c r="S253" s="181" t="b">
        <f>COUNTIF(S254:S282,TRUE)&gt;0</f>
        <v>1</v>
      </c>
      <c r="T253" s="181" t="b">
        <f>COUNTIF(T254:T282,TRUE)&gt;0</f>
        <v>1</v>
      </c>
      <c r="U253" s="181"/>
    </row>
    <row r="254" spans="1:21" s="8" customFormat="1" ht="11.25" x14ac:dyDescent="0.2">
      <c r="A254" s="152">
        <v>10001240</v>
      </c>
      <c r="B254" s="10" t="s">
        <v>307</v>
      </c>
      <c r="C254" s="12" t="s">
        <v>308</v>
      </c>
      <c r="D254" s="11" t="s">
        <v>629</v>
      </c>
      <c r="E254" s="12" t="s">
        <v>774</v>
      </c>
      <c r="F254" s="13">
        <v>4</v>
      </c>
      <c r="G254" s="22">
        <f>Overview!$B$21</f>
        <v>24</v>
      </c>
      <c r="H254" s="114">
        <f t="shared" ref="H254:H282" si="58">G254-I254</f>
        <v>24</v>
      </c>
      <c r="I254" s="114">
        <f>Overview!$E$21</f>
        <v>0</v>
      </c>
      <c r="J254" s="115">
        <f t="shared" ref="J254:J282" si="59">I254/F254</f>
        <v>0</v>
      </c>
      <c r="K254" s="116">
        <f>Overview!$H$21</f>
        <v>0</v>
      </c>
      <c r="L254" s="117" t="e">
        <f t="shared" ref="L254:L282" si="60">(K254-J254)/K254</f>
        <v>#DIV/0!</v>
      </c>
      <c r="M254" s="179" t="s">
        <v>951</v>
      </c>
      <c r="N254" s="179" t="s">
        <v>971</v>
      </c>
      <c r="O254" s="141">
        <f>I254</f>
        <v>0</v>
      </c>
      <c r="P254" s="181" t="b">
        <f>COUNTIF('Facility Data'!$A$1:$A$1500,"*"&amp;A254&amp;"*")&gt;0</f>
        <v>0</v>
      </c>
      <c r="Q254" s="181" t="b">
        <f>COUNTIF('Account Data'!$A$1:$A$1000,"*"&amp;A254&amp;"*")&gt;0</f>
        <v>1</v>
      </c>
      <c r="R254" s="182" t="b">
        <f t="shared" ref="R254:R282" si="61">IF(OR(P254=TRUE,T254=TRUE),TRUE,FALSE)</f>
        <v>0</v>
      </c>
      <c r="S254" s="182" t="b">
        <f t="shared" ref="S254:S282" si="62">IF(OR(Q254=TRUE,T254=TRUE),TRUE,FALSE)</f>
        <v>1</v>
      </c>
      <c r="T254" s="181" t="b">
        <f>COUNTIF('New Items'!$A$1:$A$175,A254)&gt;0</f>
        <v>0</v>
      </c>
      <c r="U254" s="181" t="b">
        <f>COUNTIF(Discontinued!$A$1:$A$150,A254)&gt;0</f>
        <v>0</v>
      </c>
    </row>
    <row r="255" spans="1:21" s="8" customFormat="1" ht="11.25" x14ac:dyDescent="0.2">
      <c r="A255" s="290">
        <v>10136727</v>
      </c>
      <c r="B255" s="10" t="s">
        <v>4714</v>
      </c>
      <c r="C255" s="12" t="s">
        <v>4715</v>
      </c>
      <c r="D255" s="11" t="s">
        <v>4713</v>
      </c>
      <c r="E255" s="12" t="s">
        <v>774</v>
      </c>
      <c r="F255" s="13">
        <v>4</v>
      </c>
      <c r="G255" s="22">
        <f>Overview!$B$21</f>
        <v>24</v>
      </c>
      <c r="H255" s="114">
        <f>G255-I255</f>
        <v>24</v>
      </c>
      <c r="I255" s="114">
        <f>Overview!$E$21</f>
        <v>0</v>
      </c>
      <c r="J255" s="115">
        <f>I255/F255</f>
        <v>0</v>
      </c>
      <c r="K255" s="116">
        <f>Overview!$H$21</f>
        <v>0</v>
      </c>
      <c r="L255" s="117" t="e">
        <f>(K255-J255)/K255</f>
        <v>#DIV/0!</v>
      </c>
      <c r="M255" s="179" t="s">
        <v>951</v>
      </c>
      <c r="N255" s="179" t="s">
        <v>971</v>
      </c>
      <c r="O255" s="141">
        <f>I255</f>
        <v>0</v>
      </c>
      <c r="P255" s="181" t="b">
        <f>COUNTIF('Facility Data'!$A$1:$A$1500,"*"&amp;A255&amp;"*")&gt;0</f>
        <v>0</v>
      </c>
      <c r="Q255" s="181" t="b">
        <f>COUNTIF('Account Data'!$A$1:$A$1000,"*"&amp;A255&amp;"*")&gt;0</f>
        <v>0</v>
      </c>
      <c r="R255" s="182" t="b">
        <f>IF(OR(P255=TRUE,T255=TRUE),TRUE,FALSE)</f>
        <v>1</v>
      </c>
      <c r="S255" s="182" t="b">
        <f>IF(OR(Q255=TRUE,T255=TRUE),TRUE,FALSE)</f>
        <v>1</v>
      </c>
      <c r="T255" s="181" t="b">
        <f>COUNTIF('New Items'!$A$1:$A$175,A255)&gt;0</f>
        <v>1</v>
      </c>
      <c r="U255" s="181" t="b">
        <f>COUNTIF(Discontinued!$A$1:$A$150,A255)&gt;0</f>
        <v>0</v>
      </c>
    </row>
    <row r="256" spans="1:21" s="8" customFormat="1" ht="11.25" x14ac:dyDescent="0.2">
      <c r="A256" s="152">
        <v>10001241</v>
      </c>
      <c r="B256" s="10" t="s">
        <v>309</v>
      </c>
      <c r="C256" s="12" t="s">
        <v>310</v>
      </c>
      <c r="D256" s="11" t="s">
        <v>631</v>
      </c>
      <c r="E256" s="12" t="s">
        <v>774</v>
      </c>
      <c r="F256" s="13">
        <v>4</v>
      </c>
      <c r="G256" s="22">
        <f>Overview!$B$21</f>
        <v>24</v>
      </c>
      <c r="H256" s="114">
        <f t="shared" si="58"/>
        <v>24</v>
      </c>
      <c r="I256" s="114">
        <f>Overview!$E$21</f>
        <v>0</v>
      </c>
      <c r="J256" s="115">
        <f t="shared" si="59"/>
        <v>0</v>
      </c>
      <c r="K256" s="116">
        <f>Overview!$H$21</f>
        <v>0</v>
      </c>
      <c r="L256" s="117" t="e">
        <f t="shared" si="60"/>
        <v>#DIV/0!</v>
      </c>
      <c r="M256" s="179" t="s">
        <v>951</v>
      </c>
      <c r="N256" s="179" t="s">
        <v>971</v>
      </c>
      <c r="O256" s="141">
        <f t="shared" ref="O256:O282" si="63">I256</f>
        <v>0</v>
      </c>
      <c r="P256" s="181" t="b">
        <f>COUNTIF('Facility Data'!$A$1:$A$1500,"*"&amp;A256&amp;"*")&gt;0</f>
        <v>0</v>
      </c>
      <c r="Q256" s="181" t="b">
        <f>COUNTIF('Account Data'!$A$1:$A$1000,"*"&amp;A256&amp;"*")&gt;0</f>
        <v>1</v>
      </c>
      <c r="R256" s="182" t="b">
        <f t="shared" si="61"/>
        <v>0</v>
      </c>
      <c r="S256" s="182" t="b">
        <f t="shared" si="62"/>
        <v>1</v>
      </c>
      <c r="T256" s="181" t="b">
        <f>COUNTIF('New Items'!$A$1:$A$175,A256)&gt;0</f>
        <v>0</v>
      </c>
      <c r="U256" s="181" t="b">
        <f>COUNTIF(Discontinued!$A$1:$A$150,A256)&gt;0</f>
        <v>0</v>
      </c>
    </row>
    <row r="257" spans="1:21" s="8" customFormat="1" ht="11.25" x14ac:dyDescent="0.2">
      <c r="A257" s="152">
        <v>10127332</v>
      </c>
      <c r="B257" s="10" t="s">
        <v>3767</v>
      </c>
      <c r="C257" s="12" t="s">
        <v>3768</v>
      </c>
      <c r="D257" s="119" t="s">
        <v>3761</v>
      </c>
      <c r="E257" s="12" t="s">
        <v>774</v>
      </c>
      <c r="F257" s="13">
        <v>4</v>
      </c>
      <c r="G257" s="22">
        <f>Overview!$B$21</f>
        <v>24</v>
      </c>
      <c r="H257" s="114">
        <f>G257-I257</f>
        <v>24</v>
      </c>
      <c r="I257" s="114">
        <f>Overview!$E$21</f>
        <v>0</v>
      </c>
      <c r="J257" s="115">
        <f>I257/F257</f>
        <v>0</v>
      </c>
      <c r="K257" s="116">
        <f>Overview!$H$21</f>
        <v>0</v>
      </c>
      <c r="L257" s="117" t="e">
        <f>(K257-J257)/K257</f>
        <v>#DIV/0!</v>
      </c>
      <c r="M257" s="179" t="s">
        <v>951</v>
      </c>
      <c r="N257" s="179" t="s">
        <v>971</v>
      </c>
      <c r="O257" s="141">
        <f>I257</f>
        <v>0</v>
      </c>
      <c r="P257" s="181" t="b">
        <f>COUNTIF('Facility Data'!$A$1:$A$1500,"*"&amp;A257&amp;"*")&gt;0</f>
        <v>0</v>
      </c>
      <c r="Q257" s="181" t="b">
        <f>COUNTIF('Account Data'!$A$1:$A$1000,"*"&amp;A257&amp;"*")&gt;0</f>
        <v>0</v>
      </c>
      <c r="R257" s="182" t="b">
        <f>IF(OR(P257=TRUE,T257=TRUE),TRUE,FALSE)</f>
        <v>0</v>
      </c>
      <c r="S257" s="182" t="b">
        <f>IF(OR(Q257=TRUE,T257=TRUE),TRUE,FALSE)</f>
        <v>0</v>
      </c>
      <c r="T257" s="181" t="b">
        <f>COUNTIF('New Items'!$A$1:$A$175,A257)&gt;0</f>
        <v>0</v>
      </c>
      <c r="U257" s="181" t="b">
        <f>COUNTIF(Discontinued!$A$1:$A$150,A257)&gt;0</f>
        <v>0</v>
      </c>
    </row>
    <row r="258" spans="1:21" s="8" customFormat="1" ht="11.25" x14ac:dyDescent="0.2">
      <c r="A258" s="152">
        <v>10099703</v>
      </c>
      <c r="B258" s="10" t="s">
        <v>3277</v>
      </c>
      <c r="C258" s="12" t="s">
        <v>817</v>
      </c>
      <c r="D258" s="11" t="s">
        <v>632</v>
      </c>
      <c r="E258" s="12" t="s">
        <v>774</v>
      </c>
      <c r="F258" s="13">
        <v>4</v>
      </c>
      <c r="G258" s="22">
        <f>Overview!$B$21</f>
        <v>24</v>
      </c>
      <c r="H258" s="114">
        <f t="shared" si="58"/>
        <v>24</v>
      </c>
      <c r="I258" s="114">
        <f>Overview!$E$21</f>
        <v>0</v>
      </c>
      <c r="J258" s="115">
        <f t="shared" si="59"/>
        <v>0</v>
      </c>
      <c r="K258" s="116">
        <f>Overview!$H$21</f>
        <v>0</v>
      </c>
      <c r="L258" s="117" t="e">
        <f t="shared" si="60"/>
        <v>#DIV/0!</v>
      </c>
      <c r="M258" s="179" t="s">
        <v>951</v>
      </c>
      <c r="N258" s="179" t="s">
        <v>971</v>
      </c>
      <c r="O258" s="141">
        <f t="shared" si="63"/>
        <v>0</v>
      </c>
      <c r="P258" s="181" t="b">
        <f>COUNTIF('Facility Data'!$A$1:$A$1500,"*"&amp;A258&amp;"*")&gt;0</f>
        <v>0</v>
      </c>
      <c r="Q258" s="181" t="b">
        <f>COUNTIF('Account Data'!$A$1:$A$1000,"*"&amp;A258&amp;"*")&gt;0</f>
        <v>0</v>
      </c>
      <c r="R258" s="182" t="b">
        <f t="shared" si="61"/>
        <v>0</v>
      </c>
      <c r="S258" s="182" t="b">
        <f t="shared" si="62"/>
        <v>0</v>
      </c>
      <c r="T258" s="181" t="b">
        <f>COUNTIF('New Items'!$A$1:$A$175,A258)&gt;0</f>
        <v>0</v>
      </c>
      <c r="U258" s="181" t="b">
        <f>COUNTIF(Discontinued!$A$1:$A$150,A258)&gt;0</f>
        <v>0</v>
      </c>
    </row>
    <row r="259" spans="1:21" s="8" customFormat="1" ht="11.25" x14ac:dyDescent="0.2">
      <c r="A259" s="152">
        <v>10001627</v>
      </c>
      <c r="B259" s="10" t="s">
        <v>1439</v>
      </c>
      <c r="C259" s="12" t="s">
        <v>1440</v>
      </c>
      <c r="D259" s="11" t="s">
        <v>794</v>
      </c>
      <c r="E259" s="12" t="s">
        <v>774</v>
      </c>
      <c r="F259" s="13">
        <v>4</v>
      </c>
      <c r="G259" s="22">
        <f>Overview!$B$21</f>
        <v>24</v>
      </c>
      <c r="H259" s="114">
        <f t="shared" si="58"/>
        <v>24</v>
      </c>
      <c r="I259" s="114">
        <f>Overview!$E$21</f>
        <v>0</v>
      </c>
      <c r="J259" s="115">
        <f t="shared" si="59"/>
        <v>0</v>
      </c>
      <c r="K259" s="116">
        <f>Overview!$H$21</f>
        <v>0</v>
      </c>
      <c r="L259" s="117" t="e">
        <f t="shared" si="60"/>
        <v>#DIV/0!</v>
      </c>
      <c r="M259" s="179" t="s">
        <v>951</v>
      </c>
      <c r="N259" s="179" t="s">
        <v>971</v>
      </c>
      <c r="O259" s="141">
        <f t="shared" si="63"/>
        <v>0</v>
      </c>
      <c r="P259" s="181" t="b">
        <f>COUNTIF('Facility Data'!$A$1:$A$1500,"*"&amp;A259&amp;"*")&gt;0</f>
        <v>0</v>
      </c>
      <c r="Q259" s="181" t="b">
        <f>COUNTIF('Account Data'!$A$1:$A$1000,"*"&amp;A259&amp;"*")&gt;0</f>
        <v>0</v>
      </c>
      <c r="R259" s="182" t="b">
        <f t="shared" si="61"/>
        <v>0</v>
      </c>
      <c r="S259" s="182" t="b">
        <f t="shared" si="62"/>
        <v>0</v>
      </c>
      <c r="T259" s="181" t="b">
        <f>COUNTIF('New Items'!$A$1:$A$175,A259)&gt;0</f>
        <v>0</v>
      </c>
      <c r="U259" s="181" t="b">
        <f>COUNTIF(Discontinued!$A$1:$A$150,A259)&gt;0</f>
        <v>0</v>
      </c>
    </row>
    <row r="260" spans="1:21" s="8" customFormat="1" ht="11.25" x14ac:dyDescent="0.2">
      <c r="A260" s="152">
        <v>10001236</v>
      </c>
      <c r="B260" s="10" t="s">
        <v>311</v>
      </c>
      <c r="C260" s="12" t="s">
        <v>312</v>
      </c>
      <c r="D260" s="11" t="s">
        <v>643</v>
      </c>
      <c r="E260" s="12" t="s">
        <v>774</v>
      </c>
      <c r="F260" s="13">
        <v>4</v>
      </c>
      <c r="G260" s="22">
        <f>Overview!$B$21</f>
        <v>24</v>
      </c>
      <c r="H260" s="114">
        <f t="shared" si="58"/>
        <v>24</v>
      </c>
      <c r="I260" s="114">
        <f>Overview!$E$21</f>
        <v>0</v>
      </c>
      <c r="J260" s="115">
        <f t="shared" si="59"/>
        <v>0</v>
      </c>
      <c r="K260" s="116">
        <f>Overview!$H$21</f>
        <v>0</v>
      </c>
      <c r="L260" s="117" t="e">
        <f t="shared" si="60"/>
        <v>#DIV/0!</v>
      </c>
      <c r="M260" s="179"/>
      <c r="N260" s="179" t="s">
        <v>971</v>
      </c>
      <c r="O260" s="141">
        <f t="shared" si="63"/>
        <v>0</v>
      </c>
      <c r="P260" s="181" t="b">
        <f>COUNTIF('Facility Data'!$A$1:$A$1500,"*"&amp;A260&amp;"*")&gt;0</f>
        <v>1</v>
      </c>
      <c r="Q260" s="181" t="b">
        <f>COUNTIF('Account Data'!$A$1:$A$1000,"*"&amp;A260&amp;"*")&gt;0</f>
        <v>1</v>
      </c>
      <c r="R260" s="182" t="b">
        <f t="shared" si="61"/>
        <v>1</v>
      </c>
      <c r="S260" s="182" t="b">
        <f t="shared" si="62"/>
        <v>1</v>
      </c>
      <c r="T260" s="181" t="b">
        <f>COUNTIF('New Items'!$A$1:$A$175,A260)&gt;0</f>
        <v>0</v>
      </c>
      <c r="U260" s="181" t="b">
        <f>COUNTIF(Discontinued!$A$1:$A$150,A260)&gt;0</f>
        <v>0</v>
      </c>
    </row>
    <row r="261" spans="1:21" s="8" customFormat="1" ht="11.25" x14ac:dyDescent="0.2">
      <c r="A261" s="152">
        <v>10001237</v>
      </c>
      <c r="B261" s="10" t="s">
        <v>4768</v>
      </c>
      <c r="C261" s="12" t="s">
        <v>314</v>
      </c>
      <c r="D261" s="11" t="s">
        <v>4733</v>
      </c>
      <c r="E261" s="12" t="s">
        <v>774</v>
      </c>
      <c r="F261" s="13">
        <v>4</v>
      </c>
      <c r="G261" s="22">
        <f>Overview!$B$21</f>
        <v>24</v>
      </c>
      <c r="H261" s="114">
        <f>G261-I261</f>
        <v>24</v>
      </c>
      <c r="I261" s="114">
        <f>Overview!$E$21</f>
        <v>0</v>
      </c>
      <c r="J261" s="115">
        <f>I261/F261</f>
        <v>0</v>
      </c>
      <c r="K261" s="116">
        <f>Overview!$H$21</f>
        <v>0</v>
      </c>
      <c r="L261" s="117" t="e">
        <f>(K261-J261)/K261</f>
        <v>#DIV/0!</v>
      </c>
      <c r="M261" s="179"/>
      <c r="N261" s="179" t="s">
        <v>971</v>
      </c>
      <c r="O261" s="141">
        <f>I261</f>
        <v>0</v>
      </c>
      <c r="P261" s="181" t="b">
        <f>COUNTIF('Facility Data'!$A$1:$A$1500,"*"&amp;A261&amp;"*")&gt;0</f>
        <v>1</v>
      </c>
      <c r="Q261" s="181" t="b">
        <f>COUNTIF('Account Data'!$A$1:$A$1000,"*"&amp;A261&amp;"*")&gt;0</f>
        <v>1</v>
      </c>
      <c r="R261" s="182" t="b">
        <f>IF(OR(P261=TRUE,T261=TRUE),TRUE,FALSE)</f>
        <v>1</v>
      </c>
      <c r="S261" s="182" t="b">
        <f>IF(OR(Q261=TRUE,T261=TRUE),TRUE,FALSE)</f>
        <v>1</v>
      </c>
      <c r="T261" s="181" t="b">
        <f>COUNTIF('New Items'!$A$1:$A$175,A261)&gt;0</f>
        <v>0</v>
      </c>
      <c r="U261" s="181" t="b">
        <f>COUNTIF(Discontinued!$A$1:$A$150,A261)&gt;0</f>
        <v>0</v>
      </c>
    </row>
    <row r="262" spans="1:21" s="8" customFormat="1" ht="11.25" x14ac:dyDescent="0.2">
      <c r="A262" s="152">
        <v>10001251</v>
      </c>
      <c r="B262" s="10" t="s">
        <v>315</v>
      </c>
      <c r="C262" s="12" t="s">
        <v>316</v>
      </c>
      <c r="D262" s="11" t="s">
        <v>645</v>
      </c>
      <c r="E262" s="12" t="s">
        <v>774</v>
      </c>
      <c r="F262" s="13">
        <v>4</v>
      </c>
      <c r="G262" s="22">
        <f>Overview!$B$21</f>
        <v>24</v>
      </c>
      <c r="H262" s="114">
        <f t="shared" si="58"/>
        <v>24</v>
      </c>
      <c r="I262" s="114">
        <f>Overview!$E$21</f>
        <v>0</v>
      </c>
      <c r="J262" s="115">
        <f t="shared" si="59"/>
        <v>0</v>
      </c>
      <c r="K262" s="116">
        <f>Overview!$H$21</f>
        <v>0</v>
      </c>
      <c r="L262" s="117" t="e">
        <f t="shared" si="60"/>
        <v>#DIV/0!</v>
      </c>
      <c r="M262" s="179" t="s">
        <v>4406</v>
      </c>
      <c r="N262" s="179" t="s">
        <v>971</v>
      </c>
      <c r="O262" s="141">
        <f t="shared" si="63"/>
        <v>0</v>
      </c>
      <c r="P262" s="181" t="b">
        <f>COUNTIF('Facility Data'!$A$1:$A$1500,"*"&amp;A262&amp;"*")&gt;0</f>
        <v>1</v>
      </c>
      <c r="Q262" s="181" t="b">
        <f>COUNTIF('Account Data'!$A$1:$A$1000,"*"&amp;A262&amp;"*")&gt;0</f>
        <v>1</v>
      </c>
      <c r="R262" s="182" t="b">
        <f t="shared" si="61"/>
        <v>1</v>
      </c>
      <c r="S262" s="182" t="b">
        <f t="shared" si="62"/>
        <v>1</v>
      </c>
      <c r="T262" s="181" t="b">
        <f>COUNTIF('New Items'!$A$1:$A$175,A262)&gt;0</f>
        <v>0</v>
      </c>
      <c r="U262" s="181" t="b">
        <f>COUNTIF(Discontinued!$A$1:$A$150,A262)&gt;0</f>
        <v>0</v>
      </c>
    </row>
    <row r="263" spans="1:21" s="8" customFormat="1" ht="11.25" x14ac:dyDescent="0.2">
      <c r="A263" s="152">
        <v>10001252</v>
      </c>
      <c r="B263" s="10" t="s">
        <v>4769</v>
      </c>
      <c r="C263" s="12" t="s">
        <v>318</v>
      </c>
      <c r="D263" s="11" t="s">
        <v>4735</v>
      </c>
      <c r="E263" s="12" t="s">
        <v>774</v>
      </c>
      <c r="F263" s="13">
        <v>4</v>
      </c>
      <c r="G263" s="22">
        <f>Overview!$B$21</f>
        <v>24</v>
      </c>
      <c r="H263" s="114">
        <f>G263-I263</f>
        <v>24</v>
      </c>
      <c r="I263" s="114">
        <f>Overview!$E$21</f>
        <v>0</v>
      </c>
      <c r="J263" s="115">
        <f>I263/F263</f>
        <v>0</v>
      </c>
      <c r="K263" s="116">
        <f>Overview!$H$21</f>
        <v>0</v>
      </c>
      <c r="L263" s="117" t="e">
        <f>(K263-J263)/K263</f>
        <v>#DIV/0!</v>
      </c>
      <c r="M263" s="179" t="s">
        <v>4406</v>
      </c>
      <c r="N263" s="179" t="s">
        <v>971</v>
      </c>
      <c r="O263" s="141">
        <f>I263</f>
        <v>0</v>
      </c>
      <c r="P263" s="181" t="b">
        <f>COUNTIF('Facility Data'!$A$1:$A$1500,"*"&amp;A263&amp;"*")&gt;0</f>
        <v>1</v>
      </c>
      <c r="Q263" s="181" t="b">
        <f>COUNTIF('Account Data'!$A$1:$A$1000,"*"&amp;A263&amp;"*")&gt;0</f>
        <v>1</v>
      </c>
      <c r="R263" s="182" t="b">
        <f>IF(OR(P263=TRUE,T263=TRUE),TRUE,FALSE)</f>
        <v>1</v>
      </c>
      <c r="S263" s="182" t="b">
        <f>IF(OR(Q263=TRUE,T263=TRUE),TRUE,FALSE)</f>
        <v>1</v>
      </c>
      <c r="T263" s="181" t="b">
        <f>COUNTIF('New Items'!$A$1:$A$175,A263)&gt;0</f>
        <v>0</v>
      </c>
      <c r="U263" s="181" t="b">
        <f>COUNTIF(Discontinued!$A$1:$A$150,A263)&gt;0</f>
        <v>0</v>
      </c>
    </row>
    <row r="264" spans="1:21" s="8" customFormat="1" ht="11.25" x14ac:dyDescent="0.2">
      <c r="A264" s="152">
        <v>10001238</v>
      </c>
      <c r="B264" s="10" t="s">
        <v>319</v>
      </c>
      <c r="C264" s="12" t="s">
        <v>320</v>
      </c>
      <c r="D264" s="11" t="s">
        <v>646</v>
      </c>
      <c r="E264" s="12" t="s">
        <v>774</v>
      </c>
      <c r="F264" s="13">
        <v>4</v>
      </c>
      <c r="G264" s="22">
        <f>Overview!$B$21</f>
        <v>24</v>
      </c>
      <c r="H264" s="114">
        <f t="shared" si="58"/>
        <v>24</v>
      </c>
      <c r="I264" s="114">
        <f>Overview!$E$21</f>
        <v>0</v>
      </c>
      <c r="J264" s="115">
        <f t="shared" si="59"/>
        <v>0</v>
      </c>
      <c r="K264" s="116">
        <f>Overview!$H$21</f>
        <v>0</v>
      </c>
      <c r="L264" s="117" t="e">
        <f t="shared" si="60"/>
        <v>#DIV/0!</v>
      </c>
      <c r="M264" s="179" t="s">
        <v>4406</v>
      </c>
      <c r="N264" s="179" t="s">
        <v>971</v>
      </c>
      <c r="O264" s="141">
        <f t="shared" si="63"/>
        <v>0</v>
      </c>
      <c r="P264" s="181" t="b">
        <f>COUNTIF('Facility Data'!$A$1:$A$1500,"*"&amp;A264&amp;"*")&gt;0</f>
        <v>0</v>
      </c>
      <c r="Q264" s="181" t="b">
        <f>COUNTIF('Account Data'!$A$1:$A$1000,"*"&amp;A264&amp;"*")&gt;0</f>
        <v>0</v>
      </c>
      <c r="R264" s="182" t="b">
        <f t="shared" si="61"/>
        <v>0</v>
      </c>
      <c r="S264" s="182" t="b">
        <f t="shared" si="62"/>
        <v>0</v>
      </c>
      <c r="T264" s="181" t="b">
        <f>COUNTIF('New Items'!$A$1:$A$175,A264)&gt;0</f>
        <v>0</v>
      </c>
      <c r="U264" s="181" t="b">
        <f>COUNTIF(Discontinued!$A$1:$A$150,A264)&gt;0</f>
        <v>0</v>
      </c>
    </row>
    <row r="265" spans="1:21" s="8" customFormat="1" ht="11.25" x14ac:dyDescent="0.2">
      <c r="A265" s="152">
        <v>10001263</v>
      </c>
      <c r="B265" s="10" t="s">
        <v>1314</v>
      </c>
      <c r="C265" s="12" t="s">
        <v>1315</v>
      </c>
      <c r="D265" s="11" t="s">
        <v>648</v>
      </c>
      <c r="E265" s="12" t="s">
        <v>774</v>
      </c>
      <c r="F265" s="13">
        <v>4</v>
      </c>
      <c r="G265" s="22">
        <f>Overview!$B$21</f>
        <v>24</v>
      </c>
      <c r="H265" s="114">
        <f t="shared" si="58"/>
        <v>24</v>
      </c>
      <c r="I265" s="114">
        <f>Overview!$E$21</f>
        <v>0</v>
      </c>
      <c r="J265" s="115">
        <f t="shared" si="59"/>
        <v>0</v>
      </c>
      <c r="K265" s="116">
        <f>Overview!$H$21</f>
        <v>0</v>
      </c>
      <c r="L265" s="117" t="e">
        <f t="shared" si="60"/>
        <v>#DIV/0!</v>
      </c>
      <c r="M265" s="179"/>
      <c r="N265" s="179" t="s">
        <v>971</v>
      </c>
      <c r="O265" s="141">
        <f>I265</f>
        <v>0</v>
      </c>
      <c r="P265" s="181" t="b">
        <f>COUNTIF('Facility Data'!$A$1:$A$1500,"*"&amp;A265&amp;"*")&gt;0</f>
        <v>0</v>
      </c>
      <c r="Q265" s="181" t="b">
        <f>COUNTIF('Account Data'!$A$1:$A$1000,"*"&amp;A265&amp;"*")&gt;0</f>
        <v>0</v>
      </c>
      <c r="R265" s="182" t="b">
        <f t="shared" si="61"/>
        <v>0</v>
      </c>
      <c r="S265" s="182" t="b">
        <f t="shared" si="62"/>
        <v>0</v>
      </c>
      <c r="T265" s="181" t="b">
        <f>COUNTIF('New Items'!$A$1:$A$175,A265)&gt;0</f>
        <v>0</v>
      </c>
      <c r="U265" s="181" t="b">
        <f>COUNTIF(Discontinued!$A$1:$A$150,A265)&gt;0</f>
        <v>0</v>
      </c>
    </row>
    <row r="266" spans="1:21" s="8" customFormat="1" ht="11.25" x14ac:dyDescent="0.2">
      <c r="A266" s="152">
        <v>10001264</v>
      </c>
      <c r="B266" s="10" t="s">
        <v>1718</v>
      </c>
      <c r="C266" s="12" t="s">
        <v>1719</v>
      </c>
      <c r="D266" s="11" t="s">
        <v>649</v>
      </c>
      <c r="E266" s="12" t="s">
        <v>774</v>
      </c>
      <c r="F266" s="13">
        <v>4</v>
      </c>
      <c r="G266" s="22">
        <f>Overview!$B$21</f>
        <v>24</v>
      </c>
      <c r="H266" s="114">
        <f t="shared" si="58"/>
        <v>24</v>
      </c>
      <c r="I266" s="114">
        <f>Overview!$E$21</f>
        <v>0</v>
      </c>
      <c r="J266" s="115">
        <f t="shared" si="59"/>
        <v>0</v>
      </c>
      <c r="K266" s="116">
        <f>Overview!$H$21</f>
        <v>0</v>
      </c>
      <c r="L266" s="117" t="e">
        <f t="shared" si="60"/>
        <v>#DIV/0!</v>
      </c>
      <c r="M266" s="179"/>
      <c r="N266" s="179" t="s">
        <v>971</v>
      </c>
      <c r="O266" s="141">
        <f>I266</f>
        <v>0</v>
      </c>
      <c r="P266" s="181" t="b">
        <f>COUNTIF('Facility Data'!$A$1:$A$1500,"*"&amp;A266&amp;"*")&gt;0</f>
        <v>0</v>
      </c>
      <c r="Q266" s="181" t="b">
        <f>COUNTIF('Account Data'!$A$1:$A$1000,"*"&amp;A266&amp;"*")&gt;0</f>
        <v>0</v>
      </c>
      <c r="R266" s="182" t="b">
        <f t="shared" si="61"/>
        <v>0</v>
      </c>
      <c r="S266" s="182" t="b">
        <f t="shared" si="62"/>
        <v>0</v>
      </c>
      <c r="T266" s="181" t="b">
        <f>COUNTIF('New Items'!$A$1:$A$175,A266)&gt;0</f>
        <v>0</v>
      </c>
      <c r="U266" s="181" t="b">
        <f>COUNTIF(Discontinued!$A$1:$A$150,A266)&gt;0</f>
        <v>0</v>
      </c>
    </row>
    <row r="267" spans="1:21" s="8" customFormat="1" ht="11.25" x14ac:dyDescent="0.2">
      <c r="A267" s="152">
        <v>10001257</v>
      </c>
      <c r="B267" s="10" t="s">
        <v>321</v>
      </c>
      <c r="C267" s="12" t="s">
        <v>322</v>
      </c>
      <c r="D267" s="11" t="s">
        <v>650</v>
      </c>
      <c r="E267" s="12" t="s">
        <v>774</v>
      </c>
      <c r="F267" s="13">
        <v>4</v>
      </c>
      <c r="G267" s="22">
        <f>Overview!$B$21</f>
        <v>24</v>
      </c>
      <c r="H267" s="114">
        <f t="shared" si="58"/>
        <v>24</v>
      </c>
      <c r="I267" s="114">
        <f>Overview!$E$21</f>
        <v>0</v>
      </c>
      <c r="J267" s="115">
        <f t="shared" si="59"/>
        <v>0</v>
      </c>
      <c r="K267" s="116">
        <f>Overview!$H$21</f>
        <v>0</v>
      </c>
      <c r="L267" s="117" t="e">
        <f t="shared" si="60"/>
        <v>#DIV/0!</v>
      </c>
      <c r="M267" s="179" t="s">
        <v>4369</v>
      </c>
      <c r="N267" s="179" t="s">
        <v>971</v>
      </c>
      <c r="O267" s="141">
        <f t="shared" si="63"/>
        <v>0</v>
      </c>
      <c r="P267" s="181" t="b">
        <f>COUNTIF('Facility Data'!$A$1:$A$1500,"*"&amp;A267&amp;"*")&gt;0</f>
        <v>1</v>
      </c>
      <c r="Q267" s="181" t="b">
        <f>COUNTIF('Account Data'!$A$1:$A$1000,"*"&amp;A267&amp;"*")&gt;0</f>
        <v>1</v>
      </c>
      <c r="R267" s="182" t="b">
        <f t="shared" si="61"/>
        <v>1</v>
      </c>
      <c r="S267" s="182" t="b">
        <f t="shared" si="62"/>
        <v>1</v>
      </c>
      <c r="T267" s="181" t="b">
        <f>COUNTIF('New Items'!$A$1:$A$175,A267)&gt;0</f>
        <v>0</v>
      </c>
      <c r="U267" s="181" t="b">
        <f>COUNTIF(Discontinued!$A$1:$A$150,A267)&gt;0</f>
        <v>0</v>
      </c>
    </row>
    <row r="268" spans="1:21" s="8" customFormat="1" ht="11.25" x14ac:dyDescent="0.2">
      <c r="A268" s="152">
        <v>10001256</v>
      </c>
      <c r="B268" s="10" t="s">
        <v>4770</v>
      </c>
      <c r="C268" s="12" t="s">
        <v>324</v>
      </c>
      <c r="D268" s="11" t="s">
        <v>4755</v>
      </c>
      <c r="E268" s="12" t="s">
        <v>774</v>
      </c>
      <c r="F268" s="13">
        <v>4</v>
      </c>
      <c r="G268" s="22">
        <f>Overview!$B$21</f>
        <v>24</v>
      </c>
      <c r="H268" s="114">
        <f>G268-I268</f>
        <v>24</v>
      </c>
      <c r="I268" s="114">
        <f>Overview!$E$21</f>
        <v>0</v>
      </c>
      <c r="J268" s="115">
        <f>I268/F268</f>
        <v>0</v>
      </c>
      <c r="K268" s="116">
        <f>Overview!$H$21</f>
        <v>0</v>
      </c>
      <c r="L268" s="117" t="e">
        <f>(K268-J268)/K268</f>
        <v>#DIV/0!</v>
      </c>
      <c r="M268" s="179" t="s">
        <v>4369</v>
      </c>
      <c r="N268" s="179" t="s">
        <v>971</v>
      </c>
      <c r="O268" s="141">
        <f>I268</f>
        <v>0</v>
      </c>
      <c r="P268" s="181" t="b">
        <f>COUNTIF('Facility Data'!$A$1:$A$1500,"*"&amp;A268&amp;"*")&gt;0</f>
        <v>1</v>
      </c>
      <c r="Q268" s="181" t="b">
        <f>COUNTIF('Account Data'!$A$1:$A$1000,"*"&amp;A268&amp;"*")&gt;0</f>
        <v>1</v>
      </c>
      <c r="R268" s="182" t="b">
        <f>IF(OR(P268=TRUE,T268=TRUE),TRUE,FALSE)</f>
        <v>1</v>
      </c>
      <c r="S268" s="182" t="b">
        <f>IF(OR(Q268=TRUE,T268=TRUE),TRUE,FALSE)</f>
        <v>1</v>
      </c>
      <c r="T268" s="181" t="b">
        <f>COUNTIF('New Items'!$A$1:$A$175,A268)&gt;0</f>
        <v>0</v>
      </c>
      <c r="U268" s="181" t="b">
        <f>COUNTIF(Discontinued!$A$1:$A$150,A268)&gt;0</f>
        <v>0</v>
      </c>
    </row>
    <row r="269" spans="1:21" s="8" customFormat="1" ht="11.25" x14ac:dyDescent="0.2">
      <c r="A269" s="152">
        <v>10087792</v>
      </c>
      <c r="B269" s="231" t="s">
        <v>1720</v>
      </c>
      <c r="C269" s="12" t="s">
        <v>1721</v>
      </c>
      <c r="D269" s="11" t="s">
        <v>651</v>
      </c>
      <c r="E269" s="12" t="s">
        <v>774</v>
      </c>
      <c r="F269" s="13">
        <v>4</v>
      </c>
      <c r="G269" s="22">
        <f>Overview!$B$21</f>
        <v>24</v>
      </c>
      <c r="H269" s="114">
        <f t="shared" si="58"/>
        <v>24</v>
      </c>
      <c r="I269" s="114">
        <f>Overview!$E$21</f>
        <v>0</v>
      </c>
      <c r="J269" s="115">
        <f t="shared" si="59"/>
        <v>0</v>
      </c>
      <c r="K269" s="116">
        <f>Overview!$H$21</f>
        <v>0</v>
      </c>
      <c r="L269" s="117" t="e">
        <f t="shared" si="60"/>
        <v>#DIV/0!</v>
      </c>
      <c r="M269" s="179" t="s">
        <v>4369</v>
      </c>
      <c r="N269" s="179" t="s">
        <v>971</v>
      </c>
      <c r="O269" s="141">
        <f t="shared" si="63"/>
        <v>0</v>
      </c>
      <c r="P269" s="181" t="b">
        <f>COUNTIF('Facility Data'!$A$1:$A$1500,"*"&amp;A269&amp;"*")&gt;0</f>
        <v>0</v>
      </c>
      <c r="Q269" s="181" t="b">
        <f>COUNTIF('Account Data'!$A$1:$A$1000,"*"&amp;A269&amp;"*")&gt;0</f>
        <v>0</v>
      </c>
      <c r="R269" s="182" t="b">
        <f t="shared" si="61"/>
        <v>0</v>
      </c>
      <c r="S269" s="182" t="b">
        <f t="shared" si="62"/>
        <v>0</v>
      </c>
      <c r="T269" s="181" t="b">
        <f>COUNTIF('New Items'!$A$1:$A$175,A269)&gt;0</f>
        <v>0</v>
      </c>
      <c r="U269" s="181" t="b">
        <f>COUNTIF(Discontinued!$A$1:$A$150,A269)&gt;0</f>
        <v>0</v>
      </c>
    </row>
    <row r="270" spans="1:21" s="8" customFormat="1" ht="11.25" x14ac:dyDescent="0.2">
      <c r="A270" s="152">
        <v>10021949</v>
      </c>
      <c r="B270" s="231" t="s">
        <v>3278</v>
      </c>
      <c r="C270" s="12" t="s">
        <v>938</v>
      </c>
      <c r="D270" s="11" t="s">
        <v>922</v>
      </c>
      <c r="E270" s="12" t="s">
        <v>774</v>
      </c>
      <c r="F270" s="13">
        <v>4</v>
      </c>
      <c r="G270" s="22">
        <f>Overview!$B$21</f>
        <v>24</v>
      </c>
      <c r="H270" s="114">
        <f t="shared" si="58"/>
        <v>24</v>
      </c>
      <c r="I270" s="114">
        <f>Overview!$E$21</f>
        <v>0</v>
      </c>
      <c r="J270" s="115">
        <f t="shared" si="59"/>
        <v>0</v>
      </c>
      <c r="K270" s="116">
        <f>Overview!$H$21</f>
        <v>0</v>
      </c>
      <c r="L270" s="117" t="e">
        <f t="shared" si="60"/>
        <v>#DIV/0!</v>
      </c>
      <c r="M270" s="179" t="s">
        <v>921</v>
      </c>
      <c r="N270" s="179" t="s">
        <v>971</v>
      </c>
      <c r="O270" s="141">
        <f t="shared" si="63"/>
        <v>0</v>
      </c>
      <c r="P270" s="181" t="b">
        <f>COUNTIF('Facility Data'!$A$1:$A$1500,"*"&amp;A270&amp;"*")&gt;0</f>
        <v>0</v>
      </c>
      <c r="Q270" s="181" t="b">
        <f>COUNTIF('Account Data'!$A$1:$A$1000,"*"&amp;A270&amp;"*")&gt;0</f>
        <v>0</v>
      </c>
      <c r="R270" s="182" t="b">
        <f t="shared" si="61"/>
        <v>0</v>
      </c>
      <c r="S270" s="182" t="b">
        <f t="shared" si="62"/>
        <v>0</v>
      </c>
      <c r="T270" s="181" t="b">
        <f>COUNTIF('New Items'!$A$1:$A$175,A270)&gt;0</f>
        <v>0</v>
      </c>
      <c r="U270" s="181" t="b">
        <f>COUNTIF(Discontinued!$A$1:$A$150,A270)&gt;0</f>
        <v>0</v>
      </c>
    </row>
    <row r="271" spans="1:21" s="8" customFormat="1" ht="11.25" x14ac:dyDescent="0.2">
      <c r="A271" s="152">
        <v>10001266</v>
      </c>
      <c r="B271" s="231" t="s">
        <v>325</v>
      </c>
      <c r="C271" s="118" t="s">
        <v>326</v>
      </c>
      <c r="D271" s="119" t="s">
        <v>652</v>
      </c>
      <c r="E271" s="12" t="s">
        <v>774</v>
      </c>
      <c r="F271" s="13">
        <v>4</v>
      </c>
      <c r="G271" s="22">
        <f>Overview!$B$21</f>
        <v>24</v>
      </c>
      <c r="H271" s="114">
        <f t="shared" si="58"/>
        <v>24</v>
      </c>
      <c r="I271" s="114">
        <f>Overview!$E$21</f>
        <v>0</v>
      </c>
      <c r="J271" s="115">
        <f t="shared" si="59"/>
        <v>0</v>
      </c>
      <c r="K271" s="116">
        <f>Overview!$H$21</f>
        <v>0</v>
      </c>
      <c r="L271" s="117" t="e">
        <f t="shared" si="60"/>
        <v>#DIV/0!</v>
      </c>
      <c r="M271" s="179"/>
      <c r="N271" s="179" t="s">
        <v>971</v>
      </c>
      <c r="O271" s="141">
        <f t="shared" si="63"/>
        <v>0</v>
      </c>
      <c r="P271" s="181" t="b">
        <f>COUNTIF('Facility Data'!$A$1:$A$1500,"*"&amp;A271&amp;"*")&gt;0</f>
        <v>1</v>
      </c>
      <c r="Q271" s="181" t="b">
        <f>COUNTIF('Account Data'!$A$1:$A$1000,"*"&amp;A271&amp;"*")&gt;0</f>
        <v>1</v>
      </c>
      <c r="R271" s="182" t="b">
        <f t="shared" si="61"/>
        <v>1</v>
      </c>
      <c r="S271" s="182" t="b">
        <f t="shared" si="62"/>
        <v>1</v>
      </c>
      <c r="T271" s="181" t="b">
        <f>COUNTIF('New Items'!$A$1:$A$175,A271)&gt;0</f>
        <v>0</v>
      </c>
      <c r="U271" s="181" t="b">
        <f>COUNTIF(Discontinued!$A$1:$A$150,A271)&gt;0</f>
        <v>0</v>
      </c>
    </row>
    <row r="272" spans="1:21" s="8" customFormat="1" ht="11.25" x14ac:dyDescent="0.2">
      <c r="A272" s="152">
        <v>10002576</v>
      </c>
      <c r="B272" s="231" t="s">
        <v>4796</v>
      </c>
      <c r="C272" s="118" t="s">
        <v>328</v>
      </c>
      <c r="D272" s="119" t="s">
        <v>4737</v>
      </c>
      <c r="E272" s="12" t="s">
        <v>774</v>
      </c>
      <c r="F272" s="13">
        <v>4</v>
      </c>
      <c r="G272" s="121">
        <f>Overview!$B$21</f>
        <v>24</v>
      </c>
      <c r="H272" s="114">
        <f t="shared" si="58"/>
        <v>24</v>
      </c>
      <c r="I272" s="114">
        <f>Overview!$E$21</f>
        <v>0</v>
      </c>
      <c r="J272" s="115">
        <f t="shared" si="59"/>
        <v>0</v>
      </c>
      <c r="K272" s="116">
        <f>Overview!$H$21</f>
        <v>0</v>
      </c>
      <c r="L272" s="117" t="e">
        <f t="shared" si="60"/>
        <v>#DIV/0!</v>
      </c>
      <c r="M272" s="179"/>
      <c r="N272" s="179" t="s">
        <v>971</v>
      </c>
      <c r="O272" s="141">
        <f t="shared" si="63"/>
        <v>0</v>
      </c>
      <c r="P272" s="181" t="b">
        <f>COUNTIF('Facility Data'!$A$1:$A$1500,"*"&amp;A272&amp;"*")&gt;0</f>
        <v>0</v>
      </c>
      <c r="Q272" s="181" t="b">
        <f>COUNTIF('Account Data'!$A$1:$A$1000,"*"&amp;A272&amp;"*")&gt;0</f>
        <v>0</v>
      </c>
      <c r="R272" s="182" t="b">
        <f t="shared" si="61"/>
        <v>0</v>
      </c>
      <c r="S272" s="182" t="b">
        <f t="shared" si="62"/>
        <v>0</v>
      </c>
      <c r="T272" s="181" t="b">
        <f>COUNTIF('New Items'!$A$1:$A$175,A272)&gt;0</f>
        <v>0</v>
      </c>
      <c r="U272" s="181" t="b">
        <f>COUNTIF(Discontinued!$A$1:$A$150,A272)&gt;0</f>
        <v>0</v>
      </c>
    </row>
    <row r="273" spans="1:21" s="8" customFormat="1" ht="11.25" x14ac:dyDescent="0.2">
      <c r="A273" s="152">
        <v>10119292</v>
      </c>
      <c r="B273" s="231" t="s">
        <v>1099</v>
      </c>
      <c r="C273" s="118" t="s">
        <v>1100</v>
      </c>
      <c r="D273" s="119" t="s">
        <v>796</v>
      </c>
      <c r="E273" s="12" t="s">
        <v>774</v>
      </c>
      <c r="F273" s="13">
        <v>4</v>
      </c>
      <c r="G273" s="121">
        <f>Overview!$B$21</f>
        <v>24</v>
      </c>
      <c r="H273" s="114">
        <f t="shared" si="58"/>
        <v>24</v>
      </c>
      <c r="I273" s="114">
        <f>Overview!$E$21</f>
        <v>0</v>
      </c>
      <c r="J273" s="115">
        <f t="shared" si="59"/>
        <v>0</v>
      </c>
      <c r="K273" s="116">
        <f>Overview!$H$21</f>
        <v>0</v>
      </c>
      <c r="L273" s="117" t="e">
        <f t="shared" si="60"/>
        <v>#DIV/0!</v>
      </c>
      <c r="M273" s="179"/>
      <c r="N273" s="179" t="s">
        <v>971</v>
      </c>
      <c r="O273" s="141">
        <f t="shared" si="63"/>
        <v>0</v>
      </c>
      <c r="P273" s="181" t="b">
        <f>COUNTIF('Facility Data'!$A$1:$A$1500,"*"&amp;A273&amp;"*")&gt;0</f>
        <v>1</v>
      </c>
      <c r="Q273" s="181" t="b">
        <f>COUNTIF('Account Data'!$A$1:$A$1000,"*"&amp;A273&amp;"*")&gt;0</f>
        <v>0</v>
      </c>
      <c r="R273" s="182" t="b">
        <f t="shared" si="61"/>
        <v>1</v>
      </c>
      <c r="S273" s="182" t="b">
        <f t="shared" si="62"/>
        <v>0</v>
      </c>
      <c r="T273" s="181" t="b">
        <f>COUNTIF('New Items'!$A$1:$A$175,A273)&gt;0</f>
        <v>0</v>
      </c>
      <c r="U273" s="181" t="b">
        <f>COUNTIF(Discontinued!$A$1:$A$150,A273)&gt;0</f>
        <v>0</v>
      </c>
    </row>
    <row r="274" spans="1:21" s="8" customFormat="1" ht="11.25" x14ac:dyDescent="0.2">
      <c r="A274" s="152">
        <v>10001243</v>
      </c>
      <c r="B274" s="231" t="s">
        <v>1722</v>
      </c>
      <c r="C274" s="118" t="s">
        <v>1723</v>
      </c>
      <c r="D274" s="119" t="s">
        <v>4116</v>
      </c>
      <c r="E274" s="12" t="s">
        <v>774</v>
      </c>
      <c r="F274" s="13">
        <v>4</v>
      </c>
      <c r="G274" s="121">
        <f>Overview!$B$21</f>
        <v>24</v>
      </c>
      <c r="H274" s="114">
        <f t="shared" si="58"/>
        <v>24</v>
      </c>
      <c r="I274" s="114">
        <f>Overview!$E$21</f>
        <v>0</v>
      </c>
      <c r="J274" s="115">
        <f t="shared" si="59"/>
        <v>0</v>
      </c>
      <c r="K274" s="116">
        <f>Overview!$H$21</f>
        <v>0</v>
      </c>
      <c r="L274" s="117" t="e">
        <f t="shared" si="60"/>
        <v>#DIV/0!</v>
      </c>
      <c r="M274" s="179" t="s">
        <v>953</v>
      </c>
      <c r="N274" s="179" t="s">
        <v>971</v>
      </c>
      <c r="O274" s="141">
        <f>I274</f>
        <v>0</v>
      </c>
      <c r="P274" s="181" t="b">
        <f>COUNTIF('Facility Data'!$A$1:$A$1500,"*"&amp;A274&amp;"*")&gt;0</f>
        <v>0</v>
      </c>
      <c r="Q274" s="181" t="b">
        <f>COUNTIF('Account Data'!$A$1:$A$1000,"*"&amp;A274&amp;"*")&gt;0</f>
        <v>0</v>
      </c>
      <c r="R274" s="182" t="b">
        <f t="shared" si="61"/>
        <v>0</v>
      </c>
      <c r="S274" s="182" t="b">
        <f t="shared" si="62"/>
        <v>0</v>
      </c>
      <c r="T274" s="181" t="b">
        <f>COUNTIF('New Items'!$A$1:$A$175,A274)&gt;0</f>
        <v>0</v>
      </c>
      <c r="U274" s="181" t="b">
        <f>COUNTIF(Discontinued!$A$1:$A$150,A274)&gt;0</f>
        <v>0</v>
      </c>
    </row>
    <row r="275" spans="1:21" s="8" customFormat="1" ht="11.25" x14ac:dyDescent="0.2">
      <c r="A275" s="152">
        <v>10001244</v>
      </c>
      <c r="B275" s="231" t="s">
        <v>4797</v>
      </c>
      <c r="C275" s="118" t="s">
        <v>1725</v>
      </c>
      <c r="D275" s="119" t="s">
        <v>4780</v>
      </c>
      <c r="E275" s="12" t="s">
        <v>774</v>
      </c>
      <c r="F275" s="13">
        <v>4</v>
      </c>
      <c r="G275" s="121">
        <f>Overview!$B$21</f>
        <v>24</v>
      </c>
      <c r="H275" s="114">
        <f t="shared" si="58"/>
        <v>24</v>
      </c>
      <c r="I275" s="114">
        <f>Overview!$E$21</f>
        <v>0</v>
      </c>
      <c r="J275" s="115">
        <f t="shared" si="59"/>
        <v>0</v>
      </c>
      <c r="K275" s="116">
        <f>Overview!$H$21</f>
        <v>0</v>
      </c>
      <c r="L275" s="117" t="e">
        <f t="shared" si="60"/>
        <v>#DIV/0!</v>
      </c>
      <c r="M275" s="179" t="s">
        <v>953</v>
      </c>
      <c r="N275" s="179" t="s">
        <v>971</v>
      </c>
      <c r="O275" s="141">
        <f>I275</f>
        <v>0</v>
      </c>
      <c r="P275" s="181" t="b">
        <f>COUNTIF('Facility Data'!$A$1:$A$1500,"*"&amp;A275&amp;"*")&gt;0</f>
        <v>0</v>
      </c>
      <c r="Q275" s="181" t="b">
        <f>COUNTIF('Account Data'!$A$1:$A$1000,"*"&amp;A275&amp;"*")&gt;0</f>
        <v>0</v>
      </c>
      <c r="R275" s="182" t="b">
        <f t="shared" si="61"/>
        <v>0</v>
      </c>
      <c r="S275" s="182" t="b">
        <f t="shared" si="62"/>
        <v>0</v>
      </c>
      <c r="T275" s="181" t="b">
        <f>COUNTIF('New Items'!$A$1:$A$175,A275)&gt;0</f>
        <v>0</v>
      </c>
      <c r="U275" s="181" t="b">
        <f>COUNTIF(Discontinued!$A$1:$A$150,A275)&gt;0</f>
        <v>0</v>
      </c>
    </row>
    <row r="276" spans="1:21" s="8" customFormat="1" ht="11.25" x14ac:dyDescent="0.2">
      <c r="A276" s="152">
        <v>10001249</v>
      </c>
      <c r="B276" s="231" t="s">
        <v>329</v>
      </c>
      <c r="C276" s="118" t="s">
        <v>330</v>
      </c>
      <c r="D276" s="119" t="s">
        <v>636</v>
      </c>
      <c r="E276" s="12" t="s">
        <v>774</v>
      </c>
      <c r="F276" s="13">
        <v>4</v>
      </c>
      <c r="G276" s="121">
        <f>Overview!$B$21</f>
        <v>24</v>
      </c>
      <c r="H276" s="114">
        <f t="shared" si="58"/>
        <v>24</v>
      </c>
      <c r="I276" s="114">
        <f>Overview!$E$21</f>
        <v>0</v>
      </c>
      <c r="J276" s="115">
        <f t="shared" si="59"/>
        <v>0</v>
      </c>
      <c r="K276" s="116">
        <f>Overview!$H$21</f>
        <v>0</v>
      </c>
      <c r="L276" s="117" t="e">
        <f t="shared" si="60"/>
        <v>#DIV/0!</v>
      </c>
      <c r="M276" s="179" t="s">
        <v>4370</v>
      </c>
      <c r="N276" s="179" t="s">
        <v>971</v>
      </c>
      <c r="O276" s="141">
        <f t="shared" si="63"/>
        <v>0</v>
      </c>
      <c r="P276" s="181" t="b">
        <f>COUNTIF('Facility Data'!$A$1:$A$1500,"*"&amp;A276&amp;"*")&gt;0</f>
        <v>1</v>
      </c>
      <c r="Q276" s="181" t="b">
        <f>COUNTIF('Account Data'!$A$1:$A$1000,"*"&amp;A276&amp;"*")&gt;0</f>
        <v>1</v>
      </c>
      <c r="R276" s="182" t="b">
        <f t="shared" si="61"/>
        <v>1</v>
      </c>
      <c r="S276" s="182" t="b">
        <f t="shared" si="62"/>
        <v>1</v>
      </c>
      <c r="T276" s="181" t="b">
        <f>COUNTIF('New Items'!$A$1:$A$175,A276)&gt;0</f>
        <v>0</v>
      </c>
      <c r="U276" s="181" t="b">
        <f>COUNTIF(Discontinued!$A$1:$A$150,A276)&gt;0</f>
        <v>0</v>
      </c>
    </row>
    <row r="277" spans="1:21" s="8" customFormat="1" ht="11.25" x14ac:dyDescent="0.2">
      <c r="A277" s="152">
        <v>10002165</v>
      </c>
      <c r="B277" s="231" t="s">
        <v>4798</v>
      </c>
      <c r="C277" s="118" t="s">
        <v>1102</v>
      </c>
      <c r="D277" s="119" t="s">
        <v>4762</v>
      </c>
      <c r="E277" s="12" t="s">
        <v>774</v>
      </c>
      <c r="F277" s="13">
        <v>4</v>
      </c>
      <c r="G277" s="121">
        <f>Overview!$B$21</f>
        <v>24</v>
      </c>
      <c r="H277" s="114">
        <f t="shared" si="58"/>
        <v>24</v>
      </c>
      <c r="I277" s="114">
        <f>Overview!$E$21</f>
        <v>0</v>
      </c>
      <c r="J277" s="115">
        <f t="shared" si="59"/>
        <v>0</v>
      </c>
      <c r="K277" s="116">
        <f>Overview!$H$21</f>
        <v>0</v>
      </c>
      <c r="L277" s="117" t="e">
        <f t="shared" si="60"/>
        <v>#DIV/0!</v>
      </c>
      <c r="M277" s="179" t="s">
        <v>4370</v>
      </c>
      <c r="N277" s="179" t="s">
        <v>971</v>
      </c>
      <c r="O277" s="141">
        <f t="shared" si="63"/>
        <v>0</v>
      </c>
      <c r="P277" s="181" t="b">
        <f>COUNTIF('Facility Data'!$A$1:$A$1500,"*"&amp;A277&amp;"*")&gt;0</f>
        <v>0</v>
      </c>
      <c r="Q277" s="181" t="b">
        <f>COUNTIF('Account Data'!$A$1:$A$1000,"*"&amp;A277&amp;"*")&gt;0</f>
        <v>0</v>
      </c>
      <c r="R277" s="182" t="b">
        <f t="shared" si="61"/>
        <v>0</v>
      </c>
      <c r="S277" s="182" t="b">
        <f t="shared" si="62"/>
        <v>0</v>
      </c>
      <c r="T277" s="181" t="b">
        <f>COUNTIF('New Items'!$A$1:$A$175,A277)&gt;0</f>
        <v>0</v>
      </c>
      <c r="U277" s="181" t="b">
        <f>COUNTIF(Discontinued!$A$1:$A$150,A277)&gt;0</f>
        <v>0</v>
      </c>
    </row>
    <row r="278" spans="1:21" s="8" customFormat="1" ht="11.25" x14ac:dyDescent="0.2">
      <c r="A278" s="152">
        <v>10001254</v>
      </c>
      <c r="B278" s="231" t="s">
        <v>1316</v>
      </c>
      <c r="C278" s="12" t="s">
        <v>1317</v>
      </c>
      <c r="D278" s="11" t="s">
        <v>655</v>
      </c>
      <c r="E278" s="12" t="s">
        <v>774</v>
      </c>
      <c r="F278" s="13">
        <v>4</v>
      </c>
      <c r="G278" s="121">
        <f>Overview!$B$21</f>
        <v>24</v>
      </c>
      <c r="H278" s="114">
        <f t="shared" si="58"/>
        <v>24</v>
      </c>
      <c r="I278" s="114">
        <f>Overview!$E$21</f>
        <v>0</v>
      </c>
      <c r="J278" s="115">
        <f t="shared" si="59"/>
        <v>0</v>
      </c>
      <c r="K278" s="116">
        <f>Overview!$H$21</f>
        <v>0</v>
      </c>
      <c r="L278" s="117" t="e">
        <f t="shared" si="60"/>
        <v>#DIV/0!</v>
      </c>
      <c r="M278" s="179"/>
      <c r="N278" s="179" t="s">
        <v>971</v>
      </c>
      <c r="O278" s="141">
        <f t="shared" si="63"/>
        <v>0</v>
      </c>
      <c r="P278" s="181" t="b">
        <f>COUNTIF('Facility Data'!$A$1:$A$1500,"*"&amp;A278&amp;"*")&gt;0</f>
        <v>0</v>
      </c>
      <c r="Q278" s="181" t="b">
        <f>COUNTIF('Account Data'!$A$1:$A$1000,"*"&amp;A278&amp;"*")&gt;0</f>
        <v>0</v>
      </c>
      <c r="R278" s="182" t="b">
        <f t="shared" si="61"/>
        <v>0</v>
      </c>
      <c r="S278" s="182" t="b">
        <f t="shared" si="62"/>
        <v>0</v>
      </c>
      <c r="T278" s="181" t="b">
        <f>COUNTIF('New Items'!$A$1:$A$175,A278)&gt;0</f>
        <v>0</v>
      </c>
      <c r="U278" s="181" t="b">
        <f>COUNTIF(Discontinued!$A$1:$A$150,A278)&gt;0</f>
        <v>0</v>
      </c>
    </row>
    <row r="279" spans="1:21" s="8" customFormat="1" ht="11.25" x14ac:dyDescent="0.2">
      <c r="A279" s="152">
        <v>10001255</v>
      </c>
      <c r="B279" s="10" t="s">
        <v>1318</v>
      </c>
      <c r="C279" s="12" t="s">
        <v>1319</v>
      </c>
      <c r="D279" s="11" t="s">
        <v>640</v>
      </c>
      <c r="E279" s="12" t="s">
        <v>774</v>
      </c>
      <c r="F279" s="13">
        <v>4</v>
      </c>
      <c r="G279" s="22">
        <f>Overview!$B$21</f>
        <v>24</v>
      </c>
      <c r="H279" s="114">
        <f t="shared" si="58"/>
        <v>24</v>
      </c>
      <c r="I279" s="114">
        <f>Overview!$E$21</f>
        <v>0</v>
      </c>
      <c r="J279" s="115">
        <f t="shared" si="59"/>
        <v>0</v>
      </c>
      <c r="K279" s="116">
        <f>Overview!$H$21</f>
        <v>0</v>
      </c>
      <c r="L279" s="117" t="e">
        <f t="shared" si="60"/>
        <v>#DIV/0!</v>
      </c>
      <c r="M279" s="179"/>
      <c r="N279" s="179" t="s">
        <v>971</v>
      </c>
      <c r="O279" s="141">
        <f t="shared" si="63"/>
        <v>0</v>
      </c>
      <c r="P279" s="181" t="b">
        <f>COUNTIF('Facility Data'!$A$1:$A$1500,"*"&amp;A279&amp;"*")&gt;0</f>
        <v>1</v>
      </c>
      <c r="Q279" s="181" t="b">
        <f>COUNTIF('Account Data'!$A$1:$A$1000,"*"&amp;A279&amp;"*")&gt;0</f>
        <v>0</v>
      </c>
      <c r="R279" s="182" t="b">
        <f t="shared" si="61"/>
        <v>1</v>
      </c>
      <c r="S279" s="182" t="b">
        <f t="shared" si="62"/>
        <v>0</v>
      </c>
      <c r="T279" s="181" t="b">
        <f>COUNTIF('New Items'!$A$1:$A$175,A279)&gt;0</f>
        <v>0</v>
      </c>
      <c r="U279" s="181" t="b">
        <f>COUNTIF(Discontinued!$A$1:$A$150,A279)&gt;0</f>
        <v>0</v>
      </c>
    </row>
    <row r="280" spans="1:21" s="8" customFormat="1" ht="11.25" x14ac:dyDescent="0.2">
      <c r="A280" s="152">
        <v>10000017</v>
      </c>
      <c r="B280" s="10" t="s">
        <v>1441</v>
      </c>
      <c r="C280" s="12" t="s">
        <v>1442</v>
      </c>
      <c r="D280" s="11" t="s">
        <v>662</v>
      </c>
      <c r="E280" s="12" t="s">
        <v>774</v>
      </c>
      <c r="F280" s="13">
        <v>4</v>
      </c>
      <c r="G280" s="22">
        <f>Overview!$B$21</f>
        <v>24</v>
      </c>
      <c r="H280" s="114">
        <f t="shared" si="58"/>
        <v>24</v>
      </c>
      <c r="I280" s="114">
        <f>Overview!$E$21</f>
        <v>0</v>
      </c>
      <c r="J280" s="115">
        <f t="shared" si="59"/>
        <v>0</v>
      </c>
      <c r="K280" s="116">
        <f>Overview!$H$21</f>
        <v>0</v>
      </c>
      <c r="L280" s="117" t="e">
        <f t="shared" si="60"/>
        <v>#DIV/0!</v>
      </c>
      <c r="M280" s="179"/>
      <c r="N280" s="179" t="s">
        <v>971</v>
      </c>
      <c r="O280" s="141">
        <f t="shared" si="63"/>
        <v>0</v>
      </c>
      <c r="P280" s="181" t="b">
        <f>COUNTIF('Facility Data'!$A$1:$A$1500,"*"&amp;A280&amp;"*")&gt;0</f>
        <v>1</v>
      </c>
      <c r="Q280" s="181" t="b">
        <f>COUNTIF('Account Data'!$A$1:$A$1000,"*"&amp;A280&amp;"*")&gt;0</f>
        <v>0</v>
      </c>
      <c r="R280" s="182" t="b">
        <f t="shared" si="61"/>
        <v>1</v>
      </c>
      <c r="S280" s="182" t="b">
        <f t="shared" si="62"/>
        <v>0</v>
      </c>
      <c r="T280" s="181" t="b">
        <f>COUNTIF('New Items'!$A$1:$A$175,A280)&gt;0</f>
        <v>0</v>
      </c>
      <c r="U280" s="181" t="b">
        <f>COUNTIF(Discontinued!$A$1:$A$150,A280)&gt;0</f>
        <v>0</v>
      </c>
    </row>
    <row r="281" spans="1:21" s="8" customFormat="1" ht="11.25" x14ac:dyDescent="0.2">
      <c r="A281" s="152">
        <v>10001245</v>
      </c>
      <c r="B281" s="10" t="s">
        <v>1320</v>
      </c>
      <c r="C281" s="12" t="s">
        <v>1321</v>
      </c>
      <c r="D281" s="11" t="s">
        <v>658</v>
      </c>
      <c r="E281" s="12" t="s">
        <v>774</v>
      </c>
      <c r="F281" s="13">
        <v>4</v>
      </c>
      <c r="G281" s="22">
        <f>Overview!$B$21</f>
        <v>24</v>
      </c>
      <c r="H281" s="114">
        <f t="shared" si="58"/>
        <v>24</v>
      </c>
      <c r="I281" s="114">
        <f>Overview!$E$21</f>
        <v>0</v>
      </c>
      <c r="J281" s="115">
        <f t="shared" si="59"/>
        <v>0</v>
      </c>
      <c r="K281" s="116">
        <f>Overview!$H$21</f>
        <v>0</v>
      </c>
      <c r="L281" s="117" t="e">
        <f t="shared" si="60"/>
        <v>#DIV/0!</v>
      </c>
      <c r="M281" s="179"/>
      <c r="N281" s="179" t="s">
        <v>971</v>
      </c>
      <c r="O281" s="141">
        <f t="shared" si="63"/>
        <v>0</v>
      </c>
      <c r="P281" s="181" t="b">
        <f>COUNTIF('Facility Data'!$A$1:$A$1500,"*"&amp;A281&amp;"*")&gt;0</f>
        <v>0</v>
      </c>
      <c r="Q281" s="181" t="b">
        <f>COUNTIF('Account Data'!$A$1:$A$1000,"*"&amp;A281&amp;"*")&gt;0</f>
        <v>0</v>
      </c>
      <c r="R281" s="182" t="b">
        <f t="shared" si="61"/>
        <v>0</v>
      </c>
      <c r="S281" s="182" t="b">
        <f t="shared" si="62"/>
        <v>0</v>
      </c>
      <c r="T281" s="181" t="b">
        <f>COUNTIF('New Items'!$A$1:$A$175,A281)&gt;0</f>
        <v>0</v>
      </c>
      <c r="U281" s="181" t="b">
        <f>COUNTIF(Discontinued!$A$1:$A$150,A281)&gt;0</f>
        <v>0</v>
      </c>
    </row>
    <row r="282" spans="1:21" s="8" customFormat="1" ht="12" thickBot="1" x14ac:dyDescent="0.25">
      <c r="A282" s="152">
        <v>10001242</v>
      </c>
      <c r="B282" s="10" t="s">
        <v>331</v>
      </c>
      <c r="C282" s="12" t="s">
        <v>332</v>
      </c>
      <c r="D282" s="11" t="s">
        <v>660</v>
      </c>
      <c r="E282" s="12" t="s">
        <v>774</v>
      </c>
      <c r="F282" s="13">
        <v>4</v>
      </c>
      <c r="G282" s="22">
        <f>Overview!$B$21</f>
        <v>24</v>
      </c>
      <c r="H282" s="114">
        <f t="shared" si="58"/>
        <v>24</v>
      </c>
      <c r="I282" s="114">
        <f>Overview!$E$21</f>
        <v>0</v>
      </c>
      <c r="J282" s="115">
        <f t="shared" si="59"/>
        <v>0</v>
      </c>
      <c r="K282" s="116">
        <f>Overview!$H$21</f>
        <v>0</v>
      </c>
      <c r="L282" s="117" t="e">
        <f t="shared" si="60"/>
        <v>#DIV/0!</v>
      </c>
      <c r="M282" s="179"/>
      <c r="N282" s="179" t="s">
        <v>971</v>
      </c>
      <c r="O282" s="141">
        <f t="shared" si="63"/>
        <v>0</v>
      </c>
      <c r="P282" s="181" t="b">
        <f>COUNTIF('Facility Data'!$A$1:$A$1500,"*"&amp;A282&amp;"*")&gt;0</f>
        <v>1</v>
      </c>
      <c r="Q282" s="181" t="b">
        <f>COUNTIF('Account Data'!$A$1:$A$1000,"*"&amp;A282&amp;"*")&gt;0</f>
        <v>0</v>
      </c>
      <c r="R282" s="182" t="b">
        <f t="shared" si="61"/>
        <v>1</v>
      </c>
      <c r="S282" s="182" t="b">
        <f t="shared" si="62"/>
        <v>0</v>
      </c>
      <c r="T282" s="181" t="b">
        <f>COUNTIF('New Items'!$A$1:$A$175,A282)&gt;0</f>
        <v>0</v>
      </c>
      <c r="U282" s="181" t="b">
        <f>COUNTIF(Discontinued!$A$1:$A$150,A282)&gt;0</f>
        <v>0</v>
      </c>
    </row>
    <row r="283" spans="1:21" s="8" customFormat="1" ht="13.5" thickBot="1" x14ac:dyDescent="0.25">
      <c r="A283" s="300" t="s">
        <v>284</v>
      </c>
      <c r="B283" s="301"/>
      <c r="C283" s="301"/>
      <c r="D283" s="301"/>
      <c r="E283" s="301"/>
      <c r="F283" s="301"/>
      <c r="G283" s="301"/>
      <c r="H283" s="301"/>
      <c r="I283" s="301"/>
      <c r="J283" s="301"/>
      <c r="K283" s="301"/>
      <c r="L283" s="302"/>
      <c r="M283" s="179" t="s">
        <v>4361</v>
      </c>
      <c r="N283" s="179" t="s">
        <v>967</v>
      </c>
      <c r="O283" s="141">
        <f>AVERAGE(O284:O349)</f>
        <v>0</v>
      </c>
      <c r="P283" s="181" t="b">
        <f>COUNTIF(P284:P349,TRUE)&gt;0</f>
        <v>1</v>
      </c>
      <c r="Q283" s="181" t="b">
        <f>COUNTIF(Q284:Q349,TRUE)&gt;0</f>
        <v>1</v>
      </c>
      <c r="R283" s="181" t="b">
        <f>COUNTIF(R284:R349,TRUE)&gt;0</f>
        <v>1</v>
      </c>
      <c r="S283" s="181" t="b">
        <f>COUNTIF(S284:S349,TRUE)&gt;0</f>
        <v>1</v>
      </c>
      <c r="T283" s="181" t="b">
        <f>COUNTIF(T284:T349,TRUE)&gt;0</f>
        <v>1</v>
      </c>
      <c r="U283" s="181"/>
    </row>
    <row r="284" spans="1:21" s="8" customFormat="1" ht="11.25" x14ac:dyDescent="0.2">
      <c r="A284" s="152">
        <v>10001195</v>
      </c>
      <c r="B284" s="10" t="s">
        <v>143</v>
      </c>
      <c r="C284" s="12" t="s">
        <v>144</v>
      </c>
      <c r="D284" s="11" t="s">
        <v>629</v>
      </c>
      <c r="E284" s="12" t="s">
        <v>757</v>
      </c>
      <c r="F284" s="13">
        <v>24</v>
      </c>
      <c r="G284" s="22">
        <f>Overview!$B$22</f>
        <v>36</v>
      </c>
      <c r="H284" s="114">
        <f t="shared" ref="H284:H318" si="64">G284-I284</f>
        <v>36</v>
      </c>
      <c r="I284" s="114">
        <f>Overview!$E$22</f>
        <v>0</v>
      </c>
      <c r="J284" s="115">
        <f t="shared" ref="J284:J349" si="65">I284/F284</f>
        <v>0</v>
      </c>
      <c r="K284" s="116">
        <f>Overview!$H$22</f>
        <v>0</v>
      </c>
      <c r="L284" s="117" t="e">
        <f t="shared" ref="L284:L349" si="66">(K284-J284)/K284</f>
        <v>#DIV/0!</v>
      </c>
      <c r="M284" s="179" t="s">
        <v>951</v>
      </c>
      <c r="N284" s="179" t="s">
        <v>967</v>
      </c>
      <c r="O284" s="141">
        <f>I284</f>
        <v>0</v>
      </c>
      <c r="P284" s="181" t="b">
        <f>COUNTIF('Facility Data'!$A$1:$A$1500,"*"&amp;A284&amp;"*")&gt;0</f>
        <v>0</v>
      </c>
      <c r="Q284" s="181" t="b">
        <f>COUNTIF('Account Data'!$A$1:$A$1000,"*"&amp;A284&amp;"*")&gt;0</f>
        <v>1</v>
      </c>
      <c r="R284" s="182" t="b">
        <f t="shared" ref="R284:R318" si="67">IF(OR(P284=TRUE,T284=TRUE),TRUE,FALSE)</f>
        <v>0</v>
      </c>
      <c r="S284" s="182" t="b">
        <f t="shared" ref="S284:S310" si="68">IF(OR(Q284=TRUE,T284=TRUE),TRUE,FALSE)</f>
        <v>1</v>
      </c>
      <c r="T284" s="181" t="b">
        <f>COUNTIF('New Items'!$A$1:$A$175,A284)&gt;0</f>
        <v>0</v>
      </c>
      <c r="U284" s="181" t="b">
        <f>COUNTIF(Discontinued!$A$1:$A$150,A284)&gt;0</f>
        <v>0</v>
      </c>
    </row>
    <row r="285" spans="1:21" s="8" customFormat="1" ht="11.25" x14ac:dyDescent="0.2">
      <c r="A285" s="290">
        <v>10136725</v>
      </c>
      <c r="B285" s="10" t="s">
        <v>4718</v>
      </c>
      <c r="C285" s="12" t="s">
        <v>4719</v>
      </c>
      <c r="D285" s="11" t="s">
        <v>4713</v>
      </c>
      <c r="E285" s="12" t="s">
        <v>757</v>
      </c>
      <c r="F285" s="13">
        <v>24</v>
      </c>
      <c r="G285" s="22">
        <f>Overview!$B$22</f>
        <v>36</v>
      </c>
      <c r="H285" s="114">
        <f t="shared" si="64"/>
        <v>36</v>
      </c>
      <c r="I285" s="114">
        <f>Overview!$E$22</f>
        <v>0</v>
      </c>
      <c r="J285" s="115">
        <f>I285/F285</f>
        <v>0</v>
      </c>
      <c r="K285" s="116">
        <f>Overview!$H$22</f>
        <v>0</v>
      </c>
      <c r="L285" s="117" t="e">
        <f>(K285-J285)/K285</f>
        <v>#DIV/0!</v>
      </c>
      <c r="M285" s="179" t="s">
        <v>951</v>
      </c>
      <c r="N285" s="179" t="s">
        <v>967</v>
      </c>
      <c r="O285" s="141">
        <f>I285</f>
        <v>0</v>
      </c>
      <c r="P285" s="181" t="b">
        <f>COUNTIF('Facility Data'!$A$1:$A$1500,"*"&amp;A285&amp;"*")&gt;0</f>
        <v>0</v>
      </c>
      <c r="Q285" s="181" t="b">
        <f>COUNTIF('Account Data'!$A$1:$A$1000,"*"&amp;A285&amp;"*")&gt;0</f>
        <v>0</v>
      </c>
      <c r="R285" s="182" t="b">
        <f>IF(OR(P285=TRUE,T285=TRUE),TRUE,FALSE)</f>
        <v>1</v>
      </c>
      <c r="S285" s="182" t="b">
        <f>IF(OR(Q285=TRUE,T285=TRUE),TRUE,FALSE)</f>
        <v>1</v>
      </c>
      <c r="T285" s="181" t="b">
        <f>COUNTIF('New Items'!$A$1:$A$175,A285)&gt;0</f>
        <v>1</v>
      </c>
      <c r="U285" s="181" t="b">
        <f>COUNTIF(Discontinued!$A$1:$A$150,A285)&gt;0</f>
        <v>0</v>
      </c>
    </row>
    <row r="286" spans="1:21" s="8" customFormat="1" ht="11.25" x14ac:dyDescent="0.2">
      <c r="A286" s="152">
        <v>10001625</v>
      </c>
      <c r="B286" s="10" t="s">
        <v>145</v>
      </c>
      <c r="C286" s="12" t="s">
        <v>146</v>
      </c>
      <c r="D286" s="11" t="s">
        <v>631</v>
      </c>
      <c r="E286" s="12" t="s">
        <v>757</v>
      </c>
      <c r="F286" s="13">
        <v>24</v>
      </c>
      <c r="G286" s="22">
        <f>Overview!$B$22</f>
        <v>36</v>
      </c>
      <c r="H286" s="114">
        <f t="shared" si="64"/>
        <v>36</v>
      </c>
      <c r="I286" s="114">
        <f>Overview!$E$22</f>
        <v>0</v>
      </c>
      <c r="J286" s="115">
        <f t="shared" si="65"/>
        <v>0</v>
      </c>
      <c r="K286" s="116">
        <f>Overview!$H$22</f>
        <v>0</v>
      </c>
      <c r="L286" s="117" t="e">
        <f t="shared" si="66"/>
        <v>#DIV/0!</v>
      </c>
      <c r="M286" s="179" t="s">
        <v>951</v>
      </c>
      <c r="N286" s="179" t="s">
        <v>967</v>
      </c>
      <c r="O286" s="141">
        <f t="shared" ref="O286:O348" si="69">I286</f>
        <v>0</v>
      </c>
      <c r="P286" s="181" t="b">
        <f>COUNTIF('Facility Data'!$A$1:$A$1500,"*"&amp;A286&amp;"*")&gt;0</f>
        <v>0</v>
      </c>
      <c r="Q286" s="181" t="b">
        <f>COUNTIF('Account Data'!$A$1:$A$1000,"*"&amp;A286&amp;"*")&gt;0</f>
        <v>1</v>
      </c>
      <c r="R286" s="182" t="b">
        <f t="shared" si="67"/>
        <v>0</v>
      </c>
      <c r="S286" s="182" t="b">
        <f t="shared" si="68"/>
        <v>1</v>
      </c>
      <c r="T286" s="181" t="b">
        <f>COUNTIF('New Items'!$A$1:$A$175,A286)&gt;0</f>
        <v>0</v>
      </c>
      <c r="U286" s="181" t="b">
        <f>COUNTIF(Discontinued!$A$1:$A$150,A286)&gt;0</f>
        <v>0</v>
      </c>
    </row>
    <row r="287" spans="1:21" s="8" customFormat="1" ht="11.25" x14ac:dyDescent="0.2">
      <c r="A287" s="160">
        <v>10127330</v>
      </c>
      <c r="B287" s="231" t="s">
        <v>3769</v>
      </c>
      <c r="C287" s="118" t="s">
        <v>3771</v>
      </c>
      <c r="D287" s="119" t="s">
        <v>3761</v>
      </c>
      <c r="E287" s="12" t="s">
        <v>757</v>
      </c>
      <c r="F287" s="13">
        <v>24</v>
      </c>
      <c r="G287" s="121">
        <f>Overview!$B$22</f>
        <v>36</v>
      </c>
      <c r="H287" s="114">
        <f>G287-I287</f>
        <v>36</v>
      </c>
      <c r="I287" s="114">
        <f>Overview!$E$22</f>
        <v>0</v>
      </c>
      <c r="J287" s="115">
        <f>I287/F287</f>
        <v>0</v>
      </c>
      <c r="K287" s="116">
        <f>Overview!$H$22</f>
        <v>0</v>
      </c>
      <c r="L287" s="117" t="e">
        <f>(K287-J287)/K287</f>
        <v>#DIV/0!</v>
      </c>
      <c r="M287" s="179" t="s">
        <v>951</v>
      </c>
      <c r="N287" s="179" t="s">
        <v>967</v>
      </c>
      <c r="O287" s="141">
        <f>I287</f>
        <v>0</v>
      </c>
      <c r="P287" s="181" t="b">
        <f>COUNTIF('Facility Data'!$A$1:$A$1500,"*"&amp;A287&amp;"*")&gt;0</f>
        <v>0</v>
      </c>
      <c r="Q287" s="181" t="b">
        <f>COUNTIF('Account Data'!$A$1:$A$1000,"*"&amp;A287&amp;"*")&gt;0</f>
        <v>0</v>
      </c>
      <c r="R287" s="182" t="b">
        <f>IF(OR(P287=TRUE,T287=TRUE),TRUE,FALSE)</f>
        <v>0</v>
      </c>
      <c r="S287" s="182" t="b">
        <f>IF(OR(Q287=TRUE,T287=TRUE),TRUE,FALSE)</f>
        <v>0</v>
      </c>
      <c r="T287" s="181" t="b">
        <f>COUNTIF('New Items'!$A$1:$A$175,A287)&gt;0</f>
        <v>0</v>
      </c>
      <c r="U287" s="181" t="b">
        <f>COUNTIF(Discontinued!$A$1:$A$150,A287)&gt;0</f>
        <v>0</v>
      </c>
    </row>
    <row r="288" spans="1:21" s="8" customFormat="1" ht="11.25" x14ac:dyDescent="0.2">
      <c r="A288" s="289">
        <v>10136734</v>
      </c>
      <c r="B288" s="231" t="s">
        <v>4727</v>
      </c>
      <c r="C288" s="118" t="s">
        <v>4728</v>
      </c>
      <c r="D288" s="119" t="s">
        <v>4729</v>
      </c>
      <c r="E288" s="12" t="s">
        <v>757</v>
      </c>
      <c r="F288" s="13">
        <v>24</v>
      </c>
      <c r="G288" s="121">
        <f>Overview!$B$22</f>
        <v>36</v>
      </c>
      <c r="H288" s="114">
        <f>G288-I288</f>
        <v>36</v>
      </c>
      <c r="I288" s="114">
        <f>Overview!$E$22</f>
        <v>0</v>
      </c>
      <c r="J288" s="115">
        <f>I288/F288</f>
        <v>0</v>
      </c>
      <c r="K288" s="116">
        <f>Overview!$H$22</f>
        <v>0</v>
      </c>
      <c r="L288" s="117" t="e">
        <f>(K288-J288)/K288</f>
        <v>#DIV/0!</v>
      </c>
      <c r="M288" s="179" t="s">
        <v>951</v>
      </c>
      <c r="N288" s="179" t="s">
        <v>967</v>
      </c>
      <c r="O288" s="141">
        <f>I288</f>
        <v>0</v>
      </c>
      <c r="P288" s="181" t="b">
        <f>COUNTIF('Facility Data'!$A$1:$A$1500,"*"&amp;A288&amp;"*")&gt;0</f>
        <v>0</v>
      </c>
      <c r="Q288" s="181" t="b">
        <f>COUNTIF('Account Data'!$A$1:$A$1000,"*"&amp;A288&amp;"*")&gt;0</f>
        <v>0</v>
      </c>
      <c r="R288" s="182" t="b">
        <f>IF(OR(P288=TRUE,T288=TRUE),TRUE,FALSE)</f>
        <v>1</v>
      </c>
      <c r="S288" s="182" t="b">
        <f>IF(OR(Q288=TRUE,T288=TRUE),TRUE,FALSE)</f>
        <v>1</v>
      </c>
      <c r="T288" s="181" t="b">
        <f>COUNTIF('New Items'!$A$1:$A$175,A288)&gt;0</f>
        <v>1</v>
      </c>
      <c r="U288" s="181" t="b">
        <f>COUNTIF(Discontinued!$A$1:$A$150,A288)&gt;0</f>
        <v>0</v>
      </c>
    </row>
    <row r="289" spans="1:21" s="8" customFormat="1" ht="11.25" x14ac:dyDescent="0.2">
      <c r="A289" s="160">
        <v>10127333</v>
      </c>
      <c r="B289" s="231" t="s">
        <v>3770</v>
      </c>
      <c r="C289" s="118" t="s">
        <v>3772</v>
      </c>
      <c r="D289" s="119" t="s">
        <v>3762</v>
      </c>
      <c r="E289" s="12" t="s">
        <v>757</v>
      </c>
      <c r="F289" s="13">
        <v>24</v>
      </c>
      <c r="G289" s="121">
        <f>Overview!$B$22</f>
        <v>36</v>
      </c>
      <c r="H289" s="114">
        <f>G289-I289</f>
        <v>36</v>
      </c>
      <c r="I289" s="114">
        <f>Overview!$E$22</f>
        <v>0</v>
      </c>
      <c r="J289" s="115">
        <f>I289/F289</f>
        <v>0</v>
      </c>
      <c r="K289" s="116">
        <f>Overview!$H$22</f>
        <v>0</v>
      </c>
      <c r="L289" s="117" t="e">
        <f>(K289-J289)/K289</f>
        <v>#DIV/0!</v>
      </c>
      <c r="M289" s="179" t="s">
        <v>951</v>
      </c>
      <c r="N289" s="179" t="s">
        <v>967</v>
      </c>
      <c r="O289" s="141">
        <f>I289</f>
        <v>0</v>
      </c>
      <c r="P289" s="181" t="b">
        <f>COUNTIF('Facility Data'!$A$1:$A$1500,"*"&amp;A289&amp;"*")&gt;0</f>
        <v>0</v>
      </c>
      <c r="Q289" s="181" t="b">
        <f>COUNTIF('Account Data'!$A$1:$A$1000,"*"&amp;A289&amp;"*")&gt;0</f>
        <v>0</v>
      </c>
      <c r="R289" s="182" t="b">
        <f>IF(OR(P289=TRUE,T289=TRUE),TRUE,FALSE)</f>
        <v>0</v>
      </c>
      <c r="S289" s="182" t="b">
        <f>IF(OR(Q289=TRUE,T289=TRUE),TRUE,FALSE)</f>
        <v>0</v>
      </c>
      <c r="T289" s="181" t="b">
        <f>COUNTIF('New Items'!$A$1:$A$175,A289)&gt;0</f>
        <v>0</v>
      </c>
      <c r="U289" s="181" t="b">
        <f>COUNTIF(Discontinued!$A$1:$A$150,A289)&gt;0</f>
        <v>0</v>
      </c>
    </row>
    <row r="290" spans="1:21" s="8" customFormat="1" ht="11.25" x14ac:dyDescent="0.2">
      <c r="A290" s="160">
        <v>10001796</v>
      </c>
      <c r="B290" s="231" t="s">
        <v>147</v>
      </c>
      <c r="C290" s="118" t="s">
        <v>148</v>
      </c>
      <c r="D290" s="119" t="s">
        <v>632</v>
      </c>
      <c r="E290" s="12" t="s">
        <v>757</v>
      </c>
      <c r="F290" s="13">
        <v>24</v>
      </c>
      <c r="G290" s="121">
        <f>Overview!$B$22</f>
        <v>36</v>
      </c>
      <c r="H290" s="114">
        <f t="shared" si="64"/>
        <v>36</v>
      </c>
      <c r="I290" s="114">
        <f>Overview!$E$22</f>
        <v>0</v>
      </c>
      <c r="J290" s="115">
        <f t="shared" si="65"/>
        <v>0</v>
      </c>
      <c r="K290" s="116">
        <f>Overview!$H$22</f>
        <v>0</v>
      </c>
      <c r="L290" s="117" t="e">
        <f t="shared" si="66"/>
        <v>#DIV/0!</v>
      </c>
      <c r="M290" s="179" t="s">
        <v>951</v>
      </c>
      <c r="N290" s="179" t="s">
        <v>967</v>
      </c>
      <c r="O290" s="141">
        <f t="shared" si="69"/>
        <v>0</v>
      </c>
      <c r="P290" s="181" t="b">
        <f>COUNTIF('Facility Data'!$A$1:$A$1500,"*"&amp;A290&amp;"*")&gt;0</f>
        <v>0</v>
      </c>
      <c r="Q290" s="181" t="b">
        <f>COUNTIF('Account Data'!$A$1:$A$1000,"*"&amp;A290&amp;"*")&gt;0</f>
        <v>1</v>
      </c>
      <c r="R290" s="182" t="b">
        <f t="shared" si="67"/>
        <v>0</v>
      </c>
      <c r="S290" s="182" t="b">
        <f t="shared" si="68"/>
        <v>1</v>
      </c>
      <c r="T290" s="181" t="b">
        <f>COUNTIF('New Items'!$A$1:$A$175,A290)&gt;0</f>
        <v>0</v>
      </c>
      <c r="U290" s="181" t="b">
        <f>COUNTIF(Discontinued!$A$1:$A$150,A290)&gt;0</f>
        <v>0</v>
      </c>
    </row>
    <row r="291" spans="1:21" s="8" customFormat="1" ht="11.25" x14ac:dyDescent="0.2">
      <c r="A291" s="289">
        <v>10136731</v>
      </c>
      <c r="B291" s="231" t="s">
        <v>4725</v>
      </c>
      <c r="C291" s="118" t="s">
        <v>4726</v>
      </c>
      <c r="D291" s="119" t="s">
        <v>4721</v>
      </c>
      <c r="E291" s="12" t="s">
        <v>757</v>
      </c>
      <c r="F291" s="13">
        <v>24</v>
      </c>
      <c r="G291" s="121">
        <f>Overview!$B$22</f>
        <v>36</v>
      </c>
      <c r="H291" s="114">
        <f t="shared" si="64"/>
        <v>36</v>
      </c>
      <c r="I291" s="114">
        <f>Overview!$E$22</f>
        <v>0</v>
      </c>
      <c r="J291" s="115">
        <f>I291/F291</f>
        <v>0</v>
      </c>
      <c r="K291" s="116">
        <f>Overview!$H$22</f>
        <v>0</v>
      </c>
      <c r="L291" s="117" t="e">
        <f>(K291-J291)/K291</f>
        <v>#DIV/0!</v>
      </c>
      <c r="M291" s="179" t="s">
        <v>951</v>
      </c>
      <c r="N291" s="179" t="s">
        <v>967</v>
      </c>
      <c r="O291" s="141">
        <f>I291</f>
        <v>0</v>
      </c>
      <c r="P291" s="181" t="b">
        <f>COUNTIF('Facility Data'!$A$1:$A$1500,"*"&amp;A291&amp;"*")&gt;0</f>
        <v>0</v>
      </c>
      <c r="Q291" s="181" t="b">
        <f>COUNTIF('Account Data'!$A$1:$A$1000,"*"&amp;A291&amp;"*")&gt;0</f>
        <v>0</v>
      </c>
      <c r="R291" s="182" t="b">
        <f>IF(OR(P291=TRUE,T291=TRUE),TRUE,FALSE)</f>
        <v>1</v>
      </c>
      <c r="S291" s="182" t="b">
        <f>IF(OR(Q291=TRUE,T291=TRUE),TRUE,FALSE)</f>
        <v>1</v>
      </c>
      <c r="T291" s="181" t="b">
        <f>COUNTIF('New Items'!$A$1:$A$175,A291)&gt;0</f>
        <v>1</v>
      </c>
      <c r="U291" s="181" t="b">
        <f>COUNTIF(Discontinued!$A$1:$A$150,A291)&gt;0</f>
        <v>0</v>
      </c>
    </row>
    <row r="292" spans="1:21" s="8" customFormat="1" ht="11.25" x14ac:dyDescent="0.2">
      <c r="A292" s="160">
        <v>10001797</v>
      </c>
      <c r="B292" s="231" t="s">
        <v>149</v>
      </c>
      <c r="C292" s="118" t="s">
        <v>150</v>
      </c>
      <c r="D292" s="119" t="s">
        <v>641</v>
      </c>
      <c r="E292" s="12" t="s">
        <v>757</v>
      </c>
      <c r="F292" s="13">
        <v>24</v>
      </c>
      <c r="G292" s="121">
        <f>Overview!$B$22</f>
        <v>36</v>
      </c>
      <c r="H292" s="114">
        <f t="shared" si="64"/>
        <v>36</v>
      </c>
      <c r="I292" s="114">
        <f>Overview!$E$22</f>
        <v>0</v>
      </c>
      <c r="J292" s="115">
        <f t="shared" si="65"/>
        <v>0</v>
      </c>
      <c r="K292" s="116">
        <f>Overview!$H$22</f>
        <v>0</v>
      </c>
      <c r="L292" s="117" t="e">
        <f t="shared" si="66"/>
        <v>#DIV/0!</v>
      </c>
      <c r="M292" s="179" t="s">
        <v>951</v>
      </c>
      <c r="N292" s="179" t="s">
        <v>967</v>
      </c>
      <c r="O292" s="141">
        <f t="shared" si="69"/>
        <v>0</v>
      </c>
      <c r="P292" s="181" t="b">
        <f>COUNTIF('Facility Data'!$A$1:$A$1500,"*"&amp;A292&amp;"*")&gt;0</f>
        <v>0</v>
      </c>
      <c r="Q292" s="181" t="b">
        <f>COUNTIF('Account Data'!$A$1:$A$1000,"*"&amp;A292&amp;"*")&gt;0</f>
        <v>1</v>
      </c>
      <c r="R292" s="182" t="b">
        <f t="shared" si="67"/>
        <v>0</v>
      </c>
      <c r="S292" s="182" t="b">
        <f t="shared" si="68"/>
        <v>1</v>
      </c>
      <c r="T292" s="181" t="b">
        <f>COUNTIF('New Items'!$A$1:$A$175,A292)&gt;0</f>
        <v>0</v>
      </c>
      <c r="U292" s="181" t="b">
        <f>COUNTIF(Discontinued!$A$1:$A$150,A292)&gt;0</f>
        <v>0</v>
      </c>
    </row>
    <row r="293" spans="1:21" s="8" customFormat="1" ht="11.25" x14ac:dyDescent="0.2">
      <c r="A293" s="152">
        <v>10122305</v>
      </c>
      <c r="B293" s="10" t="s">
        <v>3657</v>
      </c>
      <c r="C293" s="12" t="s">
        <v>144</v>
      </c>
      <c r="D293" s="11" t="s">
        <v>3656</v>
      </c>
      <c r="E293" s="12" t="s">
        <v>757</v>
      </c>
      <c r="F293" s="13">
        <v>24</v>
      </c>
      <c r="G293" s="22">
        <f>Overview!$B$22</f>
        <v>36</v>
      </c>
      <c r="H293" s="114">
        <f t="shared" si="64"/>
        <v>36</v>
      </c>
      <c r="I293" s="114">
        <f>Overview!$E$22</f>
        <v>0</v>
      </c>
      <c r="J293" s="115">
        <f>I293/F293</f>
        <v>0</v>
      </c>
      <c r="K293" s="116">
        <f>Overview!$H$22</f>
        <v>0</v>
      </c>
      <c r="L293" s="117" t="e">
        <f>(K293-J293)/K293</f>
        <v>#DIV/0!</v>
      </c>
      <c r="M293" s="179" t="s">
        <v>951</v>
      </c>
      <c r="N293" s="179" t="s">
        <v>967</v>
      </c>
      <c r="O293" s="141">
        <f>I293</f>
        <v>0</v>
      </c>
      <c r="P293" s="181" t="b">
        <f>COUNTIF('Facility Data'!$A$1:$A$1500,"*"&amp;A293&amp;"*")&gt;0</f>
        <v>0</v>
      </c>
      <c r="Q293" s="181" t="b">
        <f>COUNTIF('Account Data'!$A$1:$A$1000,"*"&amp;A293&amp;"*")&gt;0</f>
        <v>0</v>
      </c>
      <c r="R293" s="182" t="b">
        <f t="shared" si="67"/>
        <v>0</v>
      </c>
      <c r="S293" s="182" t="b">
        <f>IF(OR(Q293=TRUE,T293=TRUE),TRUE,FALSE)</f>
        <v>0</v>
      </c>
      <c r="T293" s="181" t="b">
        <f>COUNTIF('New Items'!$A$1:$A$175,A293)&gt;0</f>
        <v>0</v>
      </c>
      <c r="U293" s="181" t="b">
        <f>COUNTIF(Discontinued!$A$1:$A$150,A293)&gt;0</f>
        <v>0</v>
      </c>
    </row>
    <row r="294" spans="1:21" s="8" customFormat="1" ht="11.25" x14ac:dyDescent="0.2">
      <c r="A294" s="152">
        <v>10083297</v>
      </c>
      <c r="B294" s="10" t="s">
        <v>1421</v>
      </c>
      <c r="C294" s="12" t="s">
        <v>1422</v>
      </c>
      <c r="D294" s="11" t="s">
        <v>920</v>
      </c>
      <c r="E294" s="12" t="s">
        <v>757</v>
      </c>
      <c r="F294" s="13">
        <v>24</v>
      </c>
      <c r="G294" s="22">
        <f>Overview!$B$22</f>
        <v>36</v>
      </c>
      <c r="H294" s="114">
        <f t="shared" si="64"/>
        <v>36</v>
      </c>
      <c r="I294" s="114">
        <f>Overview!$E$22</f>
        <v>0</v>
      </c>
      <c r="J294" s="115">
        <f>I294/F294</f>
        <v>0</v>
      </c>
      <c r="K294" s="116">
        <f>Overview!$H$22</f>
        <v>0</v>
      </c>
      <c r="L294" s="117" t="e">
        <f>(K294-J294)/K294</f>
        <v>#DIV/0!</v>
      </c>
      <c r="M294" s="179" t="s">
        <v>951</v>
      </c>
      <c r="N294" s="179" t="s">
        <v>967</v>
      </c>
      <c r="O294" s="141">
        <f>I294</f>
        <v>0</v>
      </c>
      <c r="P294" s="181" t="b">
        <f>COUNTIF('Facility Data'!$A$1:$A$1500,"*"&amp;A294&amp;"*")&gt;0</f>
        <v>0</v>
      </c>
      <c r="Q294" s="181" t="b">
        <f>COUNTIF('Account Data'!$A$1:$A$1000,"*"&amp;A294&amp;"*")&gt;0</f>
        <v>0</v>
      </c>
      <c r="R294" s="182" t="b">
        <f t="shared" si="67"/>
        <v>0</v>
      </c>
      <c r="S294" s="182" t="b">
        <f>IF(OR(Q294=TRUE,T294=TRUE),TRUE,FALSE)</f>
        <v>0</v>
      </c>
      <c r="T294" s="181" t="b">
        <f>COUNTIF('New Items'!$A$1:$A$175,A294)&gt;0</f>
        <v>0</v>
      </c>
      <c r="U294" s="181" t="b">
        <f>COUNTIF(Discontinued!$A$1:$A$150,A294)&gt;0</f>
        <v>0</v>
      </c>
    </row>
    <row r="295" spans="1:21" s="8" customFormat="1" ht="11.25" x14ac:dyDescent="0.2">
      <c r="A295" s="152">
        <v>10006261</v>
      </c>
      <c r="B295" s="10" t="s">
        <v>1423</v>
      </c>
      <c r="C295" s="12" t="s">
        <v>1424</v>
      </c>
      <c r="D295" s="11" t="s">
        <v>630</v>
      </c>
      <c r="E295" s="12" t="s">
        <v>757</v>
      </c>
      <c r="F295" s="13">
        <v>24</v>
      </c>
      <c r="G295" s="22">
        <f>Overview!$B$22</f>
        <v>36</v>
      </c>
      <c r="H295" s="114">
        <f t="shared" si="64"/>
        <v>36</v>
      </c>
      <c r="I295" s="114">
        <f>Overview!$E$22</f>
        <v>0</v>
      </c>
      <c r="J295" s="115">
        <f>I295/F295</f>
        <v>0</v>
      </c>
      <c r="K295" s="116">
        <f>Overview!$H$22</f>
        <v>0</v>
      </c>
      <c r="L295" s="117" t="e">
        <f>(K295-J295)/K295</f>
        <v>#DIV/0!</v>
      </c>
      <c r="M295" s="179" t="s">
        <v>951</v>
      </c>
      <c r="N295" s="179" t="s">
        <v>967</v>
      </c>
      <c r="O295" s="141">
        <f>I295</f>
        <v>0</v>
      </c>
      <c r="P295" s="181" t="b">
        <f>COUNTIF('Facility Data'!$A$1:$A$1500,"*"&amp;A295&amp;"*")&gt;0</f>
        <v>0</v>
      </c>
      <c r="Q295" s="181" t="b">
        <f>COUNTIF('Account Data'!$A$1:$A$1000,"*"&amp;A295&amp;"*")&gt;0</f>
        <v>0</v>
      </c>
      <c r="R295" s="182" t="b">
        <f t="shared" si="67"/>
        <v>0</v>
      </c>
      <c r="S295" s="182" t="b">
        <f>IF(OR(Q295=TRUE,T295=TRUE),TRUE,FALSE)</f>
        <v>0</v>
      </c>
      <c r="T295" s="181" t="b">
        <f>COUNTIF('New Items'!$A$1:$A$175,A295)&gt;0</f>
        <v>0</v>
      </c>
      <c r="U295" s="181" t="b">
        <f>COUNTIF(Discontinued!$A$1:$A$150,A295)&gt;0</f>
        <v>0</v>
      </c>
    </row>
    <row r="296" spans="1:21" s="8" customFormat="1" ht="11.25" x14ac:dyDescent="0.2">
      <c r="A296" s="160">
        <v>10001108</v>
      </c>
      <c r="B296" s="231" t="s">
        <v>151</v>
      </c>
      <c r="C296" s="118" t="s">
        <v>152</v>
      </c>
      <c r="D296" s="119" t="s">
        <v>643</v>
      </c>
      <c r="E296" s="12" t="s">
        <v>757</v>
      </c>
      <c r="F296" s="13">
        <v>24</v>
      </c>
      <c r="G296" s="121">
        <f>Overview!$B$22</f>
        <v>36</v>
      </c>
      <c r="H296" s="114">
        <f t="shared" si="64"/>
        <v>36</v>
      </c>
      <c r="I296" s="114">
        <f>Overview!$E$22</f>
        <v>0</v>
      </c>
      <c r="J296" s="115">
        <f t="shared" si="65"/>
        <v>0</v>
      </c>
      <c r="K296" s="116">
        <f>Overview!$H$22</f>
        <v>0</v>
      </c>
      <c r="L296" s="117" t="e">
        <f t="shared" si="66"/>
        <v>#DIV/0!</v>
      </c>
      <c r="M296" s="179"/>
      <c r="N296" s="179" t="s">
        <v>967</v>
      </c>
      <c r="O296" s="141">
        <f t="shared" si="69"/>
        <v>0</v>
      </c>
      <c r="P296" s="181" t="b">
        <f>COUNTIF('Facility Data'!$A$1:$A$1500,"*"&amp;A296&amp;"*")&gt;0</f>
        <v>1</v>
      </c>
      <c r="Q296" s="181" t="b">
        <f>COUNTIF('Account Data'!$A$1:$A$1000,"*"&amp;A296&amp;"*")&gt;0</f>
        <v>1</v>
      </c>
      <c r="R296" s="182" t="b">
        <f t="shared" si="67"/>
        <v>1</v>
      </c>
      <c r="S296" s="182" t="b">
        <f t="shared" si="68"/>
        <v>1</v>
      </c>
      <c r="T296" s="181" t="b">
        <f>COUNTIF('New Items'!$A$1:$A$175,A296)&gt;0</f>
        <v>0</v>
      </c>
      <c r="U296" s="181" t="b">
        <f>COUNTIF(Discontinued!$A$1:$A$150,A296)&gt;0</f>
        <v>0</v>
      </c>
    </row>
    <row r="297" spans="1:21" s="8" customFormat="1" ht="11.25" x14ac:dyDescent="0.2">
      <c r="A297" s="160">
        <v>10001091</v>
      </c>
      <c r="B297" s="231" t="s">
        <v>4799</v>
      </c>
      <c r="C297" s="118" t="s">
        <v>154</v>
      </c>
      <c r="D297" s="119" t="s">
        <v>4733</v>
      </c>
      <c r="E297" s="12" t="s">
        <v>757</v>
      </c>
      <c r="F297" s="13">
        <v>24</v>
      </c>
      <c r="G297" s="121">
        <f>Overview!$B$22</f>
        <v>36</v>
      </c>
      <c r="H297" s="114">
        <f t="shared" si="64"/>
        <v>36</v>
      </c>
      <c r="I297" s="114">
        <f>Overview!$E$22</f>
        <v>0</v>
      </c>
      <c r="J297" s="115">
        <f t="shared" si="65"/>
        <v>0</v>
      </c>
      <c r="K297" s="116">
        <f>Overview!$H$22</f>
        <v>0</v>
      </c>
      <c r="L297" s="117" t="e">
        <f t="shared" si="66"/>
        <v>#DIV/0!</v>
      </c>
      <c r="M297" s="179"/>
      <c r="N297" s="179" t="s">
        <v>967</v>
      </c>
      <c r="O297" s="141">
        <f t="shared" si="69"/>
        <v>0</v>
      </c>
      <c r="P297" s="181" t="b">
        <f>COUNTIF('Facility Data'!$A$1:$A$1500,"*"&amp;A297&amp;"*")&gt;0</f>
        <v>1</v>
      </c>
      <c r="Q297" s="181" t="b">
        <f>COUNTIF('Account Data'!$A$1:$A$1000,"*"&amp;A297&amp;"*")&gt;0</f>
        <v>1</v>
      </c>
      <c r="R297" s="182" t="b">
        <f t="shared" si="67"/>
        <v>1</v>
      </c>
      <c r="S297" s="182" t="b">
        <f t="shared" si="68"/>
        <v>1</v>
      </c>
      <c r="T297" s="181" t="b">
        <f>COUNTIF('New Items'!$A$1:$A$175,A297)&gt;0</f>
        <v>0</v>
      </c>
      <c r="U297" s="181" t="b">
        <f>COUNTIF(Discontinued!$A$1:$A$150,A297)&gt;0</f>
        <v>0</v>
      </c>
    </row>
    <row r="298" spans="1:21" s="8" customFormat="1" ht="11.25" x14ac:dyDescent="0.2">
      <c r="A298" s="160">
        <v>10001110</v>
      </c>
      <c r="B298" s="231" t="s">
        <v>155</v>
      </c>
      <c r="C298" s="118" t="s">
        <v>156</v>
      </c>
      <c r="D298" s="119" t="s">
        <v>633</v>
      </c>
      <c r="E298" s="12" t="s">
        <v>757</v>
      </c>
      <c r="F298" s="13">
        <v>24</v>
      </c>
      <c r="G298" s="121">
        <f>Overview!$B$22</f>
        <v>36</v>
      </c>
      <c r="H298" s="114">
        <f t="shared" si="64"/>
        <v>36</v>
      </c>
      <c r="I298" s="114">
        <f>Overview!$E$22</f>
        <v>0</v>
      </c>
      <c r="J298" s="115">
        <f t="shared" si="65"/>
        <v>0</v>
      </c>
      <c r="K298" s="116">
        <f>Overview!$H$22</f>
        <v>0</v>
      </c>
      <c r="L298" s="117" t="e">
        <f t="shared" si="66"/>
        <v>#DIV/0!</v>
      </c>
      <c r="M298" s="179"/>
      <c r="N298" s="179" t="s">
        <v>967</v>
      </c>
      <c r="O298" s="141">
        <f t="shared" si="69"/>
        <v>0</v>
      </c>
      <c r="P298" s="181" t="b">
        <f>COUNTIF('Facility Data'!$A$1:$A$1500,"*"&amp;A298&amp;"*")&gt;0</f>
        <v>0</v>
      </c>
      <c r="Q298" s="181" t="b">
        <f>COUNTIF('Account Data'!$A$1:$A$1000,"*"&amp;A298&amp;"*")&gt;0</f>
        <v>1</v>
      </c>
      <c r="R298" s="182" t="b">
        <f t="shared" si="67"/>
        <v>0</v>
      </c>
      <c r="S298" s="182" t="b">
        <f t="shared" si="68"/>
        <v>1</v>
      </c>
      <c r="T298" s="181" t="b">
        <f>COUNTIF('New Items'!$A$1:$A$175,A298)&gt;0</f>
        <v>0</v>
      </c>
      <c r="U298" s="181" t="b">
        <f>COUNTIF(Discontinued!$A$1:$A$150,A298)&gt;0</f>
        <v>0</v>
      </c>
    </row>
    <row r="299" spans="1:21" s="8" customFormat="1" ht="11.25" x14ac:dyDescent="0.2">
      <c r="A299" s="160">
        <v>10001096</v>
      </c>
      <c r="B299" s="231" t="s">
        <v>157</v>
      </c>
      <c r="C299" s="118" t="s">
        <v>158</v>
      </c>
      <c r="D299" s="119" t="s">
        <v>645</v>
      </c>
      <c r="E299" s="12" t="s">
        <v>757</v>
      </c>
      <c r="F299" s="13">
        <v>24</v>
      </c>
      <c r="G299" s="121">
        <f>Overview!$B$22</f>
        <v>36</v>
      </c>
      <c r="H299" s="114">
        <f t="shared" si="64"/>
        <v>36</v>
      </c>
      <c r="I299" s="114">
        <f>Overview!$E$22</f>
        <v>0</v>
      </c>
      <c r="J299" s="115">
        <f t="shared" si="65"/>
        <v>0</v>
      </c>
      <c r="K299" s="116">
        <f>Overview!$H$22</f>
        <v>0</v>
      </c>
      <c r="L299" s="117" t="e">
        <f t="shared" si="66"/>
        <v>#DIV/0!</v>
      </c>
      <c r="M299" s="179" t="s">
        <v>4406</v>
      </c>
      <c r="N299" s="179" t="s">
        <v>967</v>
      </c>
      <c r="O299" s="141">
        <f t="shared" si="69"/>
        <v>0</v>
      </c>
      <c r="P299" s="181" t="b">
        <f>COUNTIF('Facility Data'!$A$1:$A$1500,"*"&amp;A299&amp;"*")&gt;0</f>
        <v>1</v>
      </c>
      <c r="Q299" s="181" t="b">
        <f>COUNTIF('Account Data'!$A$1:$A$1000,"*"&amp;A299&amp;"*")&gt;0</f>
        <v>1</v>
      </c>
      <c r="R299" s="182" t="b">
        <f t="shared" si="67"/>
        <v>1</v>
      </c>
      <c r="S299" s="182" t="b">
        <f t="shared" si="68"/>
        <v>1</v>
      </c>
      <c r="T299" s="181" t="b">
        <f>COUNTIF('New Items'!$A$1:$A$175,A299)&gt;0</f>
        <v>0</v>
      </c>
      <c r="U299" s="181" t="b">
        <f>COUNTIF(Discontinued!$A$1:$A$150,A299)&gt;0</f>
        <v>0</v>
      </c>
    </row>
    <row r="300" spans="1:21" s="8" customFormat="1" ht="11.25" x14ac:dyDescent="0.2">
      <c r="A300" s="160">
        <v>10001122</v>
      </c>
      <c r="B300" s="231" t="s">
        <v>4800</v>
      </c>
      <c r="C300" s="118" t="s">
        <v>160</v>
      </c>
      <c r="D300" s="119" t="s">
        <v>4735</v>
      </c>
      <c r="E300" s="12" t="s">
        <v>757</v>
      </c>
      <c r="F300" s="13">
        <v>24</v>
      </c>
      <c r="G300" s="121">
        <f>Overview!$B$22</f>
        <v>36</v>
      </c>
      <c r="H300" s="114">
        <f t="shared" si="64"/>
        <v>36</v>
      </c>
      <c r="I300" s="114">
        <f>Overview!$E$22</f>
        <v>0</v>
      </c>
      <c r="J300" s="115">
        <f t="shared" si="65"/>
        <v>0</v>
      </c>
      <c r="K300" s="116">
        <f>Overview!$H$22</f>
        <v>0</v>
      </c>
      <c r="L300" s="117" t="e">
        <f t="shared" si="66"/>
        <v>#DIV/0!</v>
      </c>
      <c r="M300" s="179" t="s">
        <v>4406</v>
      </c>
      <c r="N300" s="179" t="s">
        <v>967</v>
      </c>
      <c r="O300" s="141">
        <f t="shared" si="69"/>
        <v>0</v>
      </c>
      <c r="P300" s="181" t="b">
        <f>COUNTIF('Facility Data'!$A$1:$A$1500,"*"&amp;A300&amp;"*")&gt;0</f>
        <v>1</v>
      </c>
      <c r="Q300" s="181" t="b">
        <f>COUNTIF('Account Data'!$A$1:$A$1000,"*"&amp;A300&amp;"*")&gt;0</f>
        <v>1</v>
      </c>
      <c r="R300" s="182" t="b">
        <f t="shared" si="67"/>
        <v>1</v>
      </c>
      <c r="S300" s="182" t="b">
        <f t="shared" si="68"/>
        <v>1</v>
      </c>
      <c r="T300" s="181" t="b">
        <f>COUNTIF('New Items'!$A$1:$A$175,A300)&gt;0</f>
        <v>0</v>
      </c>
      <c r="U300" s="181" t="b">
        <f>COUNTIF(Discontinued!$A$1:$A$150,A300)&gt;0</f>
        <v>0</v>
      </c>
    </row>
    <row r="301" spans="1:21" s="8" customFormat="1" ht="11.25" x14ac:dyDescent="0.2">
      <c r="A301" s="160">
        <v>10001109</v>
      </c>
      <c r="B301" s="231" t="s">
        <v>161</v>
      </c>
      <c r="C301" s="118" t="s">
        <v>162</v>
      </c>
      <c r="D301" s="119" t="s">
        <v>646</v>
      </c>
      <c r="E301" s="12" t="s">
        <v>757</v>
      </c>
      <c r="F301" s="13">
        <v>24</v>
      </c>
      <c r="G301" s="121">
        <f>Overview!$B$22</f>
        <v>36</v>
      </c>
      <c r="H301" s="114">
        <f t="shared" si="64"/>
        <v>36</v>
      </c>
      <c r="I301" s="114">
        <f>Overview!$E$22</f>
        <v>0</v>
      </c>
      <c r="J301" s="115">
        <f t="shared" si="65"/>
        <v>0</v>
      </c>
      <c r="K301" s="116">
        <f>Overview!$H$22</f>
        <v>0</v>
      </c>
      <c r="L301" s="117" t="e">
        <f t="shared" si="66"/>
        <v>#DIV/0!</v>
      </c>
      <c r="M301" s="179" t="s">
        <v>4406</v>
      </c>
      <c r="N301" s="179" t="s">
        <v>967</v>
      </c>
      <c r="O301" s="141">
        <f t="shared" si="69"/>
        <v>0</v>
      </c>
      <c r="P301" s="181" t="b">
        <f>COUNTIF('Facility Data'!$A$1:$A$1500,"*"&amp;A301&amp;"*")&gt;0</f>
        <v>1</v>
      </c>
      <c r="Q301" s="181" t="b">
        <f>COUNTIF('Account Data'!$A$1:$A$1000,"*"&amp;A301&amp;"*")&gt;0</f>
        <v>1</v>
      </c>
      <c r="R301" s="182" t="b">
        <f t="shared" si="67"/>
        <v>1</v>
      </c>
      <c r="S301" s="182" t="b">
        <f t="shared" si="68"/>
        <v>1</v>
      </c>
      <c r="T301" s="181" t="b">
        <f>COUNTIF('New Items'!$A$1:$A$175,A301)&gt;0</f>
        <v>0</v>
      </c>
      <c r="U301" s="181" t="b">
        <f>COUNTIF(Discontinued!$A$1:$A$150,A301)&gt;0</f>
        <v>0</v>
      </c>
    </row>
    <row r="302" spans="1:21" s="8" customFormat="1" ht="11.25" x14ac:dyDescent="0.2">
      <c r="A302" s="160">
        <v>10001751</v>
      </c>
      <c r="B302" s="231" t="s">
        <v>163</v>
      </c>
      <c r="C302" s="118" t="s">
        <v>164</v>
      </c>
      <c r="D302" s="119" t="s">
        <v>648</v>
      </c>
      <c r="E302" s="12" t="s">
        <v>757</v>
      </c>
      <c r="F302" s="13">
        <v>24</v>
      </c>
      <c r="G302" s="121">
        <f>Overview!$B$22</f>
        <v>36</v>
      </c>
      <c r="H302" s="114">
        <f t="shared" si="64"/>
        <v>36</v>
      </c>
      <c r="I302" s="114">
        <f>Overview!$E$22</f>
        <v>0</v>
      </c>
      <c r="J302" s="115">
        <f t="shared" si="65"/>
        <v>0</v>
      </c>
      <c r="K302" s="116">
        <f>Overview!$H$22</f>
        <v>0</v>
      </c>
      <c r="L302" s="117" t="e">
        <f t="shared" si="66"/>
        <v>#DIV/0!</v>
      </c>
      <c r="M302" s="179"/>
      <c r="N302" s="179" t="s">
        <v>3377</v>
      </c>
      <c r="O302" s="141">
        <f t="shared" si="69"/>
        <v>0</v>
      </c>
      <c r="P302" s="181" t="b">
        <f>COUNTIF('Facility Data'!$A$1:$A$1500,"*"&amp;A302&amp;"*")&gt;0</f>
        <v>0</v>
      </c>
      <c r="Q302" s="181" t="b">
        <f>COUNTIF('Account Data'!$A$1:$A$1000,"*"&amp;A302&amp;"*")&gt;0</f>
        <v>1</v>
      </c>
      <c r="R302" s="182" t="b">
        <f t="shared" si="67"/>
        <v>0</v>
      </c>
      <c r="S302" s="182" t="b">
        <f t="shared" si="68"/>
        <v>1</v>
      </c>
      <c r="T302" s="181" t="b">
        <f>COUNTIF('New Items'!$A$1:$A$175,A302)&gt;0</f>
        <v>0</v>
      </c>
      <c r="U302" s="181" t="b">
        <f>COUNTIF(Discontinued!$A$1:$A$150,A302)&gt;0</f>
        <v>0</v>
      </c>
    </row>
    <row r="303" spans="1:21" s="8" customFormat="1" ht="11.25" x14ac:dyDescent="0.2">
      <c r="A303" s="160">
        <v>10001134</v>
      </c>
      <c r="B303" s="231" t="s">
        <v>1290</v>
      </c>
      <c r="C303" s="118" t="s">
        <v>1291</v>
      </c>
      <c r="D303" s="119" t="s">
        <v>649</v>
      </c>
      <c r="E303" s="12" t="s">
        <v>757</v>
      </c>
      <c r="F303" s="13">
        <v>24</v>
      </c>
      <c r="G303" s="121">
        <f>Overview!$B$22</f>
        <v>36</v>
      </c>
      <c r="H303" s="114">
        <f t="shared" si="64"/>
        <v>36</v>
      </c>
      <c r="I303" s="114">
        <f>Overview!$E$22</f>
        <v>0</v>
      </c>
      <c r="J303" s="115">
        <f t="shared" si="65"/>
        <v>0</v>
      </c>
      <c r="K303" s="116">
        <f>Overview!$H$22</f>
        <v>0</v>
      </c>
      <c r="L303" s="117" t="e">
        <f t="shared" si="66"/>
        <v>#DIV/0!</v>
      </c>
      <c r="M303" s="179"/>
      <c r="N303" s="179" t="s">
        <v>3377</v>
      </c>
      <c r="O303" s="141">
        <f t="shared" si="69"/>
        <v>0</v>
      </c>
      <c r="P303" s="181" t="b">
        <f>COUNTIF('Facility Data'!$A$1:$A$1500,"*"&amp;A303&amp;"*")&gt;0</f>
        <v>0</v>
      </c>
      <c r="Q303" s="181" t="b">
        <f>COUNTIF('Account Data'!$A$1:$A$1000,"*"&amp;A303&amp;"*")&gt;0</f>
        <v>0</v>
      </c>
      <c r="R303" s="182" t="b">
        <f t="shared" si="67"/>
        <v>0</v>
      </c>
      <c r="S303" s="182" t="b">
        <f t="shared" si="68"/>
        <v>0</v>
      </c>
      <c r="T303" s="181" t="b">
        <f>COUNTIF('New Items'!$A$1:$A$175,A303)&gt;0</f>
        <v>0</v>
      </c>
      <c r="U303" s="181" t="b">
        <f>COUNTIF(Discontinued!$A$1:$A$150,A303)&gt;0</f>
        <v>0</v>
      </c>
    </row>
    <row r="304" spans="1:21" s="8" customFormat="1" ht="11.25" x14ac:dyDescent="0.2">
      <c r="A304" s="160">
        <v>10001130</v>
      </c>
      <c r="B304" s="231" t="s">
        <v>165</v>
      </c>
      <c r="C304" s="118" t="s">
        <v>166</v>
      </c>
      <c r="D304" s="119" t="s">
        <v>650</v>
      </c>
      <c r="E304" s="12" t="s">
        <v>757</v>
      </c>
      <c r="F304" s="13">
        <v>24</v>
      </c>
      <c r="G304" s="121">
        <f>Overview!$B$22</f>
        <v>36</v>
      </c>
      <c r="H304" s="114">
        <f t="shared" si="64"/>
        <v>36</v>
      </c>
      <c r="I304" s="114">
        <f>Overview!$E$22</f>
        <v>0</v>
      </c>
      <c r="J304" s="115">
        <f t="shared" si="65"/>
        <v>0</v>
      </c>
      <c r="K304" s="116">
        <f>Overview!$H$22</f>
        <v>0</v>
      </c>
      <c r="L304" s="117" t="e">
        <f t="shared" si="66"/>
        <v>#DIV/0!</v>
      </c>
      <c r="M304" s="179" t="s">
        <v>4369</v>
      </c>
      <c r="N304" s="179" t="s">
        <v>3377</v>
      </c>
      <c r="O304" s="141">
        <f t="shared" si="69"/>
        <v>0</v>
      </c>
      <c r="P304" s="181" t="b">
        <f>COUNTIF('Facility Data'!$A$1:$A$1500,"*"&amp;A304&amp;"*")&gt;0</f>
        <v>1</v>
      </c>
      <c r="Q304" s="181" t="b">
        <f>COUNTIF('Account Data'!$A$1:$A$1000,"*"&amp;A304&amp;"*")&gt;0</f>
        <v>1</v>
      </c>
      <c r="R304" s="182" t="b">
        <f t="shared" si="67"/>
        <v>1</v>
      </c>
      <c r="S304" s="182" t="b">
        <f t="shared" si="68"/>
        <v>1</v>
      </c>
      <c r="T304" s="181" t="b">
        <f>COUNTIF('New Items'!$A$1:$A$175,A304)&gt;0</f>
        <v>0</v>
      </c>
      <c r="U304" s="181" t="b">
        <f>COUNTIF(Discontinued!$A$1:$A$150,A304)&gt;0</f>
        <v>0</v>
      </c>
    </row>
    <row r="305" spans="1:21" s="8" customFormat="1" ht="11.25" x14ac:dyDescent="0.2">
      <c r="A305" s="160">
        <v>10001129</v>
      </c>
      <c r="B305" s="231" t="s">
        <v>4801</v>
      </c>
      <c r="C305" s="118" t="s">
        <v>168</v>
      </c>
      <c r="D305" s="119" t="s">
        <v>4755</v>
      </c>
      <c r="E305" s="12" t="s">
        <v>757</v>
      </c>
      <c r="F305" s="13">
        <v>24</v>
      </c>
      <c r="G305" s="121">
        <f>Overview!$B$22</f>
        <v>36</v>
      </c>
      <c r="H305" s="114">
        <f t="shared" si="64"/>
        <v>36</v>
      </c>
      <c r="I305" s="114">
        <f>Overview!$E$22</f>
        <v>0</v>
      </c>
      <c r="J305" s="115">
        <f t="shared" si="65"/>
        <v>0</v>
      </c>
      <c r="K305" s="116">
        <f>Overview!$H$22</f>
        <v>0</v>
      </c>
      <c r="L305" s="117" t="e">
        <f t="shared" si="66"/>
        <v>#DIV/0!</v>
      </c>
      <c r="M305" s="179" t="s">
        <v>4369</v>
      </c>
      <c r="N305" s="179" t="s">
        <v>3377</v>
      </c>
      <c r="O305" s="141">
        <f t="shared" si="69"/>
        <v>0</v>
      </c>
      <c r="P305" s="181" t="b">
        <f>COUNTIF('Facility Data'!$A$1:$A$1500,"*"&amp;A305&amp;"*")&gt;0</f>
        <v>1</v>
      </c>
      <c r="Q305" s="181" t="b">
        <f>COUNTIF('Account Data'!$A$1:$A$1000,"*"&amp;A305&amp;"*")&gt;0</f>
        <v>1</v>
      </c>
      <c r="R305" s="182" t="b">
        <f t="shared" si="67"/>
        <v>1</v>
      </c>
      <c r="S305" s="182" t="b">
        <f t="shared" si="68"/>
        <v>1</v>
      </c>
      <c r="T305" s="181" t="b">
        <f>COUNTIF('New Items'!$A$1:$A$175,A305)&gt;0</f>
        <v>0</v>
      </c>
      <c r="U305" s="181" t="b">
        <f>COUNTIF(Discontinued!$A$1:$A$150,A305)&gt;0</f>
        <v>0</v>
      </c>
    </row>
    <row r="306" spans="1:21" s="8" customFormat="1" ht="11.25" x14ac:dyDescent="0.2">
      <c r="A306" s="160">
        <v>10120687</v>
      </c>
      <c r="B306" s="231" t="s">
        <v>3794</v>
      </c>
      <c r="C306" s="118" t="s">
        <v>1060</v>
      </c>
      <c r="D306" s="119" t="s">
        <v>1054</v>
      </c>
      <c r="E306" s="12" t="s">
        <v>757</v>
      </c>
      <c r="F306" s="13">
        <v>24</v>
      </c>
      <c r="G306" s="121">
        <f>Overview!$B$22</f>
        <v>36</v>
      </c>
      <c r="H306" s="114">
        <f t="shared" si="64"/>
        <v>36</v>
      </c>
      <c r="I306" s="114">
        <f>Overview!$E$22</f>
        <v>0</v>
      </c>
      <c r="J306" s="115">
        <f>I306/F306</f>
        <v>0</v>
      </c>
      <c r="K306" s="116">
        <f>Overview!$H$22</f>
        <v>0</v>
      </c>
      <c r="L306" s="117" t="e">
        <f>(K306-J306)/K306</f>
        <v>#DIV/0!</v>
      </c>
      <c r="M306" s="179" t="s">
        <v>4369</v>
      </c>
      <c r="N306" s="179" t="s">
        <v>3377</v>
      </c>
      <c r="O306" s="141">
        <f>I306</f>
        <v>0</v>
      </c>
      <c r="P306" s="181" t="b">
        <f>COUNTIF('Facility Data'!$A$1:$A$1500,"*"&amp;A306&amp;"*")&gt;0</f>
        <v>1</v>
      </c>
      <c r="Q306" s="181" t="b">
        <f>COUNTIF('Account Data'!$A$1:$A$1000,"*"&amp;A306&amp;"*")&gt;0</f>
        <v>0</v>
      </c>
      <c r="R306" s="182" t="b">
        <f t="shared" si="67"/>
        <v>1</v>
      </c>
      <c r="S306" s="182" t="b">
        <f>IF(OR(Q306=TRUE,T306=TRUE),TRUE,FALSE)</f>
        <v>0</v>
      </c>
      <c r="T306" s="181" t="b">
        <f>COUNTIF('New Items'!$A$1:$A$175,A306)&gt;0</f>
        <v>0</v>
      </c>
      <c r="U306" s="181" t="b">
        <f>COUNTIF(Discontinued!$A$1:$A$150,A306)&gt;0</f>
        <v>0</v>
      </c>
    </row>
    <row r="307" spans="1:21" s="8" customFormat="1" ht="11.25" x14ac:dyDescent="0.2">
      <c r="A307" s="160">
        <v>10001705</v>
      </c>
      <c r="B307" s="231" t="s">
        <v>169</v>
      </c>
      <c r="C307" s="118" t="s">
        <v>170</v>
      </c>
      <c r="D307" s="119" t="s">
        <v>634</v>
      </c>
      <c r="E307" s="12" t="s">
        <v>757</v>
      </c>
      <c r="F307" s="13">
        <v>24</v>
      </c>
      <c r="G307" s="121">
        <f>Overview!$B$22</f>
        <v>36</v>
      </c>
      <c r="H307" s="114">
        <f t="shared" si="64"/>
        <v>36</v>
      </c>
      <c r="I307" s="114">
        <f>Overview!$E$22</f>
        <v>0</v>
      </c>
      <c r="J307" s="115">
        <f t="shared" si="65"/>
        <v>0</v>
      </c>
      <c r="K307" s="116">
        <f>Overview!$H$22</f>
        <v>0</v>
      </c>
      <c r="L307" s="117" t="e">
        <f t="shared" si="66"/>
        <v>#DIV/0!</v>
      </c>
      <c r="M307" s="179" t="s">
        <v>4369</v>
      </c>
      <c r="N307" s="179" t="s">
        <v>3377</v>
      </c>
      <c r="O307" s="141">
        <f t="shared" si="69"/>
        <v>0</v>
      </c>
      <c r="P307" s="181" t="b">
        <f>COUNTIF('Facility Data'!$A$1:$A$1500,"*"&amp;A307&amp;"*")&gt;0</f>
        <v>1</v>
      </c>
      <c r="Q307" s="181" t="b">
        <f>COUNTIF('Account Data'!$A$1:$A$1000,"*"&amp;A307&amp;"*")&gt;0</f>
        <v>1</v>
      </c>
      <c r="R307" s="182" t="b">
        <f t="shared" si="67"/>
        <v>1</v>
      </c>
      <c r="S307" s="182" t="b">
        <f t="shared" si="68"/>
        <v>1</v>
      </c>
      <c r="T307" s="181" t="b">
        <f>COUNTIF('New Items'!$A$1:$A$175,A307)&gt;0</f>
        <v>0</v>
      </c>
      <c r="U307" s="181" t="b">
        <f>COUNTIF(Discontinued!$A$1:$A$150,A307)&gt;0</f>
        <v>0</v>
      </c>
    </row>
    <row r="308" spans="1:21" s="8" customFormat="1" ht="11.25" x14ac:dyDescent="0.2">
      <c r="A308" s="160">
        <v>10001704</v>
      </c>
      <c r="B308" s="231" t="s">
        <v>171</v>
      </c>
      <c r="C308" s="118" t="s">
        <v>172</v>
      </c>
      <c r="D308" s="119" t="s">
        <v>635</v>
      </c>
      <c r="E308" s="12" t="s">
        <v>757</v>
      </c>
      <c r="F308" s="13">
        <v>24</v>
      </c>
      <c r="G308" s="121">
        <f>Overview!$B$22</f>
        <v>36</v>
      </c>
      <c r="H308" s="114">
        <f t="shared" si="64"/>
        <v>36</v>
      </c>
      <c r="I308" s="114">
        <f>Overview!$E$22</f>
        <v>0</v>
      </c>
      <c r="J308" s="115">
        <f t="shared" si="65"/>
        <v>0</v>
      </c>
      <c r="K308" s="116">
        <f>Overview!$H$22</f>
        <v>0</v>
      </c>
      <c r="L308" s="117" t="e">
        <f t="shared" si="66"/>
        <v>#DIV/0!</v>
      </c>
      <c r="M308" s="179" t="s">
        <v>4369</v>
      </c>
      <c r="N308" s="179" t="s">
        <v>3377</v>
      </c>
      <c r="O308" s="141">
        <f t="shared" si="69"/>
        <v>0</v>
      </c>
      <c r="P308" s="181" t="b">
        <f>COUNTIF('Facility Data'!$A$1:$A$1500,"*"&amp;A308&amp;"*")&gt;0</f>
        <v>1</v>
      </c>
      <c r="Q308" s="181" t="b">
        <f>COUNTIF('Account Data'!$A$1:$A$1000,"*"&amp;A308&amp;"*")&gt;0</f>
        <v>1</v>
      </c>
      <c r="R308" s="182" t="b">
        <f t="shared" si="67"/>
        <v>1</v>
      </c>
      <c r="S308" s="182" t="b">
        <f t="shared" si="68"/>
        <v>1</v>
      </c>
      <c r="T308" s="181" t="b">
        <f>COUNTIF('New Items'!$A$1:$A$175,A308)&gt;0</f>
        <v>0</v>
      </c>
      <c r="U308" s="181" t="b">
        <f>COUNTIF(Discontinued!$A$1:$A$150,A308)&gt;0</f>
        <v>0</v>
      </c>
    </row>
    <row r="309" spans="1:21" s="8" customFormat="1" ht="11.25" x14ac:dyDescent="0.2">
      <c r="A309" s="160">
        <v>10000045</v>
      </c>
      <c r="B309" s="231" t="s">
        <v>1292</v>
      </c>
      <c r="C309" s="118" t="s">
        <v>1293</v>
      </c>
      <c r="D309" s="119" t="s">
        <v>1061</v>
      </c>
      <c r="E309" s="12" t="s">
        <v>757</v>
      </c>
      <c r="F309" s="13">
        <v>24</v>
      </c>
      <c r="G309" s="121">
        <f>Overview!$B$22</f>
        <v>36</v>
      </c>
      <c r="H309" s="114">
        <f t="shared" si="64"/>
        <v>36</v>
      </c>
      <c r="I309" s="114">
        <f>Overview!$E$22</f>
        <v>0</v>
      </c>
      <c r="J309" s="115">
        <f t="shared" si="65"/>
        <v>0</v>
      </c>
      <c r="K309" s="116">
        <f>Overview!$H$22</f>
        <v>0</v>
      </c>
      <c r="L309" s="117" t="e">
        <f t="shared" si="66"/>
        <v>#DIV/0!</v>
      </c>
      <c r="M309" s="179" t="s">
        <v>4369</v>
      </c>
      <c r="N309" s="179" t="s">
        <v>3377</v>
      </c>
      <c r="O309" s="141">
        <f t="shared" si="69"/>
        <v>0</v>
      </c>
      <c r="P309" s="181" t="b">
        <f>COUNTIF('Facility Data'!$A$1:$A$1500,"*"&amp;A309&amp;"*")&gt;0</f>
        <v>0</v>
      </c>
      <c r="Q309" s="181" t="b">
        <f>COUNTIF('Account Data'!$A$1:$A$1000,"*"&amp;A309&amp;"*")&gt;0</f>
        <v>0</v>
      </c>
      <c r="R309" s="182" t="b">
        <f t="shared" si="67"/>
        <v>0</v>
      </c>
      <c r="S309" s="182" t="b">
        <f t="shared" si="68"/>
        <v>0</v>
      </c>
      <c r="T309" s="181" t="b">
        <f>COUNTIF('New Items'!$A$1:$A$175,A309)&gt;0</f>
        <v>0</v>
      </c>
      <c r="U309" s="181" t="b">
        <f>COUNTIF(Discontinued!$A$1:$A$150,A309)&gt;0</f>
        <v>0</v>
      </c>
    </row>
    <row r="310" spans="1:21" s="8" customFormat="1" ht="11.25" x14ac:dyDescent="0.2">
      <c r="A310" s="160">
        <v>10087783</v>
      </c>
      <c r="B310" s="231" t="s">
        <v>173</v>
      </c>
      <c r="C310" s="118" t="s">
        <v>174</v>
      </c>
      <c r="D310" s="119" t="s">
        <v>651</v>
      </c>
      <c r="E310" s="12" t="s">
        <v>757</v>
      </c>
      <c r="F310" s="13">
        <v>24</v>
      </c>
      <c r="G310" s="121">
        <f>Overview!$B$22</f>
        <v>36</v>
      </c>
      <c r="H310" s="114">
        <f t="shared" si="64"/>
        <v>36</v>
      </c>
      <c r="I310" s="114">
        <f>Overview!$E$22</f>
        <v>0</v>
      </c>
      <c r="J310" s="115">
        <f t="shared" si="65"/>
        <v>0</v>
      </c>
      <c r="K310" s="116">
        <f>Overview!$H$22</f>
        <v>0</v>
      </c>
      <c r="L310" s="117" t="e">
        <f t="shared" si="66"/>
        <v>#DIV/0!</v>
      </c>
      <c r="M310" s="179" t="s">
        <v>4369</v>
      </c>
      <c r="N310" s="179" t="s">
        <v>3377</v>
      </c>
      <c r="O310" s="141">
        <f t="shared" si="69"/>
        <v>0</v>
      </c>
      <c r="P310" s="181" t="b">
        <f>COUNTIF('Facility Data'!$A$1:$A$1500,"*"&amp;A310&amp;"*")&gt;0</f>
        <v>0</v>
      </c>
      <c r="Q310" s="181" t="b">
        <f>COUNTIF('Account Data'!$A$1:$A$1000,"*"&amp;A310&amp;"*")&gt;0</f>
        <v>1</v>
      </c>
      <c r="R310" s="182" t="b">
        <f t="shared" si="67"/>
        <v>0</v>
      </c>
      <c r="S310" s="182" t="b">
        <f t="shared" si="68"/>
        <v>1</v>
      </c>
      <c r="T310" s="181" t="b">
        <f>COUNTIF('New Items'!$A$1:$A$175,A310)&gt;0</f>
        <v>0</v>
      </c>
      <c r="U310" s="181" t="b">
        <f>COUNTIF(Discontinued!$A$1:$A$150,A310)&gt;0</f>
        <v>0</v>
      </c>
    </row>
    <row r="311" spans="1:21" s="8" customFormat="1" ht="11.25" x14ac:dyDescent="0.2">
      <c r="A311" s="160">
        <v>10087800</v>
      </c>
      <c r="B311" s="231" t="s">
        <v>1295</v>
      </c>
      <c r="C311" s="118" t="s">
        <v>1296</v>
      </c>
      <c r="D311" s="119" t="s">
        <v>1294</v>
      </c>
      <c r="E311" s="12" t="s">
        <v>757</v>
      </c>
      <c r="F311" s="13">
        <v>24</v>
      </c>
      <c r="G311" s="121">
        <f>Overview!$B$22</f>
        <v>36</v>
      </c>
      <c r="H311" s="114">
        <f t="shared" si="64"/>
        <v>36</v>
      </c>
      <c r="I311" s="114">
        <f>Overview!$E$22</f>
        <v>0</v>
      </c>
      <c r="J311" s="115">
        <f t="shared" si="65"/>
        <v>0</v>
      </c>
      <c r="K311" s="116">
        <f>Overview!$H$22</f>
        <v>0</v>
      </c>
      <c r="L311" s="117" t="e">
        <f t="shared" si="66"/>
        <v>#DIV/0!</v>
      </c>
      <c r="M311" s="179" t="s">
        <v>4369</v>
      </c>
      <c r="N311" s="179" t="s">
        <v>3377</v>
      </c>
      <c r="O311" s="141">
        <f t="shared" si="69"/>
        <v>0</v>
      </c>
      <c r="P311" s="181" t="b">
        <f>COUNTIF('Facility Data'!$A$1:$A$1500,"*"&amp;A311&amp;"*")&gt;0</f>
        <v>0</v>
      </c>
      <c r="Q311" s="181" t="b">
        <f>COUNTIF('Account Data'!$A$1:$A$1000,"*"&amp;A311&amp;"*")&gt;0</f>
        <v>0</v>
      </c>
      <c r="R311" s="182" t="b">
        <f t="shared" si="67"/>
        <v>0</v>
      </c>
      <c r="S311" s="182" t="b">
        <f t="shared" ref="S311:S349" si="70">IF(OR(Q311=TRUE,T311=TRUE),TRUE,FALSE)</f>
        <v>0</v>
      </c>
      <c r="T311" s="181" t="b">
        <f>COUNTIF('New Items'!$A$1:$A$175,A311)&gt;0</f>
        <v>0</v>
      </c>
      <c r="U311" s="181" t="b">
        <f>COUNTIF(Discontinued!$A$1:$A$150,A311)&gt;0</f>
        <v>0</v>
      </c>
    </row>
    <row r="312" spans="1:21" s="8" customFormat="1" ht="11.25" x14ac:dyDescent="0.2">
      <c r="A312" s="160">
        <v>10021990</v>
      </c>
      <c r="B312" s="231" t="s">
        <v>3270</v>
      </c>
      <c r="C312" s="118" t="s">
        <v>932</v>
      </c>
      <c r="D312" s="119" t="s">
        <v>922</v>
      </c>
      <c r="E312" s="12" t="s">
        <v>757</v>
      </c>
      <c r="F312" s="13">
        <v>24</v>
      </c>
      <c r="G312" s="121">
        <f>Overview!$B$22</f>
        <v>36</v>
      </c>
      <c r="H312" s="114">
        <f t="shared" si="64"/>
        <v>36</v>
      </c>
      <c r="I312" s="114">
        <f>Overview!$E$22</f>
        <v>0</v>
      </c>
      <c r="J312" s="115">
        <f t="shared" si="65"/>
        <v>0</v>
      </c>
      <c r="K312" s="116">
        <f>Overview!$H$22</f>
        <v>0</v>
      </c>
      <c r="L312" s="117" t="e">
        <f t="shared" si="66"/>
        <v>#DIV/0!</v>
      </c>
      <c r="M312" s="179" t="s">
        <v>921</v>
      </c>
      <c r="N312" s="179" t="s">
        <v>3377</v>
      </c>
      <c r="O312" s="141">
        <f t="shared" si="69"/>
        <v>0</v>
      </c>
      <c r="P312" s="181" t="b">
        <f>COUNTIF('Facility Data'!$A$1:$A$1500,"*"&amp;A312&amp;"*")&gt;0</f>
        <v>0</v>
      </c>
      <c r="Q312" s="181" t="b">
        <f>COUNTIF('Account Data'!$A$1:$A$1000,"*"&amp;A312&amp;"*")&gt;0</f>
        <v>1</v>
      </c>
      <c r="R312" s="182" t="b">
        <f t="shared" si="67"/>
        <v>0</v>
      </c>
      <c r="S312" s="182" t="b">
        <f t="shared" si="70"/>
        <v>1</v>
      </c>
      <c r="T312" s="181" t="b">
        <f>COUNTIF('New Items'!$A$1:$A$175,A312)&gt;0</f>
        <v>0</v>
      </c>
      <c r="U312" s="181" t="b">
        <f>COUNTIF(Discontinued!$A$1:$A$150,A312)&gt;0</f>
        <v>0</v>
      </c>
    </row>
    <row r="313" spans="1:21" s="8" customFormat="1" ht="11.25" x14ac:dyDescent="0.2">
      <c r="A313" s="160">
        <v>10021993</v>
      </c>
      <c r="B313" s="231" t="s">
        <v>3272</v>
      </c>
      <c r="C313" s="118" t="s">
        <v>934</v>
      </c>
      <c r="D313" s="119" t="s">
        <v>924</v>
      </c>
      <c r="E313" s="12" t="s">
        <v>757</v>
      </c>
      <c r="F313" s="13">
        <v>24</v>
      </c>
      <c r="G313" s="121">
        <f>Overview!$B$22</f>
        <v>36</v>
      </c>
      <c r="H313" s="114">
        <f t="shared" si="64"/>
        <v>36</v>
      </c>
      <c r="I313" s="114">
        <f>Overview!$E$22</f>
        <v>0</v>
      </c>
      <c r="J313" s="115">
        <f>I313/F313</f>
        <v>0</v>
      </c>
      <c r="K313" s="116">
        <f>Overview!$H$22</f>
        <v>0</v>
      </c>
      <c r="L313" s="117" t="e">
        <f>(K313-J313)/K313</f>
        <v>#DIV/0!</v>
      </c>
      <c r="M313" s="179" t="s">
        <v>921</v>
      </c>
      <c r="N313" s="179" t="s">
        <v>3377</v>
      </c>
      <c r="O313" s="141">
        <f>I313</f>
        <v>0</v>
      </c>
      <c r="P313" s="181" t="b">
        <f>COUNTIF('Facility Data'!$A$1:$A$1500,"*"&amp;A313&amp;"*")&gt;0</f>
        <v>0</v>
      </c>
      <c r="Q313" s="181" t="b">
        <f>COUNTIF('Account Data'!$A$1:$A$1000,"*"&amp;A313&amp;"*")&gt;0</f>
        <v>1</v>
      </c>
      <c r="R313" s="182" t="b">
        <f t="shared" si="67"/>
        <v>0</v>
      </c>
      <c r="S313" s="182" t="b">
        <f t="shared" si="70"/>
        <v>1</v>
      </c>
      <c r="T313" s="181" t="b">
        <f>COUNTIF('New Items'!$A$1:$A$175,A313)&gt;0</f>
        <v>0</v>
      </c>
      <c r="U313" s="181" t="b">
        <f>COUNTIF(Discontinued!$A$1:$A$150,A313)&gt;0</f>
        <v>0</v>
      </c>
    </row>
    <row r="314" spans="1:21" s="8" customFormat="1" ht="11.25" x14ac:dyDescent="0.2">
      <c r="A314" s="160">
        <v>10021992</v>
      </c>
      <c r="B314" s="231" t="s">
        <v>3271</v>
      </c>
      <c r="C314" s="118" t="s">
        <v>933</v>
      </c>
      <c r="D314" s="119" t="s">
        <v>923</v>
      </c>
      <c r="E314" s="12" t="s">
        <v>757</v>
      </c>
      <c r="F314" s="13">
        <v>24</v>
      </c>
      <c r="G314" s="121">
        <f>Overview!$B$22</f>
        <v>36</v>
      </c>
      <c r="H314" s="114">
        <f t="shared" si="64"/>
        <v>36</v>
      </c>
      <c r="I314" s="114">
        <f>Overview!$E$22</f>
        <v>0</v>
      </c>
      <c r="J314" s="115">
        <f t="shared" si="65"/>
        <v>0</v>
      </c>
      <c r="K314" s="116">
        <f>Overview!$H$22</f>
        <v>0</v>
      </c>
      <c r="L314" s="117" t="e">
        <f t="shared" si="66"/>
        <v>#DIV/0!</v>
      </c>
      <c r="M314" s="179" t="s">
        <v>921</v>
      </c>
      <c r="N314" s="179" t="s">
        <v>3377</v>
      </c>
      <c r="O314" s="141">
        <f t="shared" si="69"/>
        <v>0</v>
      </c>
      <c r="P314" s="181" t="b">
        <f>COUNTIF('Facility Data'!$A$1:$A$1500,"*"&amp;A314&amp;"*")&gt;0</f>
        <v>0</v>
      </c>
      <c r="Q314" s="181" t="b">
        <f>COUNTIF('Account Data'!$A$1:$A$1000,"*"&amp;A314&amp;"*")&gt;0</f>
        <v>1</v>
      </c>
      <c r="R314" s="182" t="b">
        <f t="shared" si="67"/>
        <v>0</v>
      </c>
      <c r="S314" s="182" t="b">
        <f t="shared" si="70"/>
        <v>1</v>
      </c>
      <c r="T314" s="181" t="b">
        <f>COUNTIF('New Items'!$A$1:$A$175,A314)&gt;0</f>
        <v>0</v>
      </c>
      <c r="U314" s="181" t="b">
        <f>COUNTIF(Discontinued!$A$1:$A$150,A314)&gt;0</f>
        <v>0</v>
      </c>
    </row>
    <row r="315" spans="1:21" s="8" customFormat="1" ht="11.25" x14ac:dyDescent="0.2">
      <c r="A315" s="160">
        <v>10021991</v>
      </c>
      <c r="B315" s="231" t="s">
        <v>3658</v>
      </c>
      <c r="C315" s="118" t="s">
        <v>3660</v>
      </c>
      <c r="D315" s="119" t="s">
        <v>3659</v>
      </c>
      <c r="E315" s="12" t="s">
        <v>757</v>
      </c>
      <c r="F315" s="13">
        <v>24</v>
      </c>
      <c r="G315" s="121">
        <f>Overview!$B$22</f>
        <v>36</v>
      </c>
      <c r="H315" s="114">
        <f t="shared" si="64"/>
        <v>36</v>
      </c>
      <c r="I315" s="114">
        <f>Overview!$E$22</f>
        <v>0</v>
      </c>
      <c r="J315" s="115">
        <f>I315/F315</f>
        <v>0</v>
      </c>
      <c r="K315" s="116">
        <f>Overview!$H$22</f>
        <v>0</v>
      </c>
      <c r="L315" s="117" t="e">
        <f>(K315-J315)/K315</f>
        <v>#DIV/0!</v>
      </c>
      <c r="M315" s="179" t="s">
        <v>921</v>
      </c>
      <c r="N315" s="179" t="s">
        <v>3377</v>
      </c>
      <c r="O315" s="141">
        <f>I315</f>
        <v>0</v>
      </c>
      <c r="P315" s="181" t="b">
        <f>COUNTIF('Facility Data'!$A$1:$A$1500,"*"&amp;A315&amp;"*")&gt;0</f>
        <v>0</v>
      </c>
      <c r="Q315" s="181" t="b">
        <f>COUNTIF('Account Data'!$A$1:$A$1000,"*"&amp;A315&amp;"*")&gt;0</f>
        <v>0</v>
      </c>
      <c r="R315" s="182" t="b">
        <f t="shared" si="67"/>
        <v>0</v>
      </c>
      <c r="S315" s="182" t="b">
        <f t="shared" si="70"/>
        <v>0</v>
      </c>
      <c r="T315" s="181" t="b">
        <f>COUNTIF('New Items'!$A$1:$A$175,A315)&gt;0</f>
        <v>0</v>
      </c>
      <c r="U315" s="181" t="b">
        <f>COUNTIF(Discontinued!$A$1:$A$150,A315)&gt;0</f>
        <v>0</v>
      </c>
    </row>
    <row r="316" spans="1:21" s="8" customFormat="1" ht="11.25" x14ac:dyDescent="0.2">
      <c r="A316" s="160">
        <v>10001150</v>
      </c>
      <c r="B316" s="231" t="s">
        <v>175</v>
      </c>
      <c r="C316" s="118" t="s">
        <v>176</v>
      </c>
      <c r="D316" s="119" t="s">
        <v>652</v>
      </c>
      <c r="E316" s="12" t="s">
        <v>757</v>
      </c>
      <c r="F316" s="13">
        <v>24</v>
      </c>
      <c r="G316" s="121">
        <f>Overview!$B$22</f>
        <v>36</v>
      </c>
      <c r="H316" s="114">
        <f t="shared" si="64"/>
        <v>36</v>
      </c>
      <c r="I316" s="114">
        <f>Overview!$E$22</f>
        <v>0</v>
      </c>
      <c r="J316" s="115">
        <f t="shared" si="65"/>
        <v>0</v>
      </c>
      <c r="K316" s="116">
        <f>Overview!$H$22</f>
        <v>0</v>
      </c>
      <c r="L316" s="117" t="e">
        <f t="shared" si="66"/>
        <v>#DIV/0!</v>
      </c>
      <c r="M316" s="179"/>
      <c r="N316" s="179" t="s">
        <v>967</v>
      </c>
      <c r="O316" s="141">
        <f t="shared" si="69"/>
        <v>0</v>
      </c>
      <c r="P316" s="181" t="b">
        <f>COUNTIF('Facility Data'!$A$1:$A$1500,"*"&amp;A316&amp;"*")&gt;0</f>
        <v>1</v>
      </c>
      <c r="Q316" s="181" t="b">
        <f>COUNTIF('Account Data'!$A$1:$A$1000,"*"&amp;A316&amp;"*")&gt;0</f>
        <v>1</v>
      </c>
      <c r="R316" s="182" t="b">
        <f t="shared" si="67"/>
        <v>1</v>
      </c>
      <c r="S316" s="182" t="b">
        <f t="shared" si="70"/>
        <v>1</v>
      </c>
      <c r="T316" s="181" t="b">
        <f>COUNTIF('New Items'!$A$1:$A$175,A316)&gt;0</f>
        <v>0</v>
      </c>
      <c r="U316" s="181" t="b">
        <f>COUNTIF(Discontinued!$A$1:$A$150,A316)&gt;0</f>
        <v>0</v>
      </c>
    </row>
    <row r="317" spans="1:21" s="8" customFormat="1" ht="11.25" x14ac:dyDescent="0.2">
      <c r="A317" s="160">
        <v>10057516</v>
      </c>
      <c r="B317" s="231" t="s">
        <v>4802</v>
      </c>
      <c r="C317" s="118" t="s">
        <v>178</v>
      </c>
      <c r="D317" s="119" t="s">
        <v>4737</v>
      </c>
      <c r="E317" s="12" t="s">
        <v>757</v>
      </c>
      <c r="F317" s="13">
        <v>24</v>
      </c>
      <c r="G317" s="121">
        <f>Overview!$B$22</f>
        <v>36</v>
      </c>
      <c r="H317" s="114">
        <f t="shared" si="64"/>
        <v>36</v>
      </c>
      <c r="I317" s="114">
        <f>Overview!$E$22</f>
        <v>0</v>
      </c>
      <c r="J317" s="115">
        <f t="shared" si="65"/>
        <v>0</v>
      </c>
      <c r="K317" s="116">
        <f>Overview!$H$22</f>
        <v>0</v>
      </c>
      <c r="L317" s="117" t="e">
        <f t="shared" si="66"/>
        <v>#DIV/0!</v>
      </c>
      <c r="M317" s="179"/>
      <c r="N317" s="179" t="s">
        <v>967</v>
      </c>
      <c r="O317" s="141">
        <f t="shared" si="69"/>
        <v>0</v>
      </c>
      <c r="P317" s="181" t="b">
        <f>COUNTIF('Facility Data'!$A$1:$A$1500,"*"&amp;A317&amp;"*")&gt;0</f>
        <v>1</v>
      </c>
      <c r="Q317" s="181" t="b">
        <f>COUNTIF('Account Data'!$A$1:$A$1000,"*"&amp;A317&amp;"*")&gt;0</f>
        <v>1</v>
      </c>
      <c r="R317" s="182" t="b">
        <f t="shared" si="67"/>
        <v>1</v>
      </c>
      <c r="S317" s="182" t="b">
        <f t="shared" si="70"/>
        <v>1</v>
      </c>
      <c r="T317" s="181" t="b">
        <f>COUNTIF('New Items'!$A$1:$A$175,A317)&gt;0</f>
        <v>0</v>
      </c>
      <c r="U317" s="181" t="b">
        <f>COUNTIF(Discontinued!$A$1:$A$150,A317)&gt;0</f>
        <v>0</v>
      </c>
    </row>
    <row r="318" spans="1:21" s="8" customFormat="1" ht="11.25" x14ac:dyDescent="0.2">
      <c r="A318" s="160">
        <v>10105909</v>
      </c>
      <c r="B318" s="231" t="s">
        <v>2138</v>
      </c>
      <c r="C318" s="118" t="s">
        <v>797</v>
      </c>
      <c r="D318" s="119" t="s">
        <v>796</v>
      </c>
      <c r="E318" s="12" t="s">
        <v>757</v>
      </c>
      <c r="F318" s="13">
        <v>24</v>
      </c>
      <c r="G318" s="121">
        <f>Overview!$B$22</f>
        <v>36</v>
      </c>
      <c r="H318" s="114">
        <f t="shared" si="64"/>
        <v>36</v>
      </c>
      <c r="I318" s="114">
        <f>Overview!$E$22</f>
        <v>0</v>
      </c>
      <c r="J318" s="115">
        <f t="shared" si="65"/>
        <v>0</v>
      </c>
      <c r="K318" s="116">
        <f>Overview!$H$22</f>
        <v>0</v>
      </c>
      <c r="L318" s="117" t="e">
        <f t="shared" si="66"/>
        <v>#DIV/0!</v>
      </c>
      <c r="M318" s="179"/>
      <c r="N318" s="179" t="s">
        <v>967</v>
      </c>
      <c r="O318" s="141">
        <f t="shared" si="69"/>
        <v>0</v>
      </c>
      <c r="P318" s="181" t="b">
        <f>COUNTIF('Facility Data'!$A$1:$A$1500,"*"&amp;A318&amp;"*")&gt;0</f>
        <v>1</v>
      </c>
      <c r="Q318" s="181" t="b">
        <f>COUNTIF('Account Data'!$A$1:$A$1000,"*"&amp;A318&amp;"*")&gt;0</f>
        <v>1</v>
      </c>
      <c r="R318" s="182" t="b">
        <f t="shared" si="67"/>
        <v>1</v>
      </c>
      <c r="S318" s="182" t="b">
        <f t="shared" si="70"/>
        <v>1</v>
      </c>
      <c r="T318" s="181" t="b">
        <f>COUNTIF('New Items'!$A$1:$A$175,A318)&gt;0</f>
        <v>0</v>
      </c>
      <c r="U318" s="181" t="b">
        <f>COUNTIF(Discontinued!$A$1:$A$150,A318)&gt;0</f>
        <v>0</v>
      </c>
    </row>
    <row r="319" spans="1:21" s="8" customFormat="1" ht="11.25" x14ac:dyDescent="0.2">
      <c r="A319" s="160">
        <v>10105911</v>
      </c>
      <c r="B319" s="231" t="s">
        <v>3667</v>
      </c>
      <c r="C319" s="118" t="s">
        <v>1059</v>
      </c>
      <c r="D319" s="119" t="s">
        <v>1058</v>
      </c>
      <c r="E319" s="12" t="s">
        <v>757</v>
      </c>
      <c r="F319" s="13">
        <v>24</v>
      </c>
      <c r="G319" s="121">
        <f>Overview!$B$22</f>
        <v>36</v>
      </c>
      <c r="H319" s="114">
        <f t="shared" ref="H319:H349" si="71">G319-I319</f>
        <v>36</v>
      </c>
      <c r="I319" s="114">
        <f>Overview!$E$22</f>
        <v>0</v>
      </c>
      <c r="J319" s="115">
        <f t="shared" si="65"/>
        <v>0</v>
      </c>
      <c r="K319" s="116">
        <f>Overview!$H$22</f>
        <v>0</v>
      </c>
      <c r="L319" s="117" t="e">
        <f t="shared" si="66"/>
        <v>#DIV/0!</v>
      </c>
      <c r="M319" s="179"/>
      <c r="N319" s="179" t="s">
        <v>967</v>
      </c>
      <c r="O319" s="141">
        <f t="shared" si="69"/>
        <v>0</v>
      </c>
      <c r="P319" s="181" t="b">
        <f>COUNTIF('Facility Data'!$A$1:$A$1500,"*"&amp;A319&amp;"*")&gt;0</f>
        <v>0</v>
      </c>
      <c r="Q319" s="181" t="b">
        <f>COUNTIF('Account Data'!$A$1:$A$1000,"*"&amp;A319&amp;"*")&gt;0</f>
        <v>0</v>
      </c>
      <c r="R319" s="182" t="b">
        <f t="shared" ref="R319:R349" si="72">IF(OR(P319=TRUE,T319=TRUE),TRUE,FALSE)</f>
        <v>0</v>
      </c>
      <c r="S319" s="182" t="b">
        <f t="shared" si="70"/>
        <v>0</v>
      </c>
      <c r="T319" s="181" t="b">
        <f>COUNTIF('New Items'!$A$1:$A$175,A319)&gt;0</f>
        <v>0</v>
      </c>
      <c r="U319" s="181" t="b">
        <f>COUNTIF(Discontinued!$A$1:$A$150,A319)&gt;0</f>
        <v>0</v>
      </c>
    </row>
    <row r="320" spans="1:21" s="8" customFormat="1" ht="11.25" x14ac:dyDescent="0.2">
      <c r="A320" s="160">
        <v>10079297</v>
      </c>
      <c r="B320" s="231" t="s">
        <v>2443</v>
      </c>
      <c r="C320" s="12" t="s">
        <v>2699</v>
      </c>
      <c r="D320" s="11" t="s">
        <v>653</v>
      </c>
      <c r="E320" s="12" t="s">
        <v>757</v>
      </c>
      <c r="F320" s="13">
        <v>24</v>
      </c>
      <c r="G320" s="121">
        <f>Overview!$B$22</f>
        <v>36</v>
      </c>
      <c r="H320" s="114">
        <f t="shared" si="71"/>
        <v>36</v>
      </c>
      <c r="I320" s="114">
        <f>Overview!$E$22</f>
        <v>0</v>
      </c>
      <c r="J320" s="115">
        <f t="shared" si="65"/>
        <v>0</v>
      </c>
      <c r="K320" s="116">
        <f>Overview!$H$22</f>
        <v>0</v>
      </c>
      <c r="L320" s="117" t="e">
        <f t="shared" si="66"/>
        <v>#DIV/0!</v>
      </c>
      <c r="M320" s="179"/>
      <c r="N320" s="179" t="s">
        <v>967</v>
      </c>
      <c r="O320" s="141">
        <f t="shared" si="69"/>
        <v>0</v>
      </c>
      <c r="P320" s="181" t="b">
        <f>COUNTIF('Facility Data'!$A$1:$A$1500,"*"&amp;A320&amp;"*")&gt;0</f>
        <v>0</v>
      </c>
      <c r="Q320" s="181" t="b">
        <f>COUNTIF('Account Data'!$A$1:$A$1000,"*"&amp;A320&amp;"*")&gt;0</f>
        <v>0</v>
      </c>
      <c r="R320" s="182" t="b">
        <f t="shared" si="72"/>
        <v>0</v>
      </c>
      <c r="S320" s="182" t="b">
        <f t="shared" si="70"/>
        <v>0</v>
      </c>
      <c r="T320" s="181" t="b">
        <f>COUNTIF('New Items'!$A$1:$A$175,A320)&gt;0</f>
        <v>0</v>
      </c>
      <c r="U320" s="181" t="b">
        <f>COUNTIF(Discontinued!$A$1:$A$150,A320)&gt;0</f>
        <v>0</v>
      </c>
    </row>
    <row r="321" spans="1:21" s="8" customFormat="1" ht="11.25" x14ac:dyDescent="0.2">
      <c r="A321" s="152">
        <v>10083871</v>
      </c>
      <c r="B321" s="10" t="s">
        <v>2444</v>
      </c>
      <c r="C321" s="12" t="s">
        <v>2700</v>
      </c>
      <c r="D321" s="11" t="s">
        <v>654</v>
      </c>
      <c r="E321" s="12" t="s">
        <v>757</v>
      </c>
      <c r="F321" s="13">
        <v>24</v>
      </c>
      <c r="G321" s="121">
        <f>Overview!$B$22</f>
        <v>36</v>
      </c>
      <c r="H321" s="114">
        <f t="shared" si="71"/>
        <v>36</v>
      </c>
      <c r="I321" s="114">
        <f>Overview!$E$22</f>
        <v>0</v>
      </c>
      <c r="J321" s="115">
        <f t="shared" si="65"/>
        <v>0</v>
      </c>
      <c r="K321" s="116">
        <f>Overview!$H$22</f>
        <v>0</v>
      </c>
      <c r="L321" s="117" t="e">
        <f t="shared" si="66"/>
        <v>#DIV/0!</v>
      </c>
      <c r="M321" s="179"/>
      <c r="N321" s="179" t="s">
        <v>967</v>
      </c>
      <c r="O321" s="141">
        <f t="shared" si="69"/>
        <v>0</v>
      </c>
      <c r="P321" s="181" t="b">
        <f>COUNTIF('Facility Data'!$A$1:$A$1500,"*"&amp;A321&amp;"*")&gt;0</f>
        <v>0</v>
      </c>
      <c r="Q321" s="181" t="b">
        <f>COUNTIF('Account Data'!$A$1:$A$1000,"*"&amp;A321&amp;"*")&gt;0</f>
        <v>0</v>
      </c>
      <c r="R321" s="182" t="b">
        <f t="shared" si="72"/>
        <v>0</v>
      </c>
      <c r="S321" s="182" t="b">
        <f t="shared" si="70"/>
        <v>0</v>
      </c>
      <c r="T321" s="181" t="b">
        <f>COUNTIF('New Items'!$A$1:$A$175,A321)&gt;0</f>
        <v>0</v>
      </c>
      <c r="U321" s="181" t="b">
        <f>COUNTIF(Discontinued!$A$1:$A$150,A321)&gt;0</f>
        <v>0</v>
      </c>
    </row>
    <row r="322" spans="1:21" s="8" customFormat="1" ht="11.25" x14ac:dyDescent="0.2">
      <c r="A322" s="152">
        <v>10079300</v>
      </c>
      <c r="B322" s="10" t="s">
        <v>2687</v>
      </c>
      <c r="C322" s="12" t="s">
        <v>2688</v>
      </c>
      <c r="D322" s="11" t="s">
        <v>2689</v>
      </c>
      <c r="E322" s="12" t="s">
        <v>757</v>
      </c>
      <c r="F322" s="13">
        <v>24</v>
      </c>
      <c r="G322" s="22">
        <f>Overview!$B$22</f>
        <v>36</v>
      </c>
      <c r="H322" s="114">
        <f t="shared" si="71"/>
        <v>36</v>
      </c>
      <c r="I322" s="114">
        <f>Overview!$E$22</f>
        <v>0</v>
      </c>
      <c r="J322" s="115">
        <f>I322/F322</f>
        <v>0</v>
      </c>
      <c r="K322" s="116">
        <f>Overview!$H$22</f>
        <v>0</v>
      </c>
      <c r="L322" s="117" t="e">
        <f>(K322-J322)/K322</f>
        <v>#DIV/0!</v>
      </c>
      <c r="M322" s="179"/>
      <c r="N322" s="179" t="s">
        <v>967</v>
      </c>
      <c r="O322" s="141">
        <f>I322</f>
        <v>0</v>
      </c>
      <c r="P322" s="181" t="b">
        <f>COUNTIF('Facility Data'!$A$1:$A$1500,"*"&amp;A322&amp;"*")&gt;0</f>
        <v>0</v>
      </c>
      <c r="Q322" s="181" t="b">
        <f>COUNTIF('Account Data'!$A$1:$A$1000,"*"&amp;A322&amp;"*")&gt;0</f>
        <v>0</v>
      </c>
      <c r="R322" s="182" t="b">
        <f t="shared" si="72"/>
        <v>0</v>
      </c>
      <c r="S322" s="182" t="b">
        <f t="shared" si="70"/>
        <v>0</v>
      </c>
      <c r="T322" s="181" t="b">
        <f>COUNTIF('New Items'!$A$1:$A$175,A322)&gt;0</f>
        <v>0</v>
      </c>
      <c r="U322" s="181" t="b">
        <f>COUNTIF(Discontinued!$A$1:$A$150,A322)&gt;0</f>
        <v>0</v>
      </c>
    </row>
    <row r="323" spans="1:21" s="8" customFormat="1" ht="11.25" x14ac:dyDescent="0.2">
      <c r="A323" s="152">
        <v>10079291</v>
      </c>
      <c r="B323" s="10" t="s">
        <v>2445</v>
      </c>
      <c r="C323" s="12" t="s">
        <v>2701</v>
      </c>
      <c r="D323" s="11" t="s">
        <v>2447</v>
      </c>
      <c r="E323" s="12" t="s">
        <v>757</v>
      </c>
      <c r="F323" s="13">
        <v>24</v>
      </c>
      <c r="G323" s="121">
        <f>Overview!$B$22</f>
        <v>36</v>
      </c>
      <c r="H323" s="114">
        <f t="shared" si="71"/>
        <v>36</v>
      </c>
      <c r="I323" s="114">
        <f>Overview!$E$22</f>
        <v>0</v>
      </c>
      <c r="J323" s="115">
        <f t="shared" si="65"/>
        <v>0</v>
      </c>
      <c r="K323" s="116">
        <f>Overview!$H$22</f>
        <v>0</v>
      </c>
      <c r="L323" s="117" t="e">
        <f t="shared" si="66"/>
        <v>#DIV/0!</v>
      </c>
      <c r="M323" s="179"/>
      <c r="N323" s="179" t="s">
        <v>967</v>
      </c>
      <c r="O323" s="141">
        <f t="shared" si="69"/>
        <v>0</v>
      </c>
      <c r="P323" s="181" t="b">
        <f>COUNTIF('Facility Data'!$A$1:$A$1500,"*"&amp;A323&amp;"*")&gt;0</f>
        <v>0</v>
      </c>
      <c r="Q323" s="181" t="b">
        <f>COUNTIF('Account Data'!$A$1:$A$1000,"*"&amp;A323&amp;"*")&gt;0</f>
        <v>0</v>
      </c>
      <c r="R323" s="182" t="b">
        <f t="shared" si="72"/>
        <v>0</v>
      </c>
      <c r="S323" s="182" t="b">
        <f t="shared" si="70"/>
        <v>0</v>
      </c>
      <c r="T323" s="181" t="b">
        <f>COUNTIF('New Items'!$A$1:$A$175,A323)&gt;0</f>
        <v>0</v>
      </c>
      <c r="U323" s="181" t="b">
        <f>COUNTIF(Discontinued!$A$1:$A$150,A323)&gt;0</f>
        <v>0</v>
      </c>
    </row>
    <row r="324" spans="1:21" s="8" customFormat="1" ht="11.25" x14ac:dyDescent="0.2">
      <c r="A324" s="152">
        <v>10001112</v>
      </c>
      <c r="B324" s="10" t="s">
        <v>2703</v>
      </c>
      <c r="C324" s="12" t="s">
        <v>2704</v>
      </c>
      <c r="D324" s="11" t="s">
        <v>4116</v>
      </c>
      <c r="E324" s="12" t="s">
        <v>757</v>
      </c>
      <c r="F324" s="13">
        <v>24</v>
      </c>
      <c r="G324" s="22">
        <f>Overview!$B$22</f>
        <v>36</v>
      </c>
      <c r="H324" s="114">
        <f t="shared" si="71"/>
        <v>36</v>
      </c>
      <c r="I324" s="114">
        <f>Overview!$E$22</f>
        <v>0</v>
      </c>
      <c r="J324" s="115">
        <f t="shared" si="65"/>
        <v>0</v>
      </c>
      <c r="K324" s="116">
        <f>Overview!$H$22</f>
        <v>0</v>
      </c>
      <c r="L324" s="117" t="e">
        <f t="shared" si="66"/>
        <v>#DIV/0!</v>
      </c>
      <c r="M324" s="179" t="s">
        <v>953</v>
      </c>
      <c r="N324" s="179" t="s">
        <v>3377</v>
      </c>
      <c r="O324" s="141">
        <f>I324</f>
        <v>0</v>
      </c>
      <c r="P324" s="181" t="b">
        <f>COUNTIF('Facility Data'!$A$1:$A$1500,"*"&amp;A324&amp;"*")&gt;0</f>
        <v>0</v>
      </c>
      <c r="Q324" s="181" t="b">
        <f>COUNTIF('Account Data'!$A$1:$A$1000,"*"&amp;A324&amp;"*")&gt;0</f>
        <v>0</v>
      </c>
      <c r="R324" s="182" t="b">
        <f t="shared" si="72"/>
        <v>0</v>
      </c>
      <c r="S324" s="182" t="b">
        <f t="shared" si="70"/>
        <v>0</v>
      </c>
      <c r="T324" s="181" t="b">
        <f>COUNTIF('New Items'!$A$1:$A$175,A324)&gt;0</f>
        <v>0</v>
      </c>
      <c r="U324" s="181" t="b">
        <f>COUNTIF(Discontinued!$A$1:$A$150,A324)&gt;0</f>
        <v>0</v>
      </c>
    </row>
    <row r="325" spans="1:21" s="8" customFormat="1" ht="11.25" x14ac:dyDescent="0.2">
      <c r="A325" s="152">
        <v>10001113</v>
      </c>
      <c r="B325" s="10" t="s">
        <v>4803</v>
      </c>
      <c r="C325" s="12" t="s">
        <v>2706</v>
      </c>
      <c r="D325" s="11" t="s">
        <v>4780</v>
      </c>
      <c r="E325" s="12" t="s">
        <v>757</v>
      </c>
      <c r="F325" s="13">
        <v>24</v>
      </c>
      <c r="G325" s="22">
        <f>Overview!$B$22</f>
        <v>36</v>
      </c>
      <c r="H325" s="114">
        <f t="shared" si="71"/>
        <v>36</v>
      </c>
      <c r="I325" s="114">
        <f>Overview!$E$22</f>
        <v>0</v>
      </c>
      <c r="J325" s="115">
        <f t="shared" si="65"/>
        <v>0</v>
      </c>
      <c r="K325" s="116">
        <f>Overview!$H$22</f>
        <v>0</v>
      </c>
      <c r="L325" s="117" t="e">
        <f t="shared" si="66"/>
        <v>#DIV/0!</v>
      </c>
      <c r="M325" s="179" t="s">
        <v>953</v>
      </c>
      <c r="N325" s="179" t="s">
        <v>3377</v>
      </c>
      <c r="O325" s="141">
        <f>I325</f>
        <v>0</v>
      </c>
      <c r="P325" s="181" t="b">
        <f>COUNTIF('Facility Data'!$A$1:$A$1500,"*"&amp;A325&amp;"*")&gt;0</f>
        <v>0</v>
      </c>
      <c r="Q325" s="181" t="b">
        <f>COUNTIF('Account Data'!$A$1:$A$1000,"*"&amp;A325&amp;"*")&gt;0</f>
        <v>0</v>
      </c>
      <c r="R325" s="182" t="b">
        <f t="shared" si="72"/>
        <v>0</v>
      </c>
      <c r="S325" s="182" t="b">
        <f t="shared" si="70"/>
        <v>0</v>
      </c>
      <c r="T325" s="181" t="b">
        <f>COUNTIF('New Items'!$A$1:$A$175,A325)&gt;0</f>
        <v>0</v>
      </c>
      <c r="U325" s="181" t="b">
        <f>COUNTIF(Discontinued!$A$1:$A$150,A325)&gt;0</f>
        <v>0</v>
      </c>
    </row>
    <row r="326" spans="1:21" s="8" customFormat="1" ht="11.25" x14ac:dyDescent="0.2">
      <c r="A326" s="152">
        <v>10001124</v>
      </c>
      <c r="B326" s="10" t="s">
        <v>2996</v>
      </c>
      <c r="C326" s="12" t="s">
        <v>2997</v>
      </c>
      <c r="D326" s="11" t="s">
        <v>1697</v>
      </c>
      <c r="E326" s="12" t="s">
        <v>757</v>
      </c>
      <c r="F326" s="13">
        <v>24</v>
      </c>
      <c r="G326" s="22">
        <f>Overview!$B$22</f>
        <v>36</v>
      </c>
      <c r="H326" s="114">
        <f t="shared" si="71"/>
        <v>36</v>
      </c>
      <c r="I326" s="114">
        <f>Overview!$E$22</f>
        <v>0</v>
      </c>
      <c r="J326" s="115">
        <f t="shared" si="65"/>
        <v>0</v>
      </c>
      <c r="K326" s="116">
        <f>Overview!$H$22</f>
        <v>0</v>
      </c>
      <c r="L326" s="117" t="e">
        <f t="shared" si="66"/>
        <v>#DIV/0!</v>
      </c>
      <c r="M326" s="179" t="s">
        <v>944</v>
      </c>
      <c r="N326" s="179" t="s">
        <v>3377</v>
      </c>
      <c r="O326" s="141">
        <f>I326</f>
        <v>0</v>
      </c>
      <c r="P326" s="181" t="b">
        <f>COUNTIF('Facility Data'!$A$1:$A$1500,"*"&amp;A326&amp;"*")&gt;0</f>
        <v>0</v>
      </c>
      <c r="Q326" s="181" t="b">
        <f>COUNTIF('Account Data'!$A$1:$A$1000,"*"&amp;A326&amp;"*")&gt;0</f>
        <v>0</v>
      </c>
      <c r="R326" s="182" t="b">
        <f t="shared" si="72"/>
        <v>0</v>
      </c>
      <c r="S326" s="182" t="b">
        <f t="shared" si="70"/>
        <v>0</v>
      </c>
      <c r="T326" s="181" t="b">
        <f>COUNTIF('New Items'!$A$1:$A$175,A326)&gt;0</f>
        <v>0</v>
      </c>
      <c r="U326" s="181" t="b">
        <f>COUNTIF(Discontinued!$A$1:$A$150,A326)&gt;0</f>
        <v>0</v>
      </c>
    </row>
    <row r="327" spans="1:21" s="8" customFormat="1" ht="11.25" x14ac:dyDescent="0.2">
      <c r="A327" s="152">
        <v>10001120</v>
      </c>
      <c r="B327" s="10" t="s">
        <v>179</v>
      </c>
      <c r="C327" s="12" t="s">
        <v>180</v>
      </c>
      <c r="D327" s="11" t="s">
        <v>636</v>
      </c>
      <c r="E327" s="12" t="s">
        <v>757</v>
      </c>
      <c r="F327" s="13">
        <v>24</v>
      </c>
      <c r="G327" s="22">
        <f>Overview!$B$22</f>
        <v>36</v>
      </c>
      <c r="H327" s="114">
        <f t="shared" si="71"/>
        <v>36</v>
      </c>
      <c r="I327" s="114">
        <f>Overview!$E$22</f>
        <v>0</v>
      </c>
      <c r="J327" s="115">
        <f t="shared" si="65"/>
        <v>0</v>
      </c>
      <c r="K327" s="116">
        <f>Overview!$H$22</f>
        <v>0</v>
      </c>
      <c r="L327" s="117" t="e">
        <f t="shared" si="66"/>
        <v>#DIV/0!</v>
      </c>
      <c r="M327" s="179" t="s">
        <v>4370</v>
      </c>
      <c r="N327" s="179" t="s">
        <v>967</v>
      </c>
      <c r="O327" s="141">
        <f t="shared" si="69"/>
        <v>0</v>
      </c>
      <c r="P327" s="181" t="b">
        <f>COUNTIF('Facility Data'!$A$1:$A$1500,"*"&amp;A327&amp;"*")&gt;0</f>
        <v>1</v>
      </c>
      <c r="Q327" s="181" t="b">
        <f>COUNTIF('Account Data'!$A$1:$A$1000,"*"&amp;A327&amp;"*")&gt;0</f>
        <v>1</v>
      </c>
      <c r="R327" s="182" t="b">
        <f t="shared" si="72"/>
        <v>1</v>
      </c>
      <c r="S327" s="182" t="b">
        <f t="shared" si="70"/>
        <v>1</v>
      </c>
      <c r="T327" s="181" t="b">
        <f>COUNTIF('New Items'!$A$1:$A$175,A327)&gt;0</f>
        <v>0</v>
      </c>
      <c r="U327" s="181" t="b">
        <f>COUNTIF(Discontinued!$A$1:$A$150,A327)&gt;0</f>
        <v>0</v>
      </c>
    </row>
    <row r="328" spans="1:21" s="8" customFormat="1" ht="11.25" x14ac:dyDescent="0.2">
      <c r="A328" s="152">
        <v>10001121</v>
      </c>
      <c r="B328" s="10" t="s">
        <v>4804</v>
      </c>
      <c r="C328" s="12" t="s">
        <v>182</v>
      </c>
      <c r="D328" s="11" t="s">
        <v>4762</v>
      </c>
      <c r="E328" s="12" t="s">
        <v>757</v>
      </c>
      <c r="F328" s="13">
        <v>24</v>
      </c>
      <c r="G328" s="22">
        <f>Overview!$B$22</f>
        <v>36</v>
      </c>
      <c r="H328" s="114">
        <f t="shared" si="71"/>
        <v>36</v>
      </c>
      <c r="I328" s="114">
        <f>Overview!$E$22</f>
        <v>0</v>
      </c>
      <c r="J328" s="115">
        <f t="shared" si="65"/>
        <v>0</v>
      </c>
      <c r="K328" s="116">
        <f>Overview!$H$22</f>
        <v>0</v>
      </c>
      <c r="L328" s="117" t="e">
        <f t="shared" si="66"/>
        <v>#DIV/0!</v>
      </c>
      <c r="M328" s="179" t="s">
        <v>4370</v>
      </c>
      <c r="N328" s="179" t="s">
        <v>967</v>
      </c>
      <c r="O328" s="141">
        <f t="shared" si="69"/>
        <v>0</v>
      </c>
      <c r="P328" s="181" t="b">
        <f>COUNTIF('Facility Data'!$A$1:$A$1500,"*"&amp;A328&amp;"*")&gt;0</f>
        <v>0</v>
      </c>
      <c r="Q328" s="181" t="b">
        <f>COUNTIF('Account Data'!$A$1:$A$1000,"*"&amp;A328&amp;"*")&gt;0</f>
        <v>1</v>
      </c>
      <c r="R328" s="182" t="b">
        <f t="shared" si="72"/>
        <v>0</v>
      </c>
      <c r="S328" s="182" t="b">
        <f t="shared" si="70"/>
        <v>1</v>
      </c>
      <c r="T328" s="181" t="b">
        <f>COUNTIF('New Items'!$A$1:$A$175,A328)&gt;0</f>
        <v>0</v>
      </c>
      <c r="U328" s="181" t="b">
        <f>COUNTIF(Discontinued!$A$1:$A$150,A328)&gt;0</f>
        <v>0</v>
      </c>
    </row>
    <row r="329" spans="1:21" s="8" customFormat="1" ht="11.25" x14ac:dyDescent="0.2">
      <c r="A329" s="152">
        <v>10001127</v>
      </c>
      <c r="B329" s="10" t="s">
        <v>183</v>
      </c>
      <c r="C329" s="12" t="s">
        <v>184</v>
      </c>
      <c r="D329" s="11" t="s">
        <v>637</v>
      </c>
      <c r="E329" s="12" t="s">
        <v>757</v>
      </c>
      <c r="F329" s="13">
        <v>24</v>
      </c>
      <c r="G329" s="22">
        <f>Overview!$B$22</f>
        <v>36</v>
      </c>
      <c r="H329" s="114">
        <f t="shared" si="71"/>
        <v>36</v>
      </c>
      <c r="I329" s="114">
        <f>Overview!$E$22</f>
        <v>0</v>
      </c>
      <c r="J329" s="115">
        <f t="shared" si="65"/>
        <v>0</v>
      </c>
      <c r="K329" s="116">
        <f>Overview!$H$22</f>
        <v>0</v>
      </c>
      <c r="L329" s="117" t="e">
        <f t="shared" si="66"/>
        <v>#DIV/0!</v>
      </c>
      <c r="M329" s="179" t="s">
        <v>4370</v>
      </c>
      <c r="N329" s="179" t="s">
        <v>967</v>
      </c>
      <c r="O329" s="141">
        <f t="shared" si="69"/>
        <v>0</v>
      </c>
      <c r="P329" s="181" t="b">
        <f>COUNTIF('Facility Data'!$A$1:$A$1500,"*"&amp;A329&amp;"*")&gt;0</f>
        <v>0</v>
      </c>
      <c r="Q329" s="181" t="b">
        <f>COUNTIF('Account Data'!$A$1:$A$1000,"*"&amp;A329&amp;"*")&gt;0</f>
        <v>1</v>
      </c>
      <c r="R329" s="182" t="b">
        <f t="shared" si="72"/>
        <v>0</v>
      </c>
      <c r="S329" s="182" t="b">
        <f t="shared" si="70"/>
        <v>1</v>
      </c>
      <c r="T329" s="181" t="b">
        <f>COUNTIF('New Items'!$A$1:$A$175,A329)&gt;0</f>
        <v>0</v>
      </c>
      <c r="U329" s="181" t="b">
        <f>COUNTIF(Discontinued!$A$1:$A$150,A329)&gt;0</f>
        <v>0</v>
      </c>
    </row>
    <row r="330" spans="1:21" s="8" customFormat="1" ht="11.25" x14ac:dyDescent="0.2">
      <c r="A330" s="152">
        <v>10000041</v>
      </c>
      <c r="B330" s="10" t="s">
        <v>1297</v>
      </c>
      <c r="C330" s="12" t="s">
        <v>1298</v>
      </c>
      <c r="D330" s="11" t="s">
        <v>639</v>
      </c>
      <c r="E330" s="12" t="s">
        <v>757</v>
      </c>
      <c r="F330" s="13">
        <v>24</v>
      </c>
      <c r="G330" s="22">
        <f>Overview!$B$22</f>
        <v>36</v>
      </c>
      <c r="H330" s="114">
        <f t="shared" si="71"/>
        <v>36</v>
      </c>
      <c r="I330" s="114">
        <f>Overview!$E$22</f>
        <v>0</v>
      </c>
      <c r="J330" s="115">
        <f t="shared" si="65"/>
        <v>0</v>
      </c>
      <c r="K330" s="116">
        <f>Overview!$H$22</f>
        <v>0</v>
      </c>
      <c r="L330" s="117" t="e">
        <f t="shared" si="66"/>
        <v>#DIV/0!</v>
      </c>
      <c r="M330" s="179" t="s">
        <v>930</v>
      </c>
      <c r="N330" s="179" t="s">
        <v>3377</v>
      </c>
      <c r="O330" s="141">
        <f t="shared" si="69"/>
        <v>0</v>
      </c>
      <c r="P330" s="181" t="b">
        <f>COUNTIF('Facility Data'!$A$1:$A$1500,"*"&amp;A330&amp;"*")&gt;0</f>
        <v>0</v>
      </c>
      <c r="Q330" s="181" t="b">
        <f>COUNTIF('Account Data'!$A$1:$A$1000,"*"&amp;A330&amp;"*")&gt;0</f>
        <v>0</v>
      </c>
      <c r="R330" s="182" t="b">
        <f t="shared" si="72"/>
        <v>0</v>
      </c>
      <c r="S330" s="182" t="b">
        <f t="shared" si="70"/>
        <v>0</v>
      </c>
      <c r="T330" s="181" t="b">
        <f>COUNTIF('New Items'!$A$1:$A$175,A330)&gt;0</f>
        <v>0</v>
      </c>
      <c r="U330" s="181" t="b">
        <f>COUNTIF(Discontinued!$A$1:$A$150,A330)&gt;0</f>
        <v>0</v>
      </c>
    </row>
    <row r="331" spans="1:21" s="8" customFormat="1" ht="11.25" x14ac:dyDescent="0.2">
      <c r="A331" s="152">
        <v>10001123</v>
      </c>
      <c r="B331" s="10" t="s">
        <v>185</v>
      </c>
      <c r="C331" s="12" t="s">
        <v>186</v>
      </c>
      <c r="D331" s="11" t="s">
        <v>655</v>
      </c>
      <c r="E331" s="12" t="s">
        <v>757</v>
      </c>
      <c r="F331" s="13">
        <v>24</v>
      </c>
      <c r="G331" s="22">
        <f>Overview!$B$22</f>
        <v>36</v>
      </c>
      <c r="H331" s="114">
        <f t="shared" si="71"/>
        <v>36</v>
      </c>
      <c r="I331" s="114">
        <f>Overview!$E$22</f>
        <v>0</v>
      </c>
      <c r="J331" s="115">
        <f t="shared" si="65"/>
        <v>0</v>
      </c>
      <c r="K331" s="116">
        <f>Overview!$H$22</f>
        <v>0</v>
      </c>
      <c r="L331" s="117" t="e">
        <f t="shared" si="66"/>
        <v>#DIV/0!</v>
      </c>
      <c r="M331" s="179"/>
      <c r="N331" s="179" t="s">
        <v>3377</v>
      </c>
      <c r="O331" s="141">
        <f t="shared" si="69"/>
        <v>0</v>
      </c>
      <c r="P331" s="181" t="b">
        <f>COUNTIF('Facility Data'!$A$1:$A$1500,"*"&amp;A331&amp;"*")&gt;0</f>
        <v>1</v>
      </c>
      <c r="Q331" s="181" t="b">
        <f>COUNTIF('Account Data'!$A$1:$A$1000,"*"&amp;A331&amp;"*")&gt;0</f>
        <v>1</v>
      </c>
      <c r="R331" s="182" t="b">
        <f t="shared" si="72"/>
        <v>1</v>
      </c>
      <c r="S331" s="182" t="b">
        <f t="shared" si="70"/>
        <v>1</v>
      </c>
      <c r="T331" s="181" t="b">
        <f>COUNTIF('New Items'!$A$1:$A$175,A331)&gt;0</f>
        <v>0</v>
      </c>
      <c r="U331" s="181" t="b">
        <f>COUNTIF(Discontinued!$A$1:$A$150,A331)&gt;0</f>
        <v>0</v>
      </c>
    </row>
    <row r="332" spans="1:21" s="8" customFormat="1" ht="11.25" x14ac:dyDescent="0.2">
      <c r="A332" s="152">
        <v>10027683</v>
      </c>
      <c r="B332" s="10" t="s">
        <v>187</v>
      </c>
      <c r="C332" s="12" t="s">
        <v>188</v>
      </c>
      <c r="D332" s="11" t="s">
        <v>656</v>
      </c>
      <c r="E332" s="12" t="s">
        <v>757</v>
      </c>
      <c r="F332" s="13">
        <v>24</v>
      </c>
      <c r="G332" s="22">
        <f>Overview!$B$22</f>
        <v>36</v>
      </c>
      <c r="H332" s="114">
        <f t="shared" si="71"/>
        <v>36</v>
      </c>
      <c r="I332" s="114">
        <f>Overview!$E$22</f>
        <v>0</v>
      </c>
      <c r="J332" s="115">
        <f t="shared" si="65"/>
        <v>0</v>
      </c>
      <c r="K332" s="116">
        <f>Overview!$H$22</f>
        <v>0</v>
      </c>
      <c r="L332" s="117" t="e">
        <f t="shared" si="66"/>
        <v>#DIV/0!</v>
      </c>
      <c r="M332" s="179" t="s">
        <v>952</v>
      </c>
      <c r="N332" s="179" t="s">
        <v>3377</v>
      </c>
      <c r="O332" s="141">
        <f>I332</f>
        <v>0</v>
      </c>
      <c r="P332" s="181" t="b">
        <f>COUNTIF('Facility Data'!$A$1:$A$1500,"*"&amp;A332&amp;"*")&gt;0</f>
        <v>0</v>
      </c>
      <c r="Q332" s="181" t="b">
        <f>COUNTIF('Account Data'!$A$1:$A$1000,"*"&amp;A332&amp;"*")&gt;0</f>
        <v>1</v>
      </c>
      <c r="R332" s="182" t="b">
        <f t="shared" si="72"/>
        <v>0</v>
      </c>
      <c r="S332" s="182" t="b">
        <f t="shared" si="70"/>
        <v>1</v>
      </c>
      <c r="T332" s="181" t="b">
        <f>COUNTIF('New Items'!$A$1:$A$175,A332)&gt;0</f>
        <v>0</v>
      </c>
      <c r="U332" s="181" t="b">
        <f>COUNTIF(Discontinued!$A$1:$A$150,A332)&gt;0</f>
        <v>0</v>
      </c>
    </row>
    <row r="333" spans="1:21" s="8" customFormat="1" ht="11.25" x14ac:dyDescent="0.2">
      <c r="A333" s="152">
        <v>10011968</v>
      </c>
      <c r="B333" s="10" t="s">
        <v>1575</v>
      </c>
      <c r="C333" s="12" t="s">
        <v>1576</v>
      </c>
      <c r="D333" s="11" t="s">
        <v>1572</v>
      </c>
      <c r="E333" s="12" t="s">
        <v>757</v>
      </c>
      <c r="F333" s="13">
        <v>24</v>
      </c>
      <c r="G333" s="22">
        <f>Overview!$B$22</f>
        <v>36</v>
      </c>
      <c r="H333" s="114">
        <f t="shared" si="71"/>
        <v>36</v>
      </c>
      <c r="I333" s="114">
        <f>Overview!$E$22</f>
        <v>0</v>
      </c>
      <c r="J333" s="115">
        <f t="shared" si="65"/>
        <v>0</v>
      </c>
      <c r="K333" s="116">
        <f>Overview!$H$22</f>
        <v>0</v>
      </c>
      <c r="L333" s="117" t="e">
        <f t="shared" si="66"/>
        <v>#DIV/0!</v>
      </c>
      <c r="M333" s="179" t="s">
        <v>2421</v>
      </c>
      <c r="N333" s="179" t="s">
        <v>3377</v>
      </c>
      <c r="O333" s="141">
        <f t="shared" si="69"/>
        <v>0</v>
      </c>
      <c r="P333" s="181" t="b">
        <f>COUNTIF('Facility Data'!$A$1:$A$1500,"*"&amp;A333&amp;"*")&gt;0</f>
        <v>0</v>
      </c>
      <c r="Q333" s="181" t="b">
        <f>COUNTIF('Account Data'!$A$1:$A$1000,"*"&amp;A333&amp;"*")&gt;0</f>
        <v>0</v>
      </c>
      <c r="R333" s="182" t="b">
        <f t="shared" si="72"/>
        <v>0</v>
      </c>
      <c r="S333" s="182" t="b">
        <f t="shared" si="70"/>
        <v>0</v>
      </c>
      <c r="T333" s="181" t="b">
        <f>COUNTIF('New Items'!$A$1:$A$175,A333)&gt;0</f>
        <v>0</v>
      </c>
      <c r="U333" s="181" t="b">
        <f>COUNTIF(Discontinued!$A$1:$A$150,A333)&gt;0</f>
        <v>0</v>
      </c>
    </row>
    <row r="334" spans="1:21" s="8" customFormat="1" ht="11.25" x14ac:dyDescent="0.2">
      <c r="A334" s="152">
        <v>10001176</v>
      </c>
      <c r="B334" s="10" t="s">
        <v>2454</v>
      </c>
      <c r="C334" s="12" t="s">
        <v>2455</v>
      </c>
      <c r="D334" s="11" t="s">
        <v>1655</v>
      </c>
      <c r="E334" s="12" t="s">
        <v>757</v>
      </c>
      <c r="F334" s="13">
        <v>24</v>
      </c>
      <c r="G334" s="22">
        <f>Overview!$B$22</f>
        <v>36</v>
      </c>
      <c r="H334" s="114">
        <f t="shared" si="71"/>
        <v>36</v>
      </c>
      <c r="I334" s="114">
        <f>Overview!$E$22</f>
        <v>0</v>
      </c>
      <c r="J334" s="115">
        <f t="shared" si="65"/>
        <v>0</v>
      </c>
      <c r="K334" s="116">
        <f>Overview!$H$22</f>
        <v>0</v>
      </c>
      <c r="L334" s="117" t="e">
        <f t="shared" si="66"/>
        <v>#DIV/0!</v>
      </c>
      <c r="M334" s="179" t="s">
        <v>2422</v>
      </c>
      <c r="N334" s="179" t="s">
        <v>3377</v>
      </c>
      <c r="O334" s="141">
        <f>I334</f>
        <v>0</v>
      </c>
      <c r="P334" s="181" t="b">
        <f>COUNTIF('Facility Data'!$A$1:$A$1500,"*"&amp;A334&amp;"*")&gt;0</f>
        <v>0</v>
      </c>
      <c r="Q334" s="181" t="b">
        <f>COUNTIF('Account Data'!$A$1:$A$1000,"*"&amp;A334&amp;"*")&gt;0</f>
        <v>0</v>
      </c>
      <c r="R334" s="182" t="b">
        <f t="shared" si="72"/>
        <v>0</v>
      </c>
      <c r="S334" s="182" t="b">
        <f t="shared" si="70"/>
        <v>0</v>
      </c>
      <c r="T334" s="181" t="b">
        <f>COUNTIF('New Items'!$A$1:$A$175,A334)&gt;0</f>
        <v>0</v>
      </c>
      <c r="U334" s="181" t="b">
        <f>COUNTIF(Discontinued!$A$1:$A$150,A334)&gt;0</f>
        <v>0</v>
      </c>
    </row>
    <row r="335" spans="1:21" s="8" customFormat="1" ht="11.25" x14ac:dyDescent="0.2">
      <c r="A335" s="152">
        <v>10081259</v>
      </c>
      <c r="B335" s="10" t="s">
        <v>2964</v>
      </c>
      <c r="C335" s="12" t="s">
        <v>2965</v>
      </c>
      <c r="D335" s="11" t="s">
        <v>2764</v>
      </c>
      <c r="E335" s="12" t="s">
        <v>757</v>
      </c>
      <c r="F335" s="13">
        <v>24</v>
      </c>
      <c r="G335" s="22">
        <f>Overview!$B$22</f>
        <v>36</v>
      </c>
      <c r="H335" s="114">
        <f t="shared" si="71"/>
        <v>36</v>
      </c>
      <c r="I335" s="114">
        <f>Overview!$E$22</f>
        <v>0</v>
      </c>
      <c r="J335" s="115">
        <f t="shared" si="65"/>
        <v>0</v>
      </c>
      <c r="K335" s="116">
        <f>Overview!$H$22</f>
        <v>0</v>
      </c>
      <c r="L335" s="117" t="e">
        <f t="shared" si="66"/>
        <v>#DIV/0!</v>
      </c>
      <c r="M335" s="179" t="s">
        <v>3499</v>
      </c>
      <c r="N335" s="179" t="s">
        <v>3377</v>
      </c>
      <c r="O335" s="141">
        <f>I335</f>
        <v>0</v>
      </c>
      <c r="P335" s="181" t="b">
        <f>COUNTIF('Facility Data'!$A$1:$A$1500,"*"&amp;A335&amp;"*")&gt;0</f>
        <v>0</v>
      </c>
      <c r="Q335" s="181" t="b">
        <f>COUNTIF('Account Data'!$A$1:$A$1000,"*"&amp;A335&amp;"*")&gt;0</f>
        <v>0</v>
      </c>
      <c r="R335" s="182" t="b">
        <f t="shared" si="72"/>
        <v>0</v>
      </c>
      <c r="S335" s="182" t="b">
        <f t="shared" si="70"/>
        <v>0</v>
      </c>
      <c r="T335" s="181" t="b">
        <f>COUNTIF('New Items'!$A$1:$A$175,A335)&gt;0</f>
        <v>0</v>
      </c>
      <c r="U335" s="181" t="b">
        <f>COUNTIF(Discontinued!$A$1:$A$150,A335)&gt;0</f>
        <v>0</v>
      </c>
    </row>
    <row r="336" spans="1:21" s="8" customFormat="1" ht="11.25" x14ac:dyDescent="0.2">
      <c r="A336" s="152">
        <v>10001128</v>
      </c>
      <c r="B336" s="10" t="s">
        <v>189</v>
      </c>
      <c r="C336" s="12" t="s">
        <v>190</v>
      </c>
      <c r="D336" s="11" t="s">
        <v>640</v>
      </c>
      <c r="E336" s="12" t="s">
        <v>757</v>
      </c>
      <c r="F336" s="13">
        <v>24</v>
      </c>
      <c r="G336" s="22">
        <f>Overview!$B$22</f>
        <v>36</v>
      </c>
      <c r="H336" s="114">
        <f t="shared" si="71"/>
        <v>36</v>
      </c>
      <c r="I336" s="114">
        <f>Overview!$E$22</f>
        <v>0</v>
      </c>
      <c r="J336" s="115">
        <f t="shared" si="65"/>
        <v>0</v>
      </c>
      <c r="K336" s="116">
        <f>Overview!$H$22</f>
        <v>0</v>
      </c>
      <c r="L336" s="117" t="e">
        <f t="shared" si="66"/>
        <v>#DIV/0!</v>
      </c>
      <c r="M336" s="179"/>
      <c r="N336" s="179" t="s">
        <v>3377</v>
      </c>
      <c r="O336" s="141">
        <f>I336</f>
        <v>0</v>
      </c>
      <c r="P336" s="181" t="b">
        <f>COUNTIF('Facility Data'!$A$1:$A$1500,"*"&amp;A336&amp;"*")&gt;0</f>
        <v>1</v>
      </c>
      <c r="Q336" s="181" t="b">
        <f>COUNTIF('Account Data'!$A$1:$A$1000,"*"&amp;A336&amp;"*")&gt;0</f>
        <v>1</v>
      </c>
      <c r="R336" s="182" t="b">
        <f t="shared" si="72"/>
        <v>1</v>
      </c>
      <c r="S336" s="182" t="b">
        <f t="shared" si="70"/>
        <v>1</v>
      </c>
      <c r="T336" s="181" t="b">
        <f>COUNTIF('New Items'!$A$1:$A$175,A336)&gt;0</f>
        <v>0</v>
      </c>
      <c r="U336" s="181" t="b">
        <f>COUNTIF(Discontinued!$A$1:$A$150,A336)&gt;0</f>
        <v>0</v>
      </c>
    </row>
    <row r="337" spans="1:21" s="8" customFormat="1" ht="11.25" x14ac:dyDescent="0.2">
      <c r="A337" s="152">
        <v>10126828</v>
      </c>
      <c r="B337" s="10" t="s">
        <v>3851</v>
      </c>
      <c r="C337" s="12" t="s">
        <v>190</v>
      </c>
      <c r="D337" s="11" t="s">
        <v>3852</v>
      </c>
      <c r="E337" s="12" t="s">
        <v>757</v>
      </c>
      <c r="F337" s="13">
        <v>24</v>
      </c>
      <c r="G337" s="22">
        <f>Overview!$B$22</f>
        <v>36</v>
      </c>
      <c r="H337" s="114">
        <f t="shared" si="71"/>
        <v>36</v>
      </c>
      <c r="I337" s="114">
        <f>Overview!$E$22</f>
        <v>0</v>
      </c>
      <c r="J337" s="115">
        <f>I337/F337</f>
        <v>0</v>
      </c>
      <c r="K337" s="116">
        <f>Overview!$H$22</f>
        <v>0</v>
      </c>
      <c r="L337" s="117" t="e">
        <f>(K337-J337)/K337</f>
        <v>#DIV/0!</v>
      </c>
      <c r="M337" s="179"/>
      <c r="N337" s="179" t="s">
        <v>3377</v>
      </c>
      <c r="O337" s="141">
        <f>I337</f>
        <v>0</v>
      </c>
      <c r="P337" s="181" t="b">
        <f>COUNTIF('Facility Data'!$A$1:$A$1500,"*"&amp;A337&amp;"*")&gt;0</f>
        <v>0</v>
      </c>
      <c r="Q337" s="181" t="b">
        <f>COUNTIF('Account Data'!$A$1:$A$1000,"*"&amp;A337&amp;"*")&gt;0</f>
        <v>0</v>
      </c>
      <c r="R337" s="182" t="b">
        <f t="shared" si="72"/>
        <v>0</v>
      </c>
      <c r="S337" s="182" t="b">
        <f t="shared" si="70"/>
        <v>0</v>
      </c>
      <c r="T337" s="181" t="b">
        <f>COUNTIF('New Items'!$A$1:$A$175,A337)&gt;0</f>
        <v>0</v>
      </c>
      <c r="U337" s="181" t="b">
        <f>COUNTIF(Discontinued!$A$1:$A$150,A337)&gt;0</f>
        <v>0</v>
      </c>
    </row>
    <row r="338" spans="1:21" s="8" customFormat="1" ht="11.25" x14ac:dyDescent="0.2">
      <c r="A338" s="152">
        <v>10100152</v>
      </c>
      <c r="B338" s="10" t="s">
        <v>2911</v>
      </c>
      <c r="C338" s="12" t="s">
        <v>190</v>
      </c>
      <c r="D338" s="11" t="s">
        <v>2914</v>
      </c>
      <c r="E338" s="12" t="s">
        <v>757</v>
      </c>
      <c r="F338" s="13">
        <v>24</v>
      </c>
      <c r="G338" s="22">
        <f>Overview!$B$22</f>
        <v>36</v>
      </c>
      <c r="H338" s="114">
        <f t="shared" si="71"/>
        <v>36</v>
      </c>
      <c r="I338" s="114">
        <f>Overview!$E$22</f>
        <v>0</v>
      </c>
      <c r="J338" s="115">
        <f>I338/F338</f>
        <v>0</v>
      </c>
      <c r="K338" s="116">
        <f>Overview!$H$22</f>
        <v>0</v>
      </c>
      <c r="L338" s="117" t="e">
        <f>(K338-J338)/K338</f>
        <v>#DIV/0!</v>
      </c>
      <c r="M338" s="179"/>
      <c r="N338" s="179" t="s">
        <v>3377</v>
      </c>
      <c r="O338" s="141">
        <f>I338</f>
        <v>0</v>
      </c>
      <c r="P338" s="181" t="b">
        <f>COUNTIF('Facility Data'!$A$1:$A$1500,"*"&amp;A338&amp;"*")&gt;0</f>
        <v>0</v>
      </c>
      <c r="Q338" s="181" t="b">
        <f>COUNTIF('Account Data'!$A$1:$A$1000,"*"&amp;A338&amp;"*")&gt;0</f>
        <v>0</v>
      </c>
      <c r="R338" s="182" t="b">
        <f t="shared" si="72"/>
        <v>0</v>
      </c>
      <c r="S338" s="182" t="b">
        <f t="shared" si="70"/>
        <v>0</v>
      </c>
      <c r="T338" s="181" t="b">
        <f>COUNTIF('New Items'!$A$1:$A$175,A338)&gt;0</f>
        <v>0</v>
      </c>
      <c r="U338" s="181" t="b">
        <f>COUNTIF(Discontinued!$A$1:$A$150,A338)&gt;0</f>
        <v>0</v>
      </c>
    </row>
    <row r="339" spans="1:21" s="8" customFormat="1" ht="11.25" x14ac:dyDescent="0.2">
      <c r="A339" s="152">
        <v>10128111</v>
      </c>
      <c r="B339" s="10" t="s">
        <v>3853</v>
      </c>
      <c r="C339" s="12" t="s">
        <v>190</v>
      </c>
      <c r="D339" s="11" t="s">
        <v>3854</v>
      </c>
      <c r="E339" s="12" t="s">
        <v>757</v>
      </c>
      <c r="F339" s="13">
        <v>24</v>
      </c>
      <c r="G339" s="22">
        <f>Overview!$B$22</f>
        <v>36</v>
      </c>
      <c r="H339" s="114">
        <f t="shared" si="71"/>
        <v>36</v>
      </c>
      <c r="I339" s="114">
        <f>Overview!$E$22</f>
        <v>0</v>
      </c>
      <c r="J339" s="115">
        <f t="shared" si="65"/>
        <v>0</v>
      </c>
      <c r="K339" s="116">
        <f>Overview!$H$22</f>
        <v>0</v>
      </c>
      <c r="L339" s="117" t="e">
        <f t="shared" si="66"/>
        <v>#DIV/0!</v>
      </c>
      <c r="M339" s="179"/>
      <c r="N339" s="179" t="s">
        <v>3377</v>
      </c>
      <c r="O339" s="141">
        <f t="shared" si="69"/>
        <v>0</v>
      </c>
      <c r="P339" s="181" t="b">
        <f>COUNTIF('Facility Data'!$A$1:$A$1500,"*"&amp;A339&amp;"*")&gt;0</f>
        <v>0</v>
      </c>
      <c r="Q339" s="181" t="b">
        <f>COUNTIF('Account Data'!$A$1:$A$1000,"*"&amp;A339&amp;"*")&gt;0</f>
        <v>0</v>
      </c>
      <c r="R339" s="182" t="b">
        <f t="shared" si="72"/>
        <v>0</v>
      </c>
      <c r="S339" s="182" t="b">
        <f t="shared" si="70"/>
        <v>0</v>
      </c>
      <c r="T339" s="181" t="b">
        <f>COUNTIF('New Items'!$A$1:$A$175,A339)&gt;0</f>
        <v>0</v>
      </c>
      <c r="U339" s="181" t="b">
        <f>COUNTIF(Discontinued!$A$1:$A$150,A339)&gt;0</f>
        <v>0</v>
      </c>
    </row>
    <row r="340" spans="1:21" s="8" customFormat="1" ht="11.25" x14ac:dyDescent="0.2">
      <c r="A340" s="152">
        <v>10001100</v>
      </c>
      <c r="B340" s="10" t="s">
        <v>1425</v>
      </c>
      <c r="C340" s="12" t="s">
        <v>1426</v>
      </c>
      <c r="D340" s="11" t="s">
        <v>662</v>
      </c>
      <c r="E340" s="12" t="s">
        <v>757</v>
      </c>
      <c r="F340" s="13">
        <v>24</v>
      </c>
      <c r="G340" s="22">
        <f>Overview!$B$22</f>
        <v>36</v>
      </c>
      <c r="H340" s="114">
        <f t="shared" si="71"/>
        <v>36</v>
      </c>
      <c r="I340" s="114">
        <f>Overview!$E$22</f>
        <v>0</v>
      </c>
      <c r="J340" s="115">
        <f t="shared" si="65"/>
        <v>0</v>
      </c>
      <c r="K340" s="116">
        <f>Overview!$H$22</f>
        <v>0</v>
      </c>
      <c r="L340" s="117" t="e">
        <f t="shared" si="66"/>
        <v>#DIV/0!</v>
      </c>
      <c r="M340" s="179"/>
      <c r="N340" s="179" t="s">
        <v>3377</v>
      </c>
      <c r="O340" s="141">
        <f t="shared" si="69"/>
        <v>0</v>
      </c>
      <c r="P340" s="181" t="b">
        <f>COUNTIF('Facility Data'!$A$1:$A$1500,"*"&amp;A340&amp;"*")&gt;0</f>
        <v>1</v>
      </c>
      <c r="Q340" s="181" t="b">
        <f>COUNTIF('Account Data'!$A$1:$A$1000,"*"&amp;A340&amp;"*")&gt;0</f>
        <v>0</v>
      </c>
      <c r="R340" s="182" t="b">
        <f t="shared" si="72"/>
        <v>1</v>
      </c>
      <c r="S340" s="182" t="b">
        <f t="shared" si="70"/>
        <v>0</v>
      </c>
      <c r="T340" s="181" t="b">
        <f>COUNTIF('New Items'!$A$1:$A$175,A340)&gt;0</f>
        <v>0</v>
      </c>
      <c r="U340" s="181" t="b">
        <f>COUNTIF(Discontinued!$A$1:$A$150,A340)&gt;0</f>
        <v>0</v>
      </c>
    </row>
    <row r="341" spans="1:21" s="8" customFormat="1" ht="11.25" x14ac:dyDescent="0.2">
      <c r="A341" s="152">
        <v>10100153</v>
      </c>
      <c r="B341" s="10" t="s">
        <v>2913</v>
      </c>
      <c r="C341" s="12" t="s">
        <v>1426</v>
      </c>
      <c r="D341" s="11" t="s">
        <v>2915</v>
      </c>
      <c r="E341" s="12" t="s">
        <v>757</v>
      </c>
      <c r="F341" s="13">
        <v>24</v>
      </c>
      <c r="G341" s="22">
        <f>Overview!$B$22</f>
        <v>36</v>
      </c>
      <c r="H341" s="114">
        <f t="shared" si="71"/>
        <v>36</v>
      </c>
      <c r="I341" s="114">
        <f>Overview!$E$22</f>
        <v>0</v>
      </c>
      <c r="J341" s="115">
        <f t="shared" si="65"/>
        <v>0</v>
      </c>
      <c r="K341" s="116">
        <f>Overview!$H$22</f>
        <v>0</v>
      </c>
      <c r="L341" s="117" t="e">
        <f t="shared" si="66"/>
        <v>#DIV/0!</v>
      </c>
      <c r="M341" s="179"/>
      <c r="N341" s="179" t="s">
        <v>3377</v>
      </c>
      <c r="O341" s="141">
        <f>I341</f>
        <v>0</v>
      </c>
      <c r="P341" s="181" t="b">
        <f>COUNTIF('Facility Data'!$A$1:$A$1500,"*"&amp;A341&amp;"*")&gt;0</f>
        <v>0</v>
      </c>
      <c r="Q341" s="181" t="b">
        <f>COUNTIF('Account Data'!$A$1:$A$1000,"*"&amp;A341&amp;"*")&gt;0</f>
        <v>0</v>
      </c>
      <c r="R341" s="182" t="b">
        <f t="shared" si="72"/>
        <v>0</v>
      </c>
      <c r="S341" s="182" t="b">
        <f t="shared" si="70"/>
        <v>0</v>
      </c>
      <c r="T341" s="181" t="b">
        <f>COUNTIF('New Items'!$A$1:$A$175,A341)&gt;0</f>
        <v>0</v>
      </c>
      <c r="U341" s="181" t="b">
        <f>COUNTIF(Discontinued!$A$1:$A$150,A341)&gt;0</f>
        <v>0</v>
      </c>
    </row>
    <row r="342" spans="1:21" s="8" customFormat="1" ht="11.25" x14ac:dyDescent="0.2">
      <c r="A342" s="152">
        <v>10001141</v>
      </c>
      <c r="B342" s="10" t="s">
        <v>2440</v>
      </c>
      <c r="C342" s="12" t="s">
        <v>2441</v>
      </c>
      <c r="D342" s="11" t="s">
        <v>2442</v>
      </c>
      <c r="E342" s="12" t="s">
        <v>757</v>
      </c>
      <c r="F342" s="13">
        <v>24</v>
      </c>
      <c r="G342" s="22">
        <f>Overview!$B$22</f>
        <v>36</v>
      </c>
      <c r="H342" s="114">
        <f t="shared" si="71"/>
        <v>36</v>
      </c>
      <c r="I342" s="114">
        <f>Overview!$E$22</f>
        <v>0</v>
      </c>
      <c r="J342" s="115">
        <f t="shared" si="65"/>
        <v>0</v>
      </c>
      <c r="K342" s="116">
        <f>Overview!$H$22</f>
        <v>0</v>
      </c>
      <c r="L342" s="117" t="e">
        <f t="shared" si="66"/>
        <v>#DIV/0!</v>
      </c>
      <c r="M342" s="179"/>
      <c r="N342" s="179" t="s">
        <v>3377</v>
      </c>
      <c r="O342" s="141">
        <f t="shared" si="69"/>
        <v>0</v>
      </c>
      <c r="P342" s="181" t="b">
        <f>COUNTIF('Facility Data'!$A$1:$A$1500,"*"&amp;A342&amp;"*")&gt;0</f>
        <v>0</v>
      </c>
      <c r="Q342" s="181" t="b">
        <f>COUNTIF('Account Data'!$A$1:$A$1000,"*"&amp;A342&amp;"*")&gt;0</f>
        <v>0</v>
      </c>
      <c r="R342" s="182" t="b">
        <f t="shared" si="72"/>
        <v>0</v>
      </c>
      <c r="S342" s="182" t="b">
        <f t="shared" si="70"/>
        <v>0</v>
      </c>
      <c r="T342" s="181" t="b">
        <f>COUNTIF('New Items'!$A$1:$A$175,A342)&gt;0</f>
        <v>0</v>
      </c>
      <c r="U342" s="181" t="b">
        <f>COUNTIF(Discontinued!$A$1:$A$150,A342)&gt;0</f>
        <v>0</v>
      </c>
    </row>
    <row r="343" spans="1:21" s="8" customFormat="1" ht="11.25" x14ac:dyDescent="0.2">
      <c r="A343" s="152">
        <v>10000042</v>
      </c>
      <c r="B343" s="10" t="s">
        <v>1300</v>
      </c>
      <c r="C343" s="12" t="s">
        <v>1301</v>
      </c>
      <c r="D343" s="11" t="s">
        <v>1299</v>
      </c>
      <c r="E343" s="12" t="s">
        <v>757</v>
      </c>
      <c r="F343" s="13">
        <v>24</v>
      </c>
      <c r="G343" s="22">
        <f>Overview!$B$22</f>
        <v>36</v>
      </c>
      <c r="H343" s="114">
        <f t="shared" si="71"/>
        <v>36</v>
      </c>
      <c r="I343" s="114">
        <f>Overview!$E$22</f>
        <v>0</v>
      </c>
      <c r="J343" s="115">
        <f t="shared" si="65"/>
        <v>0</v>
      </c>
      <c r="K343" s="116">
        <f>Overview!$H$22</f>
        <v>0</v>
      </c>
      <c r="L343" s="117" t="e">
        <f t="shared" si="66"/>
        <v>#DIV/0!</v>
      </c>
      <c r="M343" s="179"/>
      <c r="N343" s="179" t="s">
        <v>3377</v>
      </c>
      <c r="O343" s="141">
        <f>I343</f>
        <v>0</v>
      </c>
      <c r="P343" s="181" t="b">
        <f>COUNTIF('Facility Data'!$A$1:$A$1500,"*"&amp;A343&amp;"*")&gt;0</f>
        <v>1</v>
      </c>
      <c r="Q343" s="181" t="b">
        <f>COUNTIF('Account Data'!$A$1:$A$1000,"*"&amp;A343&amp;"*")&gt;0</f>
        <v>0</v>
      </c>
      <c r="R343" s="182" t="b">
        <f t="shared" si="72"/>
        <v>1</v>
      </c>
      <c r="S343" s="182" t="b">
        <f t="shared" si="70"/>
        <v>0</v>
      </c>
      <c r="T343" s="181" t="b">
        <f>COUNTIF('New Items'!$A$1:$A$175,A343)&gt;0</f>
        <v>0</v>
      </c>
      <c r="U343" s="181" t="b">
        <f>COUNTIF(Discontinued!$A$1:$A$150,A343)&gt;0</f>
        <v>0</v>
      </c>
    </row>
    <row r="344" spans="1:21" s="8" customFormat="1" ht="11.25" x14ac:dyDescent="0.2">
      <c r="A344" s="152">
        <v>10100151</v>
      </c>
      <c r="B344" s="10" t="s">
        <v>2912</v>
      </c>
      <c r="C344" s="12" t="s">
        <v>1301</v>
      </c>
      <c r="D344" s="11" t="s">
        <v>2916</v>
      </c>
      <c r="E344" s="12" t="s">
        <v>757</v>
      </c>
      <c r="F344" s="13">
        <v>24</v>
      </c>
      <c r="G344" s="22">
        <f>Overview!$B$22</f>
        <v>36</v>
      </c>
      <c r="H344" s="114">
        <f t="shared" si="71"/>
        <v>36</v>
      </c>
      <c r="I344" s="114">
        <f>Overview!$E$22</f>
        <v>0</v>
      </c>
      <c r="J344" s="115">
        <f>I344/F344</f>
        <v>0</v>
      </c>
      <c r="K344" s="116">
        <f>Overview!$H$22</f>
        <v>0</v>
      </c>
      <c r="L344" s="117" t="e">
        <f>(K344-J344)/K344</f>
        <v>#DIV/0!</v>
      </c>
      <c r="M344" s="179"/>
      <c r="N344" s="179" t="s">
        <v>3377</v>
      </c>
      <c r="O344" s="141">
        <f>I344</f>
        <v>0</v>
      </c>
      <c r="P344" s="181" t="b">
        <f>COUNTIF('Facility Data'!$A$1:$A$1500,"*"&amp;A344&amp;"*")&gt;0</f>
        <v>0</v>
      </c>
      <c r="Q344" s="181" t="b">
        <f>COUNTIF('Account Data'!$A$1:$A$1000,"*"&amp;A344&amp;"*")&gt;0</f>
        <v>0</v>
      </c>
      <c r="R344" s="182" t="b">
        <f t="shared" si="72"/>
        <v>0</v>
      </c>
      <c r="S344" s="182" t="b">
        <f t="shared" si="70"/>
        <v>0</v>
      </c>
      <c r="T344" s="181" t="b">
        <f>COUNTIF('New Items'!$A$1:$A$175,A344)&gt;0</f>
        <v>0</v>
      </c>
      <c r="U344" s="181" t="b">
        <f>COUNTIF(Discontinued!$A$1:$A$150,A344)&gt;0</f>
        <v>0</v>
      </c>
    </row>
    <row r="345" spans="1:21" s="8" customFormat="1" ht="11.25" x14ac:dyDescent="0.2">
      <c r="A345" s="152">
        <v>10128112</v>
      </c>
      <c r="B345" s="10" t="s">
        <v>3855</v>
      </c>
      <c r="C345" s="12" t="s">
        <v>1301</v>
      </c>
      <c r="D345" s="11" t="s">
        <v>3856</v>
      </c>
      <c r="E345" s="12" t="s">
        <v>757</v>
      </c>
      <c r="F345" s="13">
        <v>24</v>
      </c>
      <c r="G345" s="22">
        <f>Overview!$B$22</f>
        <v>36</v>
      </c>
      <c r="H345" s="114">
        <f t="shared" si="71"/>
        <v>36</v>
      </c>
      <c r="I345" s="114">
        <f>Overview!$E$22</f>
        <v>0</v>
      </c>
      <c r="J345" s="115">
        <f t="shared" si="65"/>
        <v>0</v>
      </c>
      <c r="K345" s="116">
        <f>Overview!$H$22</f>
        <v>0</v>
      </c>
      <c r="L345" s="117" t="e">
        <f t="shared" si="66"/>
        <v>#DIV/0!</v>
      </c>
      <c r="M345" s="179"/>
      <c r="N345" s="179" t="s">
        <v>3377</v>
      </c>
      <c r="O345" s="141">
        <f t="shared" si="69"/>
        <v>0</v>
      </c>
      <c r="P345" s="181" t="b">
        <f>COUNTIF('Facility Data'!$A$1:$A$1500,"*"&amp;A345&amp;"*")&gt;0</f>
        <v>0</v>
      </c>
      <c r="Q345" s="181" t="b">
        <f>COUNTIF('Account Data'!$A$1:$A$1000,"*"&amp;A345&amp;"*")&gt;0</f>
        <v>0</v>
      </c>
      <c r="R345" s="182" t="b">
        <f t="shared" si="72"/>
        <v>0</v>
      </c>
      <c r="S345" s="182" t="b">
        <f t="shared" si="70"/>
        <v>0</v>
      </c>
      <c r="T345" s="181" t="b">
        <f>COUNTIF('New Items'!$A$1:$A$175,A345)&gt;0</f>
        <v>0</v>
      </c>
      <c r="U345" s="181" t="b">
        <f>COUNTIF(Discontinued!$A$1:$A$150,A345)&gt;0</f>
        <v>0</v>
      </c>
    </row>
    <row r="346" spans="1:21" s="8" customFormat="1" ht="11.25" x14ac:dyDescent="0.2">
      <c r="A346" s="152">
        <v>10001136</v>
      </c>
      <c r="B346" s="10" t="s">
        <v>1427</v>
      </c>
      <c r="C346" s="12" t="s">
        <v>1428</v>
      </c>
      <c r="D346" s="11" t="s">
        <v>1386</v>
      </c>
      <c r="E346" s="12" t="s">
        <v>757</v>
      </c>
      <c r="F346" s="13">
        <v>24</v>
      </c>
      <c r="G346" s="22">
        <f>Overview!$B$22</f>
        <v>36</v>
      </c>
      <c r="H346" s="114">
        <f t="shared" si="71"/>
        <v>36</v>
      </c>
      <c r="I346" s="114">
        <f>Overview!$E$22</f>
        <v>0</v>
      </c>
      <c r="J346" s="115">
        <f t="shared" si="65"/>
        <v>0</v>
      </c>
      <c r="K346" s="116">
        <f>Overview!$H$22</f>
        <v>0</v>
      </c>
      <c r="L346" s="117" t="e">
        <f t="shared" si="66"/>
        <v>#DIV/0!</v>
      </c>
      <c r="M346" s="179"/>
      <c r="N346" s="179" t="s">
        <v>3377</v>
      </c>
      <c r="O346" s="141">
        <f t="shared" si="69"/>
        <v>0</v>
      </c>
      <c r="P346" s="181" t="b">
        <f>COUNTIF('Facility Data'!$A$1:$A$1500,"*"&amp;A346&amp;"*")&gt;0</f>
        <v>1</v>
      </c>
      <c r="Q346" s="181" t="b">
        <f>COUNTIF('Account Data'!$A$1:$A$1000,"*"&amp;A346&amp;"*")&gt;0</f>
        <v>0</v>
      </c>
      <c r="R346" s="182" t="b">
        <f t="shared" si="72"/>
        <v>1</v>
      </c>
      <c r="S346" s="182" t="b">
        <f t="shared" si="70"/>
        <v>0</v>
      </c>
      <c r="T346" s="181" t="b">
        <f>COUNTIF('New Items'!$A$1:$A$175,A346)&gt;0</f>
        <v>0</v>
      </c>
      <c r="U346" s="181" t="b">
        <f>COUNTIF(Discontinued!$A$1:$A$150,A346)&gt;0</f>
        <v>0</v>
      </c>
    </row>
    <row r="347" spans="1:21" s="8" customFormat="1" ht="11.25" x14ac:dyDescent="0.2">
      <c r="A347" s="152">
        <v>10001142</v>
      </c>
      <c r="B347" s="10" t="s">
        <v>1429</v>
      </c>
      <c r="C347" s="12" t="s">
        <v>1430</v>
      </c>
      <c r="D347" s="11" t="s">
        <v>1387</v>
      </c>
      <c r="E347" s="12" t="s">
        <v>757</v>
      </c>
      <c r="F347" s="13">
        <v>24</v>
      </c>
      <c r="G347" s="22">
        <f>Overview!$B$22</f>
        <v>36</v>
      </c>
      <c r="H347" s="114">
        <f t="shared" si="71"/>
        <v>36</v>
      </c>
      <c r="I347" s="114">
        <f>Overview!$E$22</f>
        <v>0</v>
      </c>
      <c r="J347" s="115">
        <f t="shared" si="65"/>
        <v>0</v>
      </c>
      <c r="K347" s="116">
        <f>Overview!$H$22</f>
        <v>0</v>
      </c>
      <c r="L347" s="117" t="e">
        <f t="shared" si="66"/>
        <v>#DIV/0!</v>
      </c>
      <c r="M347" s="179"/>
      <c r="N347" s="179" t="s">
        <v>3377</v>
      </c>
      <c r="O347" s="141">
        <f t="shared" si="69"/>
        <v>0</v>
      </c>
      <c r="P347" s="181" t="b">
        <f>COUNTIF('Facility Data'!$A$1:$A$1500,"*"&amp;A347&amp;"*")&gt;0</f>
        <v>1</v>
      </c>
      <c r="Q347" s="181" t="b">
        <f>COUNTIF('Account Data'!$A$1:$A$1000,"*"&amp;A347&amp;"*")&gt;0</f>
        <v>0</v>
      </c>
      <c r="R347" s="182" t="b">
        <f t="shared" si="72"/>
        <v>1</v>
      </c>
      <c r="S347" s="182" t="b">
        <f t="shared" si="70"/>
        <v>0</v>
      </c>
      <c r="T347" s="181" t="b">
        <f>COUNTIF('New Items'!$A$1:$A$175,A347)&gt;0</f>
        <v>0</v>
      </c>
      <c r="U347" s="181" t="b">
        <f>COUNTIF(Discontinued!$A$1:$A$150,A347)&gt;0</f>
        <v>0</v>
      </c>
    </row>
    <row r="348" spans="1:21" s="8" customFormat="1" ht="11.25" x14ac:dyDescent="0.2">
      <c r="A348" s="152">
        <v>10000039</v>
      </c>
      <c r="B348" s="10" t="s">
        <v>1302</v>
      </c>
      <c r="C348" s="12" t="s">
        <v>1303</v>
      </c>
      <c r="D348" s="11" t="s">
        <v>1272</v>
      </c>
      <c r="E348" s="12" t="s">
        <v>757</v>
      </c>
      <c r="F348" s="13">
        <v>24</v>
      </c>
      <c r="G348" s="22">
        <f>Overview!$B$22</f>
        <v>36</v>
      </c>
      <c r="H348" s="114">
        <f t="shared" si="71"/>
        <v>36</v>
      </c>
      <c r="I348" s="114">
        <f>Overview!$E$22</f>
        <v>0</v>
      </c>
      <c r="J348" s="115">
        <f t="shared" si="65"/>
        <v>0</v>
      </c>
      <c r="K348" s="116">
        <f>Overview!$H$22</f>
        <v>0</v>
      </c>
      <c r="L348" s="117" t="e">
        <f t="shared" si="66"/>
        <v>#DIV/0!</v>
      </c>
      <c r="M348" s="179"/>
      <c r="N348" s="179" t="s">
        <v>3377</v>
      </c>
      <c r="O348" s="141">
        <f t="shared" si="69"/>
        <v>0</v>
      </c>
      <c r="P348" s="181" t="b">
        <f>COUNTIF('Facility Data'!$A$1:$A$1500,"*"&amp;A348&amp;"*")&gt;0</f>
        <v>0</v>
      </c>
      <c r="Q348" s="181" t="b">
        <f>COUNTIF('Account Data'!$A$1:$A$1000,"*"&amp;A348&amp;"*")&gt;0</f>
        <v>0</v>
      </c>
      <c r="R348" s="182" t="b">
        <f t="shared" si="72"/>
        <v>0</v>
      </c>
      <c r="S348" s="182" t="b">
        <f t="shared" si="70"/>
        <v>0</v>
      </c>
      <c r="T348" s="181" t="b">
        <f>COUNTIF('New Items'!$A$1:$A$175,A348)&gt;0</f>
        <v>0</v>
      </c>
      <c r="U348" s="181" t="b">
        <f>COUNTIF(Discontinued!$A$1:$A$150,A348)&gt;0</f>
        <v>0</v>
      </c>
    </row>
    <row r="349" spans="1:21" s="8" customFormat="1" ht="12" thickBot="1" x14ac:dyDescent="0.25">
      <c r="A349" s="152">
        <v>10001111</v>
      </c>
      <c r="B349" s="10" t="s">
        <v>191</v>
      </c>
      <c r="C349" s="12" t="s">
        <v>192</v>
      </c>
      <c r="D349" s="11" t="s">
        <v>660</v>
      </c>
      <c r="E349" s="12" t="s">
        <v>757</v>
      </c>
      <c r="F349" s="13">
        <v>24</v>
      </c>
      <c r="G349" s="22">
        <f>Overview!$B$22</f>
        <v>36</v>
      </c>
      <c r="H349" s="114">
        <f t="shared" si="71"/>
        <v>36</v>
      </c>
      <c r="I349" s="114">
        <f>Overview!$E$22</f>
        <v>0</v>
      </c>
      <c r="J349" s="115">
        <f t="shared" si="65"/>
        <v>0</v>
      </c>
      <c r="K349" s="116">
        <f>Overview!$H$22</f>
        <v>0</v>
      </c>
      <c r="L349" s="117" t="e">
        <f t="shared" si="66"/>
        <v>#DIV/0!</v>
      </c>
      <c r="M349" s="179"/>
      <c r="N349" s="179" t="s">
        <v>3377</v>
      </c>
      <c r="O349" s="141">
        <f>I349</f>
        <v>0</v>
      </c>
      <c r="P349" s="181" t="b">
        <f>COUNTIF('Facility Data'!$A$1:$A$1500,"*"&amp;A349&amp;"*")&gt;0</f>
        <v>1</v>
      </c>
      <c r="Q349" s="181" t="b">
        <f>COUNTIF('Account Data'!$A$1:$A$1000,"*"&amp;A349&amp;"*")&gt;0</f>
        <v>1</v>
      </c>
      <c r="R349" s="182" t="b">
        <f t="shared" si="72"/>
        <v>1</v>
      </c>
      <c r="S349" s="182" t="b">
        <f t="shared" si="70"/>
        <v>1</v>
      </c>
      <c r="T349" s="181" t="b">
        <f>COUNTIF('New Items'!$A$1:$A$175,A349)&gt;0</f>
        <v>0</v>
      </c>
      <c r="U349" s="181" t="b">
        <f>COUNTIF(Discontinued!$A$1:$A$150,A349)&gt;0</f>
        <v>0</v>
      </c>
    </row>
    <row r="350" spans="1:21" s="8" customFormat="1" ht="13.5" thickBot="1" x14ac:dyDescent="0.25">
      <c r="A350" s="300" t="s">
        <v>3371</v>
      </c>
      <c r="B350" s="301"/>
      <c r="C350" s="301"/>
      <c r="D350" s="301"/>
      <c r="E350" s="301"/>
      <c r="F350" s="301"/>
      <c r="G350" s="301"/>
      <c r="H350" s="301"/>
      <c r="I350" s="301"/>
      <c r="J350" s="301"/>
      <c r="K350" s="301"/>
      <c r="L350" s="302"/>
      <c r="M350" s="179" t="s">
        <v>4361</v>
      </c>
      <c r="N350" s="179" t="s">
        <v>3372</v>
      </c>
      <c r="O350" s="141">
        <f>AVERAGE(O351:O387)</f>
        <v>0</v>
      </c>
      <c r="P350" s="181" t="b">
        <f>COUNTIF(P351:P387,TRUE)&gt;0</f>
        <v>1</v>
      </c>
      <c r="Q350" s="181" t="b">
        <f>COUNTIF(Q351:Q387,TRUE)&gt;0</f>
        <v>1</v>
      </c>
      <c r="R350" s="181" t="b">
        <f>COUNTIF(R351:R387,TRUE)&gt;0</f>
        <v>1</v>
      </c>
      <c r="S350" s="181" t="b">
        <f>COUNTIF(S351:S387,TRUE)&gt;0</f>
        <v>1</v>
      </c>
      <c r="T350" s="181" t="b">
        <f>COUNTIF(T351:T387,TRUE)&gt;0</f>
        <v>0</v>
      </c>
      <c r="U350" s="181"/>
    </row>
    <row r="351" spans="1:21" s="8" customFormat="1" ht="11.25" x14ac:dyDescent="0.2">
      <c r="A351" s="152">
        <v>10001751</v>
      </c>
      <c r="B351" s="10" t="s">
        <v>163</v>
      </c>
      <c r="C351" s="12" t="s">
        <v>164</v>
      </c>
      <c r="D351" s="11" t="s">
        <v>648</v>
      </c>
      <c r="E351" s="12" t="s">
        <v>757</v>
      </c>
      <c r="F351" s="13">
        <v>24</v>
      </c>
      <c r="G351" s="22">
        <f>Overview!$B$23</f>
        <v>36</v>
      </c>
      <c r="H351" s="114">
        <f t="shared" ref="H351:H387" si="73">G351-I351</f>
        <v>36</v>
      </c>
      <c r="I351" s="114">
        <f>Overview!$E$23</f>
        <v>0</v>
      </c>
      <c r="J351" s="115">
        <f t="shared" ref="J351:J387" si="74">I351/F351</f>
        <v>0</v>
      </c>
      <c r="K351" s="116">
        <f>Overview!$H$23</f>
        <v>0</v>
      </c>
      <c r="L351" s="117" t="e">
        <f t="shared" ref="L351:L387" si="75">(K351-J351)/K351</f>
        <v>#DIV/0!</v>
      </c>
      <c r="M351" s="179"/>
      <c r="N351" s="179" t="s">
        <v>3372</v>
      </c>
      <c r="O351" s="141">
        <f t="shared" ref="O351:O371" si="76">I351</f>
        <v>0</v>
      </c>
      <c r="P351" s="181" t="b">
        <f>COUNTIF('Facility Data'!$A$1:$A$1500,"*"&amp;A351&amp;"*")&gt;0</f>
        <v>0</v>
      </c>
      <c r="Q351" s="181" t="b">
        <f>COUNTIF('Account Data'!$A$1:$A$1000,"*"&amp;A351&amp;"*")&gt;0</f>
        <v>1</v>
      </c>
      <c r="R351" s="182" t="b">
        <f t="shared" ref="R351:R387" si="77">IF(OR(P351=TRUE,T351=TRUE),TRUE,FALSE)</f>
        <v>0</v>
      </c>
      <c r="S351" s="182" t="b">
        <f t="shared" ref="S351:S371" si="78">IF(OR(Q351=TRUE,T351=TRUE),TRUE,FALSE)</f>
        <v>1</v>
      </c>
      <c r="T351" s="181" t="b">
        <f>COUNTIF('New Items'!$A$1:$A$175,A351)&gt;0</f>
        <v>0</v>
      </c>
      <c r="U351" s="181" t="b">
        <f>COUNTIF(Discontinued!$A$1:$A$150,A351)&gt;0</f>
        <v>0</v>
      </c>
    </row>
    <row r="352" spans="1:21" s="8" customFormat="1" ht="11.25" x14ac:dyDescent="0.2">
      <c r="A352" s="152">
        <v>10001134</v>
      </c>
      <c r="B352" s="10" t="s">
        <v>1290</v>
      </c>
      <c r="C352" s="12" t="s">
        <v>1291</v>
      </c>
      <c r="D352" s="11" t="s">
        <v>649</v>
      </c>
      <c r="E352" s="12" t="s">
        <v>757</v>
      </c>
      <c r="F352" s="13">
        <v>24</v>
      </c>
      <c r="G352" s="22">
        <f>Overview!$B$23</f>
        <v>36</v>
      </c>
      <c r="H352" s="114">
        <f t="shared" si="73"/>
        <v>36</v>
      </c>
      <c r="I352" s="114">
        <f>Overview!$E$23</f>
        <v>0</v>
      </c>
      <c r="J352" s="115">
        <f t="shared" si="74"/>
        <v>0</v>
      </c>
      <c r="K352" s="116">
        <f>Overview!$H$23</f>
        <v>0</v>
      </c>
      <c r="L352" s="117" t="e">
        <f t="shared" si="75"/>
        <v>#DIV/0!</v>
      </c>
      <c r="M352" s="179"/>
      <c r="N352" s="179" t="s">
        <v>3372</v>
      </c>
      <c r="O352" s="141">
        <f t="shared" si="76"/>
        <v>0</v>
      </c>
      <c r="P352" s="181" t="b">
        <f>COUNTIF('Facility Data'!$A$1:$A$1500,"*"&amp;A352&amp;"*")&gt;0</f>
        <v>0</v>
      </c>
      <c r="Q352" s="181" t="b">
        <f>COUNTIF('Account Data'!$A$1:$A$1000,"*"&amp;A352&amp;"*")&gt;0</f>
        <v>0</v>
      </c>
      <c r="R352" s="182" t="b">
        <f t="shared" si="77"/>
        <v>0</v>
      </c>
      <c r="S352" s="182" t="b">
        <f t="shared" si="78"/>
        <v>0</v>
      </c>
      <c r="T352" s="181" t="b">
        <f>COUNTIF('New Items'!$A$1:$A$175,A352)&gt;0</f>
        <v>0</v>
      </c>
      <c r="U352" s="181" t="b">
        <f>COUNTIF(Discontinued!$A$1:$A$150,A352)&gt;0</f>
        <v>0</v>
      </c>
    </row>
    <row r="353" spans="1:21" s="8" customFormat="1" ht="11.25" x14ac:dyDescent="0.2">
      <c r="A353" s="160">
        <v>10001130</v>
      </c>
      <c r="B353" s="231" t="s">
        <v>165</v>
      </c>
      <c r="C353" s="118" t="s">
        <v>166</v>
      </c>
      <c r="D353" s="119" t="s">
        <v>650</v>
      </c>
      <c r="E353" s="12" t="s">
        <v>757</v>
      </c>
      <c r="F353" s="13">
        <v>24</v>
      </c>
      <c r="G353" s="22">
        <f>Overview!$B$23</f>
        <v>36</v>
      </c>
      <c r="H353" s="114">
        <f>G353-I353</f>
        <v>36</v>
      </c>
      <c r="I353" s="114">
        <f>Overview!$E$23</f>
        <v>0</v>
      </c>
      <c r="J353" s="115">
        <f>I353/F353</f>
        <v>0</v>
      </c>
      <c r="K353" s="116">
        <f>Overview!$H$23</f>
        <v>0</v>
      </c>
      <c r="L353" s="117" t="e">
        <f>(K353-J353)/K353</f>
        <v>#DIV/0!</v>
      </c>
      <c r="M353" s="179" t="s">
        <v>4369</v>
      </c>
      <c r="N353" s="179" t="s">
        <v>3372</v>
      </c>
      <c r="O353" s="141">
        <f>I353</f>
        <v>0</v>
      </c>
      <c r="P353" s="181" t="b">
        <f>COUNTIF('Facility Data'!$A$1:$A$1500,"*"&amp;A353&amp;"*")&gt;0</f>
        <v>1</v>
      </c>
      <c r="Q353" s="181" t="b">
        <f>COUNTIF('Account Data'!$A$1:$A$1000,"*"&amp;A353&amp;"*")&gt;0</f>
        <v>1</v>
      </c>
      <c r="R353" s="182" t="b">
        <f t="shared" si="77"/>
        <v>1</v>
      </c>
      <c r="S353" s="182" t="b">
        <f>IF(OR(Q353=TRUE,T353=TRUE),TRUE,FALSE)</f>
        <v>1</v>
      </c>
      <c r="T353" s="181" t="b">
        <f>COUNTIF('New Items'!$A$1:$A$175,A353)&gt;0</f>
        <v>0</v>
      </c>
      <c r="U353" s="181" t="b">
        <f>COUNTIF(Discontinued!$A$1:$A$150,A353)&gt;0</f>
        <v>0</v>
      </c>
    </row>
    <row r="354" spans="1:21" s="8" customFormat="1" ht="11.25" x14ac:dyDescent="0.2">
      <c r="A354" s="160">
        <v>10001129</v>
      </c>
      <c r="B354" s="231" t="s">
        <v>4801</v>
      </c>
      <c r="C354" s="118" t="s">
        <v>168</v>
      </c>
      <c r="D354" s="119" t="s">
        <v>4755</v>
      </c>
      <c r="E354" s="12" t="s">
        <v>757</v>
      </c>
      <c r="F354" s="13">
        <v>24</v>
      </c>
      <c r="G354" s="22">
        <f>Overview!$B$23</f>
        <v>36</v>
      </c>
      <c r="H354" s="114">
        <f>G354-I354</f>
        <v>36</v>
      </c>
      <c r="I354" s="114">
        <f>Overview!$E$23</f>
        <v>0</v>
      </c>
      <c r="J354" s="115">
        <f>I354/F354</f>
        <v>0</v>
      </c>
      <c r="K354" s="116">
        <f>Overview!$H$23</f>
        <v>0</v>
      </c>
      <c r="L354" s="117" t="e">
        <f>(K354-J354)/K354</f>
        <v>#DIV/0!</v>
      </c>
      <c r="M354" s="179" t="s">
        <v>4369</v>
      </c>
      <c r="N354" s="179" t="s">
        <v>3372</v>
      </c>
      <c r="O354" s="141">
        <f>I354</f>
        <v>0</v>
      </c>
      <c r="P354" s="181" t="b">
        <f>COUNTIF('Facility Data'!$A$1:$A$1500,"*"&amp;A354&amp;"*")&gt;0</f>
        <v>1</v>
      </c>
      <c r="Q354" s="181" t="b">
        <f>COUNTIF('Account Data'!$A$1:$A$1000,"*"&amp;A354&amp;"*")&gt;0</f>
        <v>1</v>
      </c>
      <c r="R354" s="182" t="b">
        <f t="shared" si="77"/>
        <v>1</v>
      </c>
      <c r="S354" s="182" t="b">
        <f>IF(OR(Q354=TRUE,T354=TRUE),TRUE,FALSE)</f>
        <v>1</v>
      </c>
      <c r="T354" s="181" t="b">
        <f>COUNTIF('New Items'!$A$1:$A$175,A354)&gt;0</f>
        <v>0</v>
      </c>
      <c r="U354" s="181" t="b">
        <f>COUNTIF(Discontinued!$A$1:$A$150,A354)&gt;0</f>
        <v>0</v>
      </c>
    </row>
    <row r="355" spans="1:21" s="8" customFormat="1" ht="11.25" x14ac:dyDescent="0.2">
      <c r="A355" s="160">
        <v>10120687</v>
      </c>
      <c r="B355" s="231" t="s">
        <v>3794</v>
      </c>
      <c r="C355" s="118" t="s">
        <v>1060</v>
      </c>
      <c r="D355" s="119" t="s">
        <v>1054</v>
      </c>
      <c r="E355" s="12" t="s">
        <v>757</v>
      </c>
      <c r="F355" s="13">
        <v>24</v>
      </c>
      <c r="G355" s="22">
        <f>Overview!$B$23</f>
        <v>36</v>
      </c>
      <c r="H355" s="114">
        <f>G355-I355</f>
        <v>36</v>
      </c>
      <c r="I355" s="114">
        <f>Overview!$E$23</f>
        <v>0</v>
      </c>
      <c r="J355" s="115">
        <f>I355/F355</f>
        <v>0</v>
      </c>
      <c r="K355" s="116">
        <f>Overview!$H$23</f>
        <v>0</v>
      </c>
      <c r="L355" s="117" t="e">
        <f>(K355-J355)/K355</f>
        <v>#DIV/0!</v>
      </c>
      <c r="M355" s="179" t="s">
        <v>4369</v>
      </c>
      <c r="N355" s="179" t="s">
        <v>3372</v>
      </c>
      <c r="O355" s="141">
        <f>I355</f>
        <v>0</v>
      </c>
      <c r="P355" s="181" t="b">
        <f>COUNTIF('Facility Data'!$A$1:$A$1500,"*"&amp;A355&amp;"*")&gt;0</f>
        <v>1</v>
      </c>
      <c r="Q355" s="181" t="b">
        <f>COUNTIF('Account Data'!$A$1:$A$1000,"*"&amp;A355&amp;"*")&gt;0</f>
        <v>0</v>
      </c>
      <c r="R355" s="182" t="b">
        <f t="shared" si="77"/>
        <v>1</v>
      </c>
      <c r="S355" s="182" t="b">
        <f>IF(OR(Q355=TRUE,T355=TRUE),TRUE,FALSE)</f>
        <v>0</v>
      </c>
      <c r="T355" s="181" t="b">
        <f>COUNTIF('New Items'!$A$1:$A$175,A355)&gt;0</f>
        <v>0</v>
      </c>
      <c r="U355" s="181" t="b">
        <f>COUNTIF(Discontinued!$A$1:$A$150,A355)&gt;0</f>
        <v>0</v>
      </c>
    </row>
    <row r="356" spans="1:21" s="8" customFormat="1" ht="11.25" x14ac:dyDescent="0.2">
      <c r="A356" s="160">
        <v>10001705</v>
      </c>
      <c r="B356" s="231" t="s">
        <v>169</v>
      </c>
      <c r="C356" s="118" t="s">
        <v>170</v>
      </c>
      <c r="D356" s="119" t="s">
        <v>634</v>
      </c>
      <c r="E356" s="12" t="s">
        <v>757</v>
      </c>
      <c r="F356" s="13">
        <v>24</v>
      </c>
      <c r="G356" s="22">
        <f>Overview!$B$23</f>
        <v>36</v>
      </c>
      <c r="H356" s="114">
        <f>G356-I356</f>
        <v>36</v>
      </c>
      <c r="I356" s="114">
        <f>Overview!$E$23</f>
        <v>0</v>
      </c>
      <c r="J356" s="115">
        <f>I356/F356</f>
        <v>0</v>
      </c>
      <c r="K356" s="116">
        <f>Overview!$H$23</f>
        <v>0</v>
      </c>
      <c r="L356" s="117" t="e">
        <f>(K356-J356)/K356</f>
        <v>#DIV/0!</v>
      </c>
      <c r="M356" s="179" t="s">
        <v>4369</v>
      </c>
      <c r="N356" s="179" t="s">
        <v>3372</v>
      </c>
      <c r="O356" s="141">
        <f>I356</f>
        <v>0</v>
      </c>
      <c r="P356" s="181" t="b">
        <f>COUNTIF('Facility Data'!$A$1:$A$1500,"*"&amp;A356&amp;"*")&gt;0</f>
        <v>1</v>
      </c>
      <c r="Q356" s="181" t="b">
        <f>COUNTIF('Account Data'!$A$1:$A$1000,"*"&amp;A356&amp;"*")&gt;0</f>
        <v>1</v>
      </c>
      <c r="R356" s="182" t="b">
        <f t="shared" si="77"/>
        <v>1</v>
      </c>
      <c r="S356" s="182" t="b">
        <f>IF(OR(Q356=TRUE,T356=TRUE),TRUE,FALSE)</f>
        <v>1</v>
      </c>
      <c r="T356" s="181" t="b">
        <f>COUNTIF('New Items'!$A$1:$A$175,A356)&gt;0</f>
        <v>0</v>
      </c>
      <c r="U356" s="181" t="b">
        <f>COUNTIF(Discontinued!$A$1:$A$150,A356)&gt;0</f>
        <v>0</v>
      </c>
    </row>
    <row r="357" spans="1:21" s="8" customFormat="1" ht="11.25" x14ac:dyDescent="0.2">
      <c r="A357" s="160">
        <v>10001704</v>
      </c>
      <c r="B357" s="231" t="s">
        <v>171</v>
      </c>
      <c r="C357" s="118" t="s">
        <v>172</v>
      </c>
      <c r="D357" s="119" t="s">
        <v>635</v>
      </c>
      <c r="E357" s="12" t="s">
        <v>757</v>
      </c>
      <c r="F357" s="13">
        <v>24</v>
      </c>
      <c r="G357" s="22">
        <f>Overview!$B$23</f>
        <v>36</v>
      </c>
      <c r="H357" s="114">
        <f>G357-I357</f>
        <v>36</v>
      </c>
      <c r="I357" s="114">
        <f>Overview!$E$23</f>
        <v>0</v>
      </c>
      <c r="J357" s="115">
        <f>I357/F357</f>
        <v>0</v>
      </c>
      <c r="K357" s="116">
        <f>Overview!$H$23</f>
        <v>0</v>
      </c>
      <c r="L357" s="117" t="e">
        <f>(K357-J357)/K357</f>
        <v>#DIV/0!</v>
      </c>
      <c r="M357" s="179" t="s">
        <v>4369</v>
      </c>
      <c r="N357" s="179" t="s">
        <v>3372</v>
      </c>
      <c r="O357" s="141">
        <f>I357</f>
        <v>0</v>
      </c>
      <c r="P357" s="181" t="b">
        <f>COUNTIF('Facility Data'!$A$1:$A$1500,"*"&amp;A357&amp;"*")&gt;0</f>
        <v>1</v>
      </c>
      <c r="Q357" s="181" t="b">
        <f>COUNTIF('Account Data'!$A$1:$A$1000,"*"&amp;A357&amp;"*")&gt;0</f>
        <v>1</v>
      </c>
      <c r="R357" s="182" t="b">
        <f t="shared" si="77"/>
        <v>1</v>
      </c>
      <c r="S357" s="182" t="b">
        <f>IF(OR(Q357=TRUE,T357=TRUE),TRUE,FALSE)</f>
        <v>1</v>
      </c>
      <c r="T357" s="181" t="b">
        <f>COUNTIF('New Items'!$A$1:$A$175,A357)&gt;0</f>
        <v>0</v>
      </c>
      <c r="U357" s="181" t="b">
        <f>COUNTIF(Discontinued!$A$1:$A$150,A357)&gt;0</f>
        <v>0</v>
      </c>
    </row>
    <row r="358" spans="1:21" s="8" customFormat="1" ht="11.25" x14ac:dyDescent="0.2">
      <c r="A358" s="160">
        <v>10000045</v>
      </c>
      <c r="B358" s="231" t="s">
        <v>1292</v>
      </c>
      <c r="C358" s="12" t="s">
        <v>1293</v>
      </c>
      <c r="D358" s="11" t="s">
        <v>1061</v>
      </c>
      <c r="E358" s="12" t="s">
        <v>757</v>
      </c>
      <c r="F358" s="13">
        <v>24</v>
      </c>
      <c r="G358" s="22">
        <f>Overview!$B$23</f>
        <v>36</v>
      </c>
      <c r="H358" s="114">
        <f t="shared" si="73"/>
        <v>36</v>
      </c>
      <c r="I358" s="114">
        <f>Overview!$E$23</f>
        <v>0</v>
      </c>
      <c r="J358" s="115">
        <f t="shared" si="74"/>
        <v>0</v>
      </c>
      <c r="K358" s="116">
        <f>Overview!$H$23</f>
        <v>0</v>
      </c>
      <c r="L358" s="117" t="e">
        <f t="shared" si="75"/>
        <v>#DIV/0!</v>
      </c>
      <c r="M358" s="179" t="s">
        <v>4369</v>
      </c>
      <c r="N358" s="179" t="s">
        <v>3372</v>
      </c>
      <c r="O358" s="141">
        <f t="shared" si="76"/>
        <v>0</v>
      </c>
      <c r="P358" s="181" t="b">
        <f>COUNTIF('Facility Data'!$A$1:$A$1500,"*"&amp;A358&amp;"*")&gt;0</f>
        <v>0</v>
      </c>
      <c r="Q358" s="181" t="b">
        <f>COUNTIF('Account Data'!$A$1:$A$1000,"*"&amp;A358&amp;"*")&gt;0</f>
        <v>0</v>
      </c>
      <c r="R358" s="182" t="b">
        <f t="shared" si="77"/>
        <v>0</v>
      </c>
      <c r="S358" s="182" t="b">
        <f t="shared" si="78"/>
        <v>0</v>
      </c>
      <c r="T358" s="181" t="b">
        <f>COUNTIF('New Items'!$A$1:$A$175,A358)&gt;0</f>
        <v>0</v>
      </c>
      <c r="U358" s="181" t="b">
        <f>COUNTIF(Discontinued!$A$1:$A$150,A358)&gt;0</f>
        <v>0</v>
      </c>
    </row>
    <row r="359" spans="1:21" s="8" customFormat="1" ht="11.25" x14ac:dyDescent="0.2">
      <c r="A359" s="152">
        <v>10087783</v>
      </c>
      <c r="B359" s="10" t="s">
        <v>173</v>
      </c>
      <c r="C359" s="12" t="s">
        <v>174</v>
      </c>
      <c r="D359" s="11" t="s">
        <v>651</v>
      </c>
      <c r="E359" s="12" t="s">
        <v>757</v>
      </c>
      <c r="F359" s="13">
        <v>24</v>
      </c>
      <c r="G359" s="22">
        <f>Overview!$B$23</f>
        <v>36</v>
      </c>
      <c r="H359" s="114">
        <f t="shared" si="73"/>
        <v>36</v>
      </c>
      <c r="I359" s="114">
        <f>Overview!$E$23</f>
        <v>0</v>
      </c>
      <c r="J359" s="115">
        <f t="shared" si="74"/>
        <v>0</v>
      </c>
      <c r="K359" s="116">
        <f>Overview!$H$23</f>
        <v>0</v>
      </c>
      <c r="L359" s="117" t="e">
        <f t="shared" si="75"/>
        <v>#DIV/0!</v>
      </c>
      <c r="M359" s="179" t="s">
        <v>4369</v>
      </c>
      <c r="N359" s="179" t="s">
        <v>3372</v>
      </c>
      <c r="O359" s="141">
        <f t="shared" si="76"/>
        <v>0</v>
      </c>
      <c r="P359" s="181" t="b">
        <f>COUNTIF('Facility Data'!$A$1:$A$1500,"*"&amp;A359&amp;"*")&gt;0</f>
        <v>0</v>
      </c>
      <c r="Q359" s="181" t="b">
        <f>COUNTIF('Account Data'!$A$1:$A$1000,"*"&amp;A359&amp;"*")&gt;0</f>
        <v>1</v>
      </c>
      <c r="R359" s="182" t="b">
        <f t="shared" si="77"/>
        <v>0</v>
      </c>
      <c r="S359" s="182" t="b">
        <f t="shared" si="78"/>
        <v>1</v>
      </c>
      <c r="T359" s="181" t="b">
        <f>COUNTIF('New Items'!$A$1:$A$175,A359)&gt;0</f>
        <v>0</v>
      </c>
      <c r="U359" s="181" t="b">
        <f>COUNTIF(Discontinued!$A$1:$A$150,A359)&gt;0</f>
        <v>0</v>
      </c>
    </row>
    <row r="360" spans="1:21" s="8" customFormat="1" ht="11.25" x14ac:dyDescent="0.2">
      <c r="A360" s="152">
        <v>10087800</v>
      </c>
      <c r="B360" s="10" t="s">
        <v>1295</v>
      </c>
      <c r="C360" s="12" t="s">
        <v>1296</v>
      </c>
      <c r="D360" s="11" t="s">
        <v>1294</v>
      </c>
      <c r="E360" s="12" t="s">
        <v>757</v>
      </c>
      <c r="F360" s="13">
        <v>24</v>
      </c>
      <c r="G360" s="22">
        <f>Overview!$B$23</f>
        <v>36</v>
      </c>
      <c r="H360" s="114">
        <f t="shared" si="73"/>
        <v>36</v>
      </c>
      <c r="I360" s="114">
        <f>Overview!$E$23</f>
        <v>0</v>
      </c>
      <c r="J360" s="115">
        <f t="shared" si="74"/>
        <v>0</v>
      </c>
      <c r="K360" s="116">
        <f>Overview!$H$23</f>
        <v>0</v>
      </c>
      <c r="L360" s="117" t="e">
        <f t="shared" si="75"/>
        <v>#DIV/0!</v>
      </c>
      <c r="M360" s="179" t="s">
        <v>4369</v>
      </c>
      <c r="N360" s="179" t="s">
        <v>3372</v>
      </c>
      <c r="O360" s="141">
        <f t="shared" si="76"/>
        <v>0</v>
      </c>
      <c r="P360" s="181" t="b">
        <f>COUNTIF('Facility Data'!$A$1:$A$1500,"*"&amp;A360&amp;"*")&gt;0</f>
        <v>0</v>
      </c>
      <c r="Q360" s="181" t="b">
        <f>COUNTIF('Account Data'!$A$1:$A$1000,"*"&amp;A360&amp;"*")&gt;0</f>
        <v>0</v>
      </c>
      <c r="R360" s="182" t="b">
        <f t="shared" si="77"/>
        <v>0</v>
      </c>
      <c r="S360" s="182" t="b">
        <f t="shared" si="78"/>
        <v>0</v>
      </c>
      <c r="T360" s="181" t="b">
        <f>COUNTIF('New Items'!$A$1:$A$175,A360)&gt;0</f>
        <v>0</v>
      </c>
      <c r="U360" s="181" t="b">
        <f>COUNTIF(Discontinued!$A$1:$A$150,A360)&gt;0</f>
        <v>0</v>
      </c>
    </row>
    <row r="361" spans="1:21" s="8" customFormat="1" ht="11.25" x14ac:dyDescent="0.2">
      <c r="A361" s="152">
        <v>10021990</v>
      </c>
      <c r="B361" s="10" t="s">
        <v>3270</v>
      </c>
      <c r="C361" s="12" t="s">
        <v>932</v>
      </c>
      <c r="D361" s="11" t="s">
        <v>922</v>
      </c>
      <c r="E361" s="12" t="s">
        <v>757</v>
      </c>
      <c r="F361" s="13">
        <v>24</v>
      </c>
      <c r="G361" s="22">
        <f>Overview!$B$23</f>
        <v>36</v>
      </c>
      <c r="H361" s="114">
        <f t="shared" si="73"/>
        <v>36</v>
      </c>
      <c r="I361" s="114">
        <f>Overview!$E$23</f>
        <v>0</v>
      </c>
      <c r="J361" s="115">
        <f t="shared" si="74"/>
        <v>0</v>
      </c>
      <c r="K361" s="116">
        <f>Overview!$H$23</f>
        <v>0</v>
      </c>
      <c r="L361" s="117" t="e">
        <f t="shared" si="75"/>
        <v>#DIV/0!</v>
      </c>
      <c r="M361" s="179" t="s">
        <v>921</v>
      </c>
      <c r="N361" s="179" t="s">
        <v>3372</v>
      </c>
      <c r="O361" s="141">
        <f t="shared" si="76"/>
        <v>0</v>
      </c>
      <c r="P361" s="181" t="b">
        <f>COUNTIF('Facility Data'!$A$1:$A$1500,"*"&amp;A361&amp;"*")&gt;0</f>
        <v>0</v>
      </c>
      <c r="Q361" s="181" t="b">
        <f>COUNTIF('Account Data'!$A$1:$A$1000,"*"&amp;A361&amp;"*")&gt;0</f>
        <v>1</v>
      </c>
      <c r="R361" s="182" t="b">
        <f t="shared" si="77"/>
        <v>0</v>
      </c>
      <c r="S361" s="182" t="b">
        <f t="shared" si="78"/>
        <v>1</v>
      </c>
      <c r="T361" s="181" t="b">
        <f>COUNTIF('New Items'!$A$1:$A$175,A361)&gt;0</f>
        <v>0</v>
      </c>
      <c r="U361" s="181" t="b">
        <f>COUNTIF(Discontinued!$A$1:$A$150,A361)&gt;0</f>
        <v>0</v>
      </c>
    </row>
    <row r="362" spans="1:21" s="8" customFormat="1" ht="11.25" x14ac:dyDescent="0.2">
      <c r="A362" s="152">
        <v>10021992</v>
      </c>
      <c r="B362" s="10" t="s">
        <v>3271</v>
      </c>
      <c r="C362" s="12" t="s">
        <v>933</v>
      </c>
      <c r="D362" s="11" t="s">
        <v>923</v>
      </c>
      <c r="E362" s="12" t="s">
        <v>757</v>
      </c>
      <c r="F362" s="13">
        <v>24</v>
      </c>
      <c r="G362" s="22">
        <f>Overview!$B$23</f>
        <v>36</v>
      </c>
      <c r="H362" s="114">
        <f t="shared" si="73"/>
        <v>36</v>
      </c>
      <c r="I362" s="114">
        <f>Overview!$E$23</f>
        <v>0</v>
      </c>
      <c r="J362" s="115">
        <f t="shared" si="74"/>
        <v>0</v>
      </c>
      <c r="K362" s="116">
        <f>Overview!$H$23</f>
        <v>0</v>
      </c>
      <c r="L362" s="117" t="e">
        <f t="shared" si="75"/>
        <v>#DIV/0!</v>
      </c>
      <c r="M362" s="179" t="s">
        <v>921</v>
      </c>
      <c r="N362" s="179" t="s">
        <v>3372</v>
      </c>
      <c r="O362" s="141">
        <f t="shared" si="76"/>
        <v>0</v>
      </c>
      <c r="P362" s="181" t="b">
        <f>COUNTIF('Facility Data'!$A$1:$A$1500,"*"&amp;A362&amp;"*")&gt;0</f>
        <v>0</v>
      </c>
      <c r="Q362" s="181" t="b">
        <f>COUNTIF('Account Data'!$A$1:$A$1000,"*"&amp;A362&amp;"*")&gt;0</f>
        <v>1</v>
      </c>
      <c r="R362" s="182" t="b">
        <f t="shared" si="77"/>
        <v>0</v>
      </c>
      <c r="S362" s="182" t="b">
        <f t="shared" si="78"/>
        <v>1</v>
      </c>
      <c r="T362" s="181" t="b">
        <f>COUNTIF('New Items'!$A$1:$A$175,A362)&gt;0</f>
        <v>0</v>
      </c>
      <c r="U362" s="181" t="b">
        <f>COUNTIF(Discontinued!$A$1:$A$150,A362)&gt;0</f>
        <v>0</v>
      </c>
    </row>
    <row r="363" spans="1:21" s="8" customFormat="1" ht="11.25" x14ac:dyDescent="0.2">
      <c r="A363" s="152">
        <v>10021993</v>
      </c>
      <c r="B363" s="10" t="s">
        <v>3272</v>
      </c>
      <c r="C363" s="12" t="s">
        <v>934</v>
      </c>
      <c r="D363" s="11" t="s">
        <v>924</v>
      </c>
      <c r="E363" s="12" t="s">
        <v>757</v>
      </c>
      <c r="F363" s="13">
        <v>24</v>
      </c>
      <c r="G363" s="22">
        <f>Overview!$B$23</f>
        <v>36</v>
      </c>
      <c r="H363" s="114">
        <f t="shared" si="73"/>
        <v>36</v>
      </c>
      <c r="I363" s="114">
        <f>Overview!$E$23</f>
        <v>0</v>
      </c>
      <c r="J363" s="115">
        <f t="shared" si="74"/>
        <v>0</v>
      </c>
      <c r="K363" s="116">
        <f>Overview!$H$23</f>
        <v>0</v>
      </c>
      <c r="L363" s="117" t="e">
        <f t="shared" si="75"/>
        <v>#DIV/0!</v>
      </c>
      <c r="M363" s="179" t="s">
        <v>921</v>
      </c>
      <c r="N363" s="179" t="s">
        <v>3372</v>
      </c>
      <c r="O363" s="141">
        <f t="shared" si="76"/>
        <v>0</v>
      </c>
      <c r="P363" s="181" t="b">
        <f>COUNTIF('Facility Data'!$A$1:$A$1500,"*"&amp;A363&amp;"*")&gt;0</f>
        <v>0</v>
      </c>
      <c r="Q363" s="181" t="b">
        <f>COUNTIF('Account Data'!$A$1:$A$1000,"*"&amp;A363&amp;"*")&gt;0</f>
        <v>1</v>
      </c>
      <c r="R363" s="182" t="b">
        <f t="shared" si="77"/>
        <v>0</v>
      </c>
      <c r="S363" s="182" t="b">
        <f t="shared" si="78"/>
        <v>1</v>
      </c>
      <c r="T363" s="181" t="b">
        <f>COUNTIF('New Items'!$A$1:$A$175,A363)&gt;0</f>
        <v>0</v>
      </c>
      <c r="U363" s="181" t="b">
        <f>COUNTIF(Discontinued!$A$1:$A$150,A363)&gt;0</f>
        <v>0</v>
      </c>
    </row>
    <row r="364" spans="1:21" s="8" customFormat="1" ht="11.25" x14ac:dyDescent="0.2">
      <c r="A364" s="160">
        <v>10021991</v>
      </c>
      <c r="B364" s="231" t="s">
        <v>3658</v>
      </c>
      <c r="C364" s="118" t="s">
        <v>3660</v>
      </c>
      <c r="D364" s="119" t="s">
        <v>3659</v>
      </c>
      <c r="E364" s="12" t="s">
        <v>757</v>
      </c>
      <c r="F364" s="13">
        <v>24</v>
      </c>
      <c r="G364" s="22">
        <f>Overview!$B$23</f>
        <v>36</v>
      </c>
      <c r="H364" s="114">
        <f>G364-I364</f>
        <v>36</v>
      </c>
      <c r="I364" s="114">
        <f>Overview!$E$23</f>
        <v>0</v>
      </c>
      <c r="J364" s="115">
        <f>I364/F364</f>
        <v>0</v>
      </c>
      <c r="K364" s="116">
        <f>Overview!$H$23</f>
        <v>0</v>
      </c>
      <c r="L364" s="117" t="e">
        <f>(K364-J364)/K364</f>
        <v>#DIV/0!</v>
      </c>
      <c r="M364" s="179" t="s">
        <v>921</v>
      </c>
      <c r="N364" s="179" t="s">
        <v>3372</v>
      </c>
      <c r="O364" s="141">
        <f>I364</f>
        <v>0</v>
      </c>
      <c r="P364" s="181" t="b">
        <f>COUNTIF('Facility Data'!$A$1:$A$1500,"*"&amp;A364&amp;"*")&gt;0</f>
        <v>0</v>
      </c>
      <c r="Q364" s="181" t="b">
        <f>COUNTIF('Account Data'!$A$1:$A$1000,"*"&amp;A364&amp;"*")&gt;0</f>
        <v>0</v>
      </c>
      <c r="R364" s="182" t="b">
        <f t="shared" si="77"/>
        <v>0</v>
      </c>
      <c r="S364" s="182" t="b">
        <f>IF(OR(Q364=TRUE,T364=TRUE),TRUE,FALSE)</f>
        <v>0</v>
      </c>
      <c r="T364" s="181" t="b">
        <f>COUNTIF('New Items'!$A$1:$A$175,A364)&gt;0</f>
        <v>0</v>
      </c>
      <c r="U364" s="181" t="b">
        <f>COUNTIF(Discontinued!$A$1:$A$150,A364)&gt;0</f>
        <v>0</v>
      </c>
    </row>
    <row r="365" spans="1:21" s="8" customFormat="1" ht="11.25" x14ac:dyDescent="0.2">
      <c r="A365" s="152">
        <v>10001112</v>
      </c>
      <c r="B365" s="10" t="s">
        <v>2703</v>
      </c>
      <c r="C365" s="12" t="s">
        <v>2704</v>
      </c>
      <c r="D365" s="11" t="s">
        <v>4116</v>
      </c>
      <c r="E365" s="12" t="s">
        <v>757</v>
      </c>
      <c r="F365" s="13">
        <v>24</v>
      </c>
      <c r="G365" s="22">
        <f>Overview!$B$23</f>
        <v>36</v>
      </c>
      <c r="H365" s="114">
        <f t="shared" si="73"/>
        <v>36</v>
      </c>
      <c r="I365" s="114">
        <f>Overview!$E$23</f>
        <v>0</v>
      </c>
      <c r="J365" s="115">
        <f t="shared" si="74"/>
        <v>0</v>
      </c>
      <c r="K365" s="116">
        <f>Overview!$H$23</f>
        <v>0</v>
      </c>
      <c r="L365" s="117" t="e">
        <f t="shared" si="75"/>
        <v>#DIV/0!</v>
      </c>
      <c r="M365" s="179" t="s">
        <v>953</v>
      </c>
      <c r="N365" s="179" t="s">
        <v>3372</v>
      </c>
      <c r="O365" s="141">
        <f t="shared" si="76"/>
        <v>0</v>
      </c>
      <c r="P365" s="181" t="b">
        <f>COUNTIF('Facility Data'!$A$1:$A$1500,"*"&amp;A365&amp;"*")&gt;0</f>
        <v>0</v>
      </c>
      <c r="Q365" s="181" t="b">
        <f>COUNTIF('Account Data'!$A$1:$A$1000,"*"&amp;A365&amp;"*")&gt;0</f>
        <v>0</v>
      </c>
      <c r="R365" s="182" t="b">
        <f t="shared" si="77"/>
        <v>0</v>
      </c>
      <c r="S365" s="182" t="b">
        <f t="shared" si="78"/>
        <v>0</v>
      </c>
      <c r="T365" s="181" t="b">
        <f>COUNTIF('New Items'!$A$1:$A$175,A365)&gt;0</f>
        <v>0</v>
      </c>
      <c r="U365" s="181" t="b">
        <f>COUNTIF(Discontinued!$A$1:$A$150,A365)&gt;0</f>
        <v>0</v>
      </c>
    </row>
    <row r="366" spans="1:21" s="8" customFormat="1" ht="11.25" x14ac:dyDescent="0.2">
      <c r="A366" s="152">
        <v>10001113</v>
      </c>
      <c r="B366" s="10" t="s">
        <v>4803</v>
      </c>
      <c r="C366" s="12" t="s">
        <v>2706</v>
      </c>
      <c r="D366" s="11" t="s">
        <v>4780</v>
      </c>
      <c r="E366" s="12" t="s">
        <v>757</v>
      </c>
      <c r="F366" s="13">
        <v>24</v>
      </c>
      <c r="G366" s="22">
        <f>Overview!$B$23</f>
        <v>36</v>
      </c>
      <c r="H366" s="114">
        <f t="shared" si="73"/>
        <v>36</v>
      </c>
      <c r="I366" s="114">
        <f>Overview!$E$23</f>
        <v>0</v>
      </c>
      <c r="J366" s="115">
        <f t="shared" si="74"/>
        <v>0</v>
      </c>
      <c r="K366" s="116">
        <f>Overview!$H$23</f>
        <v>0</v>
      </c>
      <c r="L366" s="117" t="e">
        <f t="shared" si="75"/>
        <v>#DIV/0!</v>
      </c>
      <c r="M366" s="179" t="s">
        <v>953</v>
      </c>
      <c r="N366" s="179" t="s">
        <v>3372</v>
      </c>
      <c r="O366" s="141">
        <f t="shared" si="76"/>
        <v>0</v>
      </c>
      <c r="P366" s="181" t="b">
        <f>COUNTIF('Facility Data'!$A$1:$A$1500,"*"&amp;A366&amp;"*")&gt;0</f>
        <v>0</v>
      </c>
      <c r="Q366" s="181" t="b">
        <f>COUNTIF('Account Data'!$A$1:$A$1000,"*"&amp;A366&amp;"*")&gt;0</f>
        <v>0</v>
      </c>
      <c r="R366" s="182" t="b">
        <f t="shared" si="77"/>
        <v>0</v>
      </c>
      <c r="S366" s="182" t="b">
        <f t="shared" si="78"/>
        <v>0</v>
      </c>
      <c r="T366" s="181" t="b">
        <f>COUNTIF('New Items'!$A$1:$A$175,A366)&gt;0</f>
        <v>0</v>
      </c>
      <c r="U366" s="181" t="b">
        <f>COUNTIF(Discontinued!$A$1:$A$150,A366)&gt;0</f>
        <v>0</v>
      </c>
    </row>
    <row r="367" spans="1:21" s="8" customFormat="1" ht="11.25" x14ac:dyDescent="0.2">
      <c r="A367" s="152">
        <v>10001124</v>
      </c>
      <c r="B367" s="10" t="s">
        <v>2996</v>
      </c>
      <c r="C367" s="12" t="s">
        <v>2997</v>
      </c>
      <c r="D367" s="11" t="s">
        <v>1697</v>
      </c>
      <c r="E367" s="12" t="s">
        <v>757</v>
      </c>
      <c r="F367" s="13">
        <v>24</v>
      </c>
      <c r="G367" s="22">
        <f>Overview!$B$23</f>
        <v>36</v>
      </c>
      <c r="H367" s="114">
        <f t="shared" si="73"/>
        <v>36</v>
      </c>
      <c r="I367" s="114">
        <f>Overview!$E$23</f>
        <v>0</v>
      </c>
      <c r="J367" s="115">
        <f t="shared" si="74"/>
        <v>0</v>
      </c>
      <c r="K367" s="116">
        <f>Overview!$H$23</f>
        <v>0</v>
      </c>
      <c r="L367" s="117" t="e">
        <f t="shared" si="75"/>
        <v>#DIV/0!</v>
      </c>
      <c r="M367" s="179" t="s">
        <v>944</v>
      </c>
      <c r="N367" s="179" t="s">
        <v>3372</v>
      </c>
      <c r="O367" s="141">
        <f t="shared" si="76"/>
        <v>0</v>
      </c>
      <c r="P367" s="181" t="b">
        <f>COUNTIF('Facility Data'!$A$1:$A$1500,"*"&amp;A367&amp;"*")&gt;0</f>
        <v>0</v>
      </c>
      <c r="Q367" s="181" t="b">
        <f>COUNTIF('Account Data'!$A$1:$A$1000,"*"&amp;A367&amp;"*")&gt;0</f>
        <v>0</v>
      </c>
      <c r="R367" s="182" t="b">
        <f t="shared" si="77"/>
        <v>0</v>
      </c>
      <c r="S367" s="182" t="b">
        <f t="shared" si="78"/>
        <v>0</v>
      </c>
      <c r="T367" s="181" t="b">
        <f>COUNTIF('New Items'!$A$1:$A$175,A367)&gt;0</f>
        <v>0</v>
      </c>
      <c r="U367" s="181" t="b">
        <f>COUNTIF(Discontinued!$A$1:$A$150,A367)&gt;0</f>
        <v>0</v>
      </c>
    </row>
    <row r="368" spans="1:21" s="8" customFormat="1" ht="11.25" x14ac:dyDescent="0.2">
      <c r="A368" s="152">
        <v>10000041</v>
      </c>
      <c r="B368" s="10" t="s">
        <v>1297</v>
      </c>
      <c r="C368" s="12" t="s">
        <v>1298</v>
      </c>
      <c r="D368" s="11" t="s">
        <v>639</v>
      </c>
      <c r="E368" s="12" t="s">
        <v>757</v>
      </c>
      <c r="F368" s="13">
        <v>24</v>
      </c>
      <c r="G368" s="22">
        <f>Overview!$B$23</f>
        <v>36</v>
      </c>
      <c r="H368" s="114">
        <f t="shared" si="73"/>
        <v>36</v>
      </c>
      <c r="I368" s="114">
        <f>Overview!$E$23</f>
        <v>0</v>
      </c>
      <c r="J368" s="115">
        <f t="shared" si="74"/>
        <v>0</v>
      </c>
      <c r="K368" s="116">
        <f>Overview!$H$23</f>
        <v>0</v>
      </c>
      <c r="L368" s="117" t="e">
        <f t="shared" si="75"/>
        <v>#DIV/0!</v>
      </c>
      <c r="M368" s="179" t="s">
        <v>930</v>
      </c>
      <c r="N368" s="179" t="s">
        <v>3372</v>
      </c>
      <c r="O368" s="141">
        <f t="shared" si="76"/>
        <v>0</v>
      </c>
      <c r="P368" s="181" t="b">
        <f>COUNTIF('Facility Data'!$A$1:$A$1500,"*"&amp;A368&amp;"*")&gt;0</f>
        <v>0</v>
      </c>
      <c r="Q368" s="181" t="b">
        <f>COUNTIF('Account Data'!$A$1:$A$1000,"*"&amp;A368&amp;"*")&gt;0</f>
        <v>0</v>
      </c>
      <c r="R368" s="182" t="b">
        <f t="shared" si="77"/>
        <v>0</v>
      </c>
      <c r="S368" s="182" t="b">
        <f t="shared" si="78"/>
        <v>0</v>
      </c>
      <c r="T368" s="181" t="b">
        <f>COUNTIF('New Items'!$A$1:$A$175,A368)&gt;0</f>
        <v>0</v>
      </c>
      <c r="U368" s="181" t="b">
        <f>COUNTIF(Discontinued!$A$1:$A$150,A368)&gt;0</f>
        <v>0</v>
      </c>
    </row>
    <row r="369" spans="1:21" s="8" customFormat="1" ht="11.25" x14ac:dyDescent="0.2">
      <c r="A369" s="152">
        <v>10001123</v>
      </c>
      <c r="B369" s="10" t="s">
        <v>185</v>
      </c>
      <c r="C369" s="12" t="s">
        <v>186</v>
      </c>
      <c r="D369" s="11" t="s">
        <v>655</v>
      </c>
      <c r="E369" s="12" t="s">
        <v>757</v>
      </c>
      <c r="F369" s="13">
        <v>24</v>
      </c>
      <c r="G369" s="22">
        <f>Overview!$B$23</f>
        <v>36</v>
      </c>
      <c r="H369" s="114">
        <f t="shared" si="73"/>
        <v>36</v>
      </c>
      <c r="I369" s="114">
        <f>Overview!$E$23</f>
        <v>0</v>
      </c>
      <c r="J369" s="115">
        <f t="shared" si="74"/>
        <v>0</v>
      </c>
      <c r="K369" s="116">
        <f>Overview!$H$23</f>
        <v>0</v>
      </c>
      <c r="L369" s="117" t="e">
        <f t="shared" si="75"/>
        <v>#DIV/0!</v>
      </c>
      <c r="M369" s="179"/>
      <c r="N369" s="179" t="s">
        <v>3372</v>
      </c>
      <c r="O369" s="141">
        <f t="shared" si="76"/>
        <v>0</v>
      </c>
      <c r="P369" s="181" t="b">
        <f>COUNTIF('Facility Data'!$A$1:$A$1500,"*"&amp;A369&amp;"*")&gt;0</f>
        <v>1</v>
      </c>
      <c r="Q369" s="181" t="b">
        <f>COUNTIF('Account Data'!$A$1:$A$1000,"*"&amp;A369&amp;"*")&gt;0</f>
        <v>1</v>
      </c>
      <c r="R369" s="182" t="b">
        <f t="shared" si="77"/>
        <v>1</v>
      </c>
      <c r="S369" s="182" t="b">
        <f t="shared" si="78"/>
        <v>1</v>
      </c>
      <c r="T369" s="181" t="b">
        <f>COUNTIF('New Items'!$A$1:$A$175,A369)&gt;0</f>
        <v>0</v>
      </c>
      <c r="U369" s="181" t="b">
        <f>COUNTIF(Discontinued!$A$1:$A$150,A369)&gt;0</f>
        <v>0</v>
      </c>
    </row>
    <row r="370" spans="1:21" s="8" customFormat="1" ht="11.25" x14ac:dyDescent="0.2">
      <c r="A370" s="152">
        <v>10027683</v>
      </c>
      <c r="B370" s="10" t="s">
        <v>187</v>
      </c>
      <c r="C370" s="12" t="s">
        <v>188</v>
      </c>
      <c r="D370" s="11" t="s">
        <v>656</v>
      </c>
      <c r="E370" s="12" t="s">
        <v>757</v>
      </c>
      <c r="F370" s="13">
        <v>24</v>
      </c>
      <c r="G370" s="22">
        <f>Overview!$B$23</f>
        <v>36</v>
      </c>
      <c r="H370" s="114">
        <f t="shared" si="73"/>
        <v>36</v>
      </c>
      <c r="I370" s="114">
        <f>Overview!$E$23</f>
        <v>0</v>
      </c>
      <c r="J370" s="115">
        <f t="shared" si="74"/>
        <v>0</v>
      </c>
      <c r="K370" s="116">
        <f>Overview!$H$23</f>
        <v>0</v>
      </c>
      <c r="L370" s="117" t="e">
        <f t="shared" si="75"/>
        <v>#DIV/0!</v>
      </c>
      <c r="M370" s="179" t="s">
        <v>952</v>
      </c>
      <c r="N370" s="179" t="s">
        <v>3372</v>
      </c>
      <c r="O370" s="141">
        <f t="shared" si="76"/>
        <v>0</v>
      </c>
      <c r="P370" s="181" t="b">
        <f>COUNTIF('Facility Data'!$A$1:$A$1500,"*"&amp;A370&amp;"*")&gt;0</f>
        <v>0</v>
      </c>
      <c r="Q370" s="181" t="b">
        <f>COUNTIF('Account Data'!$A$1:$A$1000,"*"&amp;A370&amp;"*")&gt;0</f>
        <v>1</v>
      </c>
      <c r="R370" s="182" t="b">
        <f t="shared" si="77"/>
        <v>0</v>
      </c>
      <c r="S370" s="182" t="b">
        <f t="shared" si="78"/>
        <v>1</v>
      </c>
      <c r="T370" s="181" t="b">
        <f>COUNTIF('New Items'!$A$1:$A$175,A370)&gt;0</f>
        <v>0</v>
      </c>
      <c r="U370" s="181" t="b">
        <f>COUNTIF(Discontinued!$A$1:$A$150,A370)&gt;0</f>
        <v>0</v>
      </c>
    </row>
    <row r="371" spans="1:21" s="8" customFormat="1" ht="11.25" x14ac:dyDescent="0.2">
      <c r="A371" s="152">
        <v>10011968</v>
      </c>
      <c r="B371" s="10" t="s">
        <v>1575</v>
      </c>
      <c r="C371" s="12" t="s">
        <v>1576</v>
      </c>
      <c r="D371" s="11" t="s">
        <v>1572</v>
      </c>
      <c r="E371" s="12" t="s">
        <v>757</v>
      </c>
      <c r="F371" s="13">
        <v>24</v>
      </c>
      <c r="G371" s="22">
        <f>Overview!$B$23</f>
        <v>36</v>
      </c>
      <c r="H371" s="114">
        <f t="shared" si="73"/>
        <v>36</v>
      </c>
      <c r="I371" s="114">
        <f>Overview!$E$23</f>
        <v>0</v>
      </c>
      <c r="J371" s="115">
        <f t="shared" si="74"/>
        <v>0</v>
      </c>
      <c r="K371" s="116">
        <f>Overview!$H$23</f>
        <v>0</v>
      </c>
      <c r="L371" s="117" t="e">
        <f t="shared" si="75"/>
        <v>#DIV/0!</v>
      </c>
      <c r="M371" s="179" t="s">
        <v>2421</v>
      </c>
      <c r="N371" s="179" t="s">
        <v>3372</v>
      </c>
      <c r="O371" s="141">
        <f t="shared" si="76"/>
        <v>0</v>
      </c>
      <c r="P371" s="181" t="b">
        <f>COUNTIF('Facility Data'!$A$1:$A$1500,"*"&amp;A371&amp;"*")&gt;0</f>
        <v>0</v>
      </c>
      <c r="Q371" s="181" t="b">
        <f>COUNTIF('Account Data'!$A$1:$A$1000,"*"&amp;A371&amp;"*")&gt;0</f>
        <v>0</v>
      </c>
      <c r="R371" s="182" t="b">
        <f t="shared" si="77"/>
        <v>0</v>
      </c>
      <c r="S371" s="182" t="b">
        <f t="shared" si="78"/>
        <v>0</v>
      </c>
      <c r="T371" s="181" t="b">
        <f>COUNTIF('New Items'!$A$1:$A$175,A371)&gt;0</f>
        <v>0</v>
      </c>
      <c r="U371" s="181" t="b">
        <f>COUNTIF(Discontinued!$A$1:$A$150,A371)&gt;0</f>
        <v>0</v>
      </c>
    </row>
    <row r="372" spans="1:21" s="8" customFormat="1" ht="11.25" x14ac:dyDescent="0.2">
      <c r="A372" s="152">
        <v>10001176</v>
      </c>
      <c r="B372" s="10" t="s">
        <v>2454</v>
      </c>
      <c r="C372" s="12" t="s">
        <v>2455</v>
      </c>
      <c r="D372" s="11" t="s">
        <v>1655</v>
      </c>
      <c r="E372" s="12" t="s">
        <v>757</v>
      </c>
      <c r="F372" s="13">
        <v>24</v>
      </c>
      <c r="G372" s="22">
        <f>Overview!$B$23</f>
        <v>36</v>
      </c>
      <c r="H372" s="114">
        <f t="shared" si="73"/>
        <v>36</v>
      </c>
      <c r="I372" s="114">
        <f>Overview!$E$23</f>
        <v>0</v>
      </c>
      <c r="J372" s="115">
        <f t="shared" si="74"/>
        <v>0</v>
      </c>
      <c r="K372" s="116">
        <f>Overview!$H$23</f>
        <v>0</v>
      </c>
      <c r="L372" s="117" t="e">
        <f t="shared" si="75"/>
        <v>#DIV/0!</v>
      </c>
      <c r="M372" s="179" t="s">
        <v>2422</v>
      </c>
      <c r="N372" s="179" t="s">
        <v>3372</v>
      </c>
      <c r="O372" s="141">
        <f>I372</f>
        <v>0</v>
      </c>
      <c r="P372" s="181" t="b">
        <f>COUNTIF('Facility Data'!$A$1:$A$1500,"*"&amp;A372&amp;"*")&gt;0</f>
        <v>0</v>
      </c>
      <c r="Q372" s="181" t="b">
        <f>COUNTIF('Account Data'!$A$1:$A$1000,"*"&amp;A372&amp;"*")&gt;0</f>
        <v>0</v>
      </c>
      <c r="R372" s="182" t="b">
        <f t="shared" si="77"/>
        <v>0</v>
      </c>
      <c r="S372" s="182" t="b">
        <f>IF(OR(Q372=TRUE,T372=TRUE),TRUE,FALSE)</f>
        <v>0</v>
      </c>
      <c r="T372" s="181" t="b">
        <f>COUNTIF('New Items'!$A$1:$A$175,A372)&gt;0</f>
        <v>0</v>
      </c>
      <c r="U372" s="181" t="b">
        <f>COUNTIF(Discontinued!$A$1:$A$150,A372)&gt;0</f>
        <v>0</v>
      </c>
    </row>
    <row r="373" spans="1:21" s="8" customFormat="1" ht="11.25" x14ac:dyDescent="0.2">
      <c r="A373" s="152">
        <v>10081259</v>
      </c>
      <c r="B373" s="10" t="s">
        <v>2964</v>
      </c>
      <c r="C373" s="12" t="s">
        <v>2965</v>
      </c>
      <c r="D373" s="11" t="s">
        <v>2764</v>
      </c>
      <c r="E373" s="12" t="s">
        <v>757</v>
      </c>
      <c r="F373" s="13">
        <v>24</v>
      </c>
      <c r="G373" s="22">
        <f>Overview!$B$23</f>
        <v>36</v>
      </c>
      <c r="H373" s="114">
        <f t="shared" si="73"/>
        <v>36</v>
      </c>
      <c r="I373" s="114">
        <f>Overview!$E$23</f>
        <v>0</v>
      </c>
      <c r="J373" s="115">
        <f t="shared" si="74"/>
        <v>0</v>
      </c>
      <c r="K373" s="116">
        <f>Overview!$H$23</f>
        <v>0</v>
      </c>
      <c r="L373" s="117" t="e">
        <f t="shared" si="75"/>
        <v>#DIV/0!</v>
      </c>
      <c r="M373" s="179" t="s">
        <v>3499</v>
      </c>
      <c r="N373" s="179" t="s">
        <v>3372</v>
      </c>
      <c r="O373" s="141">
        <f>I373</f>
        <v>0</v>
      </c>
      <c r="P373" s="181" t="b">
        <f>COUNTIF('Facility Data'!$A$1:$A$1500,"*"&amp;A373&amp;"*")&gt;0</f>
        <v>0</v>
      </c>
      <c r="Q373" s="181" t="b">
        <f>COUNTIF('Account Data'!$A$1:$A$1000,"*"&amp;A373&amp;"*")&gt;0</f>
        <v>0</v>
      </c>
      <c r="R373" s="182" t="b">
        <f t="shared" si="77"/>
        <v>0</v>
      </c>
      <c r="S373" s="182" t="b">
        <f>IF(OR(Q373=TRUE,T373=TRUE),TRUE,FALSE)</f>
        <v>0</v>
      </c>
      <c r="T373" s="181" t="b">
        <f>COUNTIF('New Items'!$A$1:$A$175,A373)&gt;0</f>
        <v>0</v>
      </c>
      <c r="U373" s="181" t="b">
        <f>COUNTIF(Discontinued!$A$1:$A$150,A373)&gt;0</f>
        <v>0</v>
      </c>
    </row>
    <row r="374" spans="1:21" s="8" customFormat="1" ht="11.25" x14ac:dyDescent="0.2">
      <c r="A374" s="152">
        <v>10001128</v>
      </c>
      <c r="B374" s="10" t="s">
        <v>189</v>
      </c>
      <c r="C374" s="12" t="s">
        <v>190</v>
      </c>
      <c r="D374" s="11" t="s">
        <v>640</v>
      </c>
      <c r="E374" s="12" t="s">
        <v>757</v>
      </c>
      <c r="F374" s="13">
        <v>24</v>
      </c>
      <c r="G374" s="22">
        <f>Overview!$B$23</f>
        <v>36</v>
      </c>
      <c r="H374" s="114">
        <f t="shared" si="73"/>
        <v>36</v>
      </c>
      <c r="I374" s="114">
        <f>Overview!$E$23</f>
        <v>0</v>
      </c>
      <c r="J374" s="115">
        <f t="shared" si="74"/>
        <v>0</v>
      </c>
      <c r="K374" s="116">
        <f>Overview!$H$23</f>
        <v>0</v>
      </c>
      <c r="L374" s="117" t="e">
        <f t="shared" si="75"/>
        <v>#DIV/0!</v>
      </c>
      <c r="M374" s="179"/>
      <c r="N374" s="179" t="s">
        <v>3372</v>
      </c>
      <c r="O374" s="141">
        <f t="shared" ref="O374:O387" si="79">I374</f>
        <v>0</v>
      </c>
      <c r="P374" s="181" t="b">
        <f>COUNTIF('Facility Data'!$A$1:$A$1500,"*"&amp;A374&amp;"*")&gt;0</f>
        <v>1</v>
      </c>
      <c r="Q374" s="181" t="b">
        <f>COUNTIF('Account Data'!$A$1:$A$1000,"*"&amp;A374&amp;"*")&gt;0</f>
        <v>1</v>
      </c>
      <c r="R374" s="182" t="b">
        <f t="shared" si="77"/>
        <v>1</v>
      </c>
      <c r="S374" s="182" t="b">
        <f t="shared" ref="S374:S387" si="80">IF(OR(Q374=TRUE,T374=TRUE),TRUE,FALSE)</f>
        <v>1</v>
      </c>
      <c r="T374" s="181" t="b">
        <f>COUNTIF('New Items'!$A$1:$A$175,A374)&gt;0</f>
        <v>0</v>
      </c>
      <c r="U374" s="181" t="b">
        <f>COUNTIF(Discontinued!$A$1:$A$150,A374)&gt;0</f>
        <v>0</v>
      </c>
    </row>
    <row r="375" spans="1:21" s="8" customFormat="1" ht="11.25" x14ac:dyDescent="0.2">
      <c r="A375" s="152">
        <v>10126828</v>
      </c>
      <c r="B375" s="10" t="s">
        <v>3851</v>
      </c>
      <c r="C375" s="12" t="s">
        <v>190</v>
      </c>
      <c r="D375" s="11" t="s">
        <v>3852</v>
      </c>
      <c r="E375" s="12" t="s">
        <v>757</v>
      </c>
      <c r="F375" s="13">
        <v>24</v>
      </c>
      <c r="G375" s="22">
        <f>Overview!$B$23</f>
        <v>36</v>
      </c>
      <c r="H375" s="114">
        <f t="shared" si="73"/>
        <v>36</v>
      </c>
      <c r="I375" s="114">
        <f>Overview!$E$23</f>
        <v>0</v>
      </c>
      <c r="J375" s="115">
        <f t="shared" si="74"/>
        <v>0</v>
      </c>
      <c r="K375" s="116">
        <f>Overview!$H$23</f>
        <v>0</v>
      </c>
      <c r="L375" s="117" t="e">
        <f t="shared" si="75"/>
        <v>#DIV/0!</v>
      </c>
      <c r="M375" s="179"/>
      <c r="N375" s="179" t="s">
        <v>3372</v>
      </c>
      <c r="O375" s="141">
        <f t="shared" si="79"/>
        <v>0</v>
      </c>
      <c r="P375" s="181" t="b">
        <f>COUNTIF('Facility Data'!$A$1:$A$1500,"*"&amp;A375&amp;"*")&gt;0</f>
        <v>0</v>
      </c>
      <c r="Q375" s="181" t="b">
        <f>COUNTIF('Account Data'!$A$1:$A$1000,"*"&amp;A375&amp;"*")&gt;0</f>
        <v>0</v>
      </c>
      <c r="R375" s="182" t="b">
        <f t="shared" si="77"/>
        <v>0</v>
      </c>
      <c r="S375" s="182" t="b">
        <f t="shared" si="80"/>
        <v>0</v>
      </c>
      <c r="T375" s="181" t="b">
        <f>COUNTIF('New Items'!$A$1:$A$175,A375)&gt;0</f>
        <v>0</v>
      </c>
      <c r="U375" s="181" t="b">
        <f>COUNTIF(Discontinued!$A$1:$A$150,A375)&gt;0</f>
        <v>0</v>
      </c>
    </row>
    <row r="376" spans="1:21" s="8" customFormat="1" ht="11.25" x14ac:dyDescent="0.2">
      <c r="A376" s="152">
        <v>10100152</v>
      </c>
      <c r="B376" s="10" t="s">
        <v>2911</v>
      </c>
      <c r="C376" s="12" t="s">
        <v>190</v>
      </c>
      <c r="D376" s="11" t="s">
        <v>2914</v>
      </c>
      <c r="E376" s="12" t="s">
        <v>757</v>
      </c>
      <c r="F376" s="13">
        <v>24</v>
      </c>
      <c r="G376" s="22">
        <f>Overview!$B$23</f>
        <v>36</v>
      </c>
      <c r="H376" s="114">
        <f>G376-I376</f>
        <v>36</v>
      </c>
      <c r="I376" s="114">
        <f>Overview!$E$23</f>
        <v>0</v>
      </c>
      <c r="J376" s="115">
        <f>I376/F376</f>
        <v>0</v>
      </c>
      <c r="K376" s="116">
        <f>Overview!$H$23</f>
        <v>0</v>
      </c>
      <c r="L376" s="117" t="e">
        <f>(K376-J376)/K376</f>
        <v>#DIV/0!</v>
      </c>
      <c r="M376" s="179"/>
      <c r="N376" s="179" t="s">
        <v>3372</v>
      </c>
      <c r="O376" s="141">
        <f>I376</f>
        <v>0</v>
      </c>
      <c r="P376" s="181" t="b">
        <f>COUNTIF('Facility Data'!$A$1:$A$1500,"*"&amp;A376&amp;"*")&gt;0</f>
        <v>0</v>
      </c>
      <c r="Q376" s="181" t="b">
        <f>COUNTIF('Account Data'!$A$1:$A$1000,"*"&amp;A376&amp;"*")&gt;0</f>
        <v>0</v>
      </c>
      <c r="R376" s="182" t="b">
        <f t="shared" si="77"/>
        <v>0</v>
      </c>
      <c r="S376" s="182" t="b">
        <f>IF(OR(Q376=TRUE,T376=TRUE),TRUE,FALSE)</f>
        <v>0</v>
      </c>
      <c r="T376" s="181" t="b">
        <f>COUNTIF('New Items'!$A$1:$A$175,A376)&gt;0</f>
        <v>0</v>
      </c>
      <c r="U376" s="181" t="b">
        <f>COUNTIF(Discontinued!$A$1:$A$150,A376)&gt;0</f>
        <v>0</v>
      </c>
    </row>
    <row r="377" spans="1:21" s="8" customFormat="1" ht="11.25" x14ac:dyDescent="0.2">
      <c r="A377" s="152">
        <v>10128111</v>
      </c>
      <c r="B377" s="10" t="s">
        <v>3853</v>
      </c>
      <c r="C377" s="12" t="s">
        <v>190</v>
      </c>
      <c r="D377" s="11" t="s">
        <v>3854</v>
      </c>
      <c r="E377" s="12" t="s">
        <v>757</v>
      </c>
      <c r="F377" s="13">
        <v>24</v>
      </c>
      <c r="G377" s="22">
        <f>Overview!$B$23</f>
        <v>36</v>
      </c>
      <c r="H377" s="114">
        <f t="shared" si="73"/>
        <v>36</v>
      </c>
      <c r="I377" s="114">
        <f>Overview!$E$23</f>
        <v>0</v>
      </c>
      <c r="J377" s="115">
        <f t="shared" si="74"/>
        <v>0</v>
      </c>
      <c r="K377" s="116">
        <f>Overview!$H$23</f>
        <v>0</v>
      </c>
      <c r="L377" s="117" t="e">
        <f t="shared" si="75"/>
        <v>#DIV/0!</v>
      </c>
      <c r="M377" s="179"/>
      <c r="N377" s="179" t="s">
        <v>3372</v>
      </c>
      <c r="O377" s="141">
        <f t="shared" si="79"/>
        <v>0</v>
      </c>
      <c r="P377" s="181" t="b">
        <f>COUNTIF('Facility Data'!$A$1:$A$1500,"*"&amp;A377&amp;"*")&gt;0</f>
        <v>0</v>
      </c>
      <c r="Q377" s="181" t="b">
        <f>COUNTIF('Account Data'!$A$1:$A$1000,"*"&amp;A377&amp;"*")&gt;0</f>
        <v>0</v>
      </c>
      <c r="R377" s="182" t="b">
        <f t="shared" si="77"/>
        <v>0</v>
      </c>
      <c r="S377" s="182" t="b">
        <f t="shared" si="80"/>
        <v>0</v>
      </c>
      <c r="T377" s="181" t="b">
        <f>COUNTIF('New Items'!$A$1:$A$175,A377)&gt;0</f>
        <v>0</v>
      </c>
      <c r="U377" s="181" t="b">
        <f>COUNTIF(Discontinued!$A$1:$A$150,A377)&gt;0</f>
        <v>0</v>
      </c>
    </row>
    <row r="378" spans="1:21" s="8" customFormat="1" ht="11.25" x14ac:dyDescent="0.2">
      <c r="A378" s="152">
        <v>10001100</v>
      </c>
      <c r="B378" s="10" t="s">
        <v>1425</v>
      </c>
      <c r="C378" s="12" t="s">
        <v>1426</v>
      </c>
      <c r="D378" s="11" t="s">
        <v>662</v>
      </c>
      <c r="E378" s="12" t="s">
        <v>757</v>
      </c>
      <c r="F378" s="13">
        <v>24</v>
      </c>
      <c r="G378" s="22">
        <f>Overview!$B$23</f>
        <v>36</v>
      </c>
      <c r="H378" s="114">
        <f t="shared" si="73"/>
        <v>36</v>
      </c>
      <c r="I378" s="114">
        <f>Overview!$E$23</f>
        <v>0</v>
      </c>
      <c r="J378" s="115">
        <f t="shared" si="74"/>
        <v>0</v>
      </c>
      <c r="K378" s="116">
        <f>Overview!$H$23</f>
        <v>0</v>
      </c>
      <c r="L378" s="117" t="e">
        <f t="shared" si="75"/>
        <v>#DIV/0!</v>
      </c>
      <c r="M378" s="179"/>
      <c r="N378" s="179" t="s">
        <v>3372</v>
      </c>
      <c r="O378" s="141">
        <f t="shared" si="79"/>
        <v>0</v>
      </c>
      <c r="P378" s="181" t="b">
        <f>COUNTIF('Facility Data'!$A$1:$A$1500,"*"&amp;A378&amp;"*")&gt;0</f>
        <v>1</v>
      </c>
      <c r="Q378" s="181" t="b">
        <f>COUNTIF('Account Data'!$A$1:$A$1000,"*"&amp;A378&amp;"*")&gt;0</f>
        <v>0</v>
      </c>
      <c r="R378" s="182" t="b">
        <f t="shared" si="77"/>
        <v>1</v>
      </c>
      <c r="S378" s="182" t="b">
        <f t="shared" si="80"/>
        <v>0</v>
      </c>
      <c r="T378" s="181" t="b">
        <f>COUNTIF('New Items'!$A$1:$A$175,A378)&gt;0</f>
        <v>0</v>
      </c>
      <c r="U378" s="181" t="b">
        <f>COUNTIF(Discontinued!$A$1:$A$150,A378)&gt;0</f>
        <v>0</v>
      </c>
    </row>
    <row r="379" spans="1:21" s="8" customFormat="1" ht="11.25" x14ac:dyDescent="0.2">
      <c r="A379" s="152">
        <v>10100153</v>
      </c>
      <c r="B379" s="10" t="s">
        <v>2913</v>
      </c>
      <c r="C379" s="12" t="s">
        <v>1426</v>
      </c>
      <c r="D379" s="11" t="s">
        <v>2915</v>
      </c>
      <c r="E379" s="12" t="s">
        <v>757</v>
      </c>
      <c r="F379" s="13">
        <v>24</v>
      </c>
      <c r="G379" s="22">
        <f>Overview!$B$23</f>
        <v>36</v>
      </c>
      <c r="H379" s="114">
        <f t="shared" si="73"/>
        <v>36</v>
      </c>
      <c r="I379" s="114">
        <f>Overview!$E$23</f>
        <v>0</v>
      </c>
      <c r="J379" s="115">
        <f t="shared" si="74"/>
        <v>0</v>
      </c>
      <c r="K379" s="116">
        <f>Overview!$H$23</f>
        <v>0</v>
      </c>
      <c r="L379" s="117" t="e">
        <f t="shared" si="75"/>
        <v>#DIV/0!</v>
      </c>
      <c r="M379" s="179"/>
      <c r="N379" s="179" t="s">
        <v>3372</v>
      </c>
      <c r="O379" s="141">
        <f t="shared" si="79"/>
        <v>0</v>
      </c>
      <c r="P379" s="181" t="b">
        <f>COUNTIF('Facility Data'!$A$1:$A$1500,"*"&amp;A379&amp;"*")&gt;0</f>
        <v>0</v>
      </c>
      <c r="Q379" s="181" t="b">
        <f>COUNTIF('Account Data'!$A$1:$A$1000,"*"&amp;A379&amp;"*")&gt;0</f>
        <v>0</v>
      </c>
      <c r="R379" s="182" t="b">
        <f t="shared" si="77"/>
        <v>0</v>
      </c>
      <c r="S379" s="182" t="b">
        <f t="shared" si="80"/>
        <v>0</v>
      </c>
      <c r="T379" s="181" t="b">
        <f>COUNTIF('New Items'!$A$1:$A$175,A379)&gt;0</f>
        <v>0</v>
      </c>
      <c r="U379" s="181" t="b">
        <f>COUNTIF(Discontinued!$A$1:$A$150,A379)&gt;0</f>
        <v>0</v>
      </c>
    </row>
    <row r="380" spans="1:21" s="8" customFormat="1" ht="11.25" x14ac:dyDescent="0.2">
      <c r="A380" s="152">
        <v>10001141</v>
      </c>
      <c r="B380" s="10" t="s">
        <v>2440</v>
      </c>
      <c r="C380" s="12" t="s">
        <v>2441</v>
      </c>
      <c r="D380" s="11" t="s">
        <v>2442</v>
      </c>
      <c r="E380" s="12" t="s">
        <v>757</v>
      </c>
      <c r="F380" s="13">
        <v>24</v>
      </c>
      <c r="G380" s="22">
        <f>Overview!$B$23</f>
        <v>36</v>
      </c>
      <c r="H380" s="114">
        <f t="shared" si="73"/>
        <v>36</v>
      </c>
      <c r="I380" s="114">
        <f>Overview!$E$23</f>
        <v>0</v>
      </c>
      <c r="J380" s="115">
        <f t="shared" si="74"/>
        <v>0</v>
      </c>
      <c r="K380" s="116">
        <f>Overview!$H$23</f>
        <v>0</v>
      </c>
      <c r="L380" s="117" t="e">
        <f t="shared" si="75"/>
        <v>#DIV/0!</v>
      </c>
      <c r="M380" s="179"/>
      <c r="N380" s="179" t="s">
        <v>3372</v>
      </c>
      <c r="O380" s="141">
        <f t="shared" si="79"/>
        <v>0</v>
      </c>
      <c r="P380" s="181" t="b">
        <f>COUNTIF('Facility Data'!$A$1:$A$1500,"*"&amp;A380&amp;"*")&gt;0</f>
        <v>0</v>
      </c>
      <c r="Q380" s="181" t="b">
        <f>COUNTIF('Account Data'!$A$1:$A$1000,"*"&amp;A380&amp;"*")&gt;0</f>
        <v>0</v>
      </c>
      <c r="R380" s="182" t="b">
        <f t="shared" si="77"/>
        <v>0</v>
      </c>
      <c r="S380" s="182" t="b">
        <f t="shared" si="80"/>
        <v>0</v>
      </c>
      <c r="T380" s="181" t="b">
        <f>COUNTIF('New Items'!$A$1:$A$175,A380)&gt;0</f>
        <v>0</v>
      </c>
      <c r="U380" s="181" t="b">
        <f>COUNTIF(Discontinued!$A$1:$A$150,A380)&gt;0</f>
        <v>0</v>
      </c>
    </row>
    <row r="381" spans="1:21" s="8" customFormat="1" ht="11.25" x14ac:dyDescent="0.2">
      <c r="A381" s="152">
        <v>10000042</v>
      </c>
      <c r="B381" s="10" t="s">
        <v>1300</v>
      </c>
      <c r="C381" s="12" t="s">
        <v>1301</v>
      </c>
      <c r="D381" s="11" t="s">
        <v>1299</v>
      </c>
      <c r="E381" s="12" t="s">
        <v>757</v>
      </c>
      <c r="F381" s="13">
        <v>24</v>
      </c>
      <c r="G381" s="22">
        <f>Overview!$B$23</f>
        <v>36</v>
      </c>
      <c r="H381" s="114">
        <f t="shared" si="73"/>
        <v>36</v>
      </c>
      <c r="I381" s="114">
        <f>Overview!$E$23</f>
        <v>0</v>
      </c>
      <c r="J381" s="115">
        <f t="shared" si="74"/>
        <v>0</v>
      </c>
      <c r="K381" s="116">
        <f>Overview!$H$23</f>
        <v>0</v>
      </c>
      <c r="L381" s="117" t="e">
        <f t="shared" si="75"/>
        <v>#DIV/0!</v>
      </c>
      <c r="M381" s="179"/>
      <c r="N381" s="179" t="s">
        <v>3372</v>
      </c>
      <c r="O381" s="141">
        <f t="shared" si="79"/>
        <v>0</v>
      </c>
      <c r="P381" s="181" t="b">
        <f>COUNTIF('Facility Data'!$A$1:$A$1500,"*"&amp;A381&amp;"*")&gt;0</f>
        <v>1</v>
      </c>
      <c r="Q381" s="181" t="b">
        <f>COUNTIF('Account Data'!$A$1:$A$1000,"*"&amp;A381&amp;"*")&gt;0</f>
        <v>0</v>
      </c>
      <c r="R381" s="182" t="b">
        <f t="shared" si="77"/>
        <v>1</v>
      </c>
      <c r="S381" s="182" t="b">
        <f t="shared" si="80"/>
        <v>0</v>
      </c>
      <c r="T381" s="181" t="b">
        <f>COUNTIF('New Items'!$A$1:$A$175,A381)&gt;0</f>
        <v>0</v>
      </c>
      <c r="U381" s="181" t="b">
        <f>COUNTIF(Discontinued!$A$1:$A$150,A381)&gt;0</f>
        <v>0</v>
      </c>
    </row>
    <row r="382" spans="1:21" s="8" customFormat="1" ht="11.25" x14ac:dyDescent="0.2">
      <c r="A382" s="152">
        <v>10100151</v>
      </c>
      <c r="B382" s="10" t="s">
        <v>2912</v>
      </c>
      <c r="C382" s="12" t="s">
        <v>1301</v>
      </c>
      <c r="D382" s="11" t="s">
        <v>2916</v>
      </c>
      <c r="E382" s="12" t="s">
        <v>757</v>
      </c>
      <c r="F382" s="13">
        <v>24</v>
      </c>
      <c r="G382" s="22">
        <f>Overview!$B$23</f>
        <v>36</v>
      </c>
      <c r="H382" s="114">
        <f>G382-I382</f>
        <v>36</v>
      </c>
      <c r="I382" s="114">
        <f>Overview!$E$23</f>
        <v>0</v>
      </c>
      <c r="J382" s="115">
        <f>I382/F382</f>
        <v>0</v>
      </c>
      <c r="K382" s="116">
        <f>Overview!$H$23</f>
        <v>0</v>
      </c>
      <c r="L382" s="117" t="e">
        <f>(K382-J382)/K382</f>
        <v>#DIV/0!</v>
      </c>
      <c r="M382" s="179"/>
      <c r="N382" s="179" t="s">
        <v>3372</v>
      </c>
      <c r="O382" s="141">
        <f>I382</f>
        <v>0</v>
      </c>
      <c r="P382" s="181" t="b">
        <f>COUNTIF('Facility Data'!$A$1:$A$1500,"*"&amp;A382&amp;"*")&gt;0</f>
        <v>0</v>
      </c>
      <c r="Q382" s="181" t="b">
        <f>COUNTIF('Account Data'!$A$1:$A$1000,"*"&amp;A382&amp;"*")&gt;0</f>
        <v>0</v>
      </c>
      <c r="R382" s="182" t="b">
        <f t="shared" si="77"/>
        <v>0</v>
      </c>
      <c r="S382" s="182" t="b">
        <f>IF(OR(Q382=TRUE,T382=TRUE),TRUE,FALSE)</f>
        <v>0</v>
      </c>
      <c r="T382" s="181" t="b">
        <f>COUNTIF('New Items'!$A$1:$A$175,A382)&gt;0</f>
        <v>0</v>
      </c>
      <c r="U382" s="181" t="b">
        <f>COUNTIF(Discontinued!$A$1:$A$150,A382)&gt;0</f>
        <v>0</v>
      </c>
    </row>
    <row r="383" spans="1:21" s="8" customFormat="1" ht="11.25" x14ac:dyDescent="0.2">
      <c r="A383" s="152">
        <v>10128112</v>
      </c>
      <c r="B383" s="10" t="s">
        <v>3855</v>
      </c>
      <c r="C383" s="12" t="s">
        <v>1301</v>
      </c>
      <c r="D383" s="11" t="s">
        <v>3856</v>
      </c>
      <c r="E383" s="12" t="s">
        <v>757</v>
      </c>
      <c r="F383" s="13">
        <v>24</v>
      </c>
      <c r="G383" s="22">
        <f>Overview!$B$23</f>
        <v>36</v>
      </c>
      <c r="H383" s="114">
        <f t="shared" si="73"/>
        <v>36</v>
      </c>
      <c r="I383" s="114">
        <f>Overview!$E$23</f>
        <v>0</v>
      </c>
      <c r="J383" s="115">
        <f t="shared" si="74"/>
        <v>0</v>
      </c>
      <c r="K383" s="116">
        <f>Overview!$H$23</f>
        <v>0</v>
      </c>
      <c r="L383" s="117" t="e">
        <f t="shared" si="75"/>
        <v>#DIV/0!</v>
      </c>
      <c r="M383" s="179"/>
      <c r="N383" s="179" t="s">
        <v>3372</v>
      </c>
      <c r="O383" s="141">
        <f t="shared" si="79"/>
        <v>0</v>
      </c>
      <c r="P383" s="181" t="b">
        <f>COUNTIF('Facility Data'!$A$1:$A$1500,"*"&amp;A383&amp;"*")&gt;0</f>
        <v>0</v>
      </c>
      <c r="Q383" s="181" t="b">
        <f>COUNTIF('Account Data'!$A$1:$A$1000,"*"&amp;A383&amp;"*")&gt;0</f>
        <v>0</v>
      </c>
      <c r="R383" s="182" t="b">
        <f t="shared" si="77"/>
        <v>0</v>
      </c>
      <c r="S383" s="182" t="b">
        <f t="shared" si="80"/>
        <v>0</v>
      </c>
      <c r="T383" s="181" t="b">
        <f>COUNTIF('New Items'!$A$1:$A$175,A383)&gt;0</f>
        <v>0</v>
      </c>
      <c r="U383" s="181" t="b">
        <f>COUNTIF(Discontinued!$A$1:$A$150,A383)&gt;0</f>
        <v>0</v>
      </c>
    </row>
    <row r="384" spans="1:21" s="8" customFormat="1" ht="11.25" x14ac:dyDescent="0.2">
      <c r="A384" s="152">
        <v>10001136</v>
      </c>
      <c r="B384" s="10" t="s">
        <v>1427</v>
      </c>
      <c r="C384" s="12" t="s">
        <v>1428</v>
      </c>
      <c r="D384" s="11" t="s">
        <v>1386</v>
      </c>
      <c r="E384" s="12" t="s">
        <v>757</v>
      </c>
      <c r="F384" s="13">
        <v>24</v>
      </c>
      <c r="G384" s="22">
        <f>Overview!$B$23</f>
        <v>36</v>
      </c>
      <c r="H384" s="114">
        <f t="shared" si="73"/>
        <v>36</v>
      </c>
      <c r="I384" s="114">
        <f>Overview!$E$23</f>
        <v>0</v>
      </c>
      <c r="J384" s="115">
        <f t="shared" si="74"/>
        <v>0</v>
      </c>
      <c r="K384" s="116">
        <f>Overview!$H$23</f>
        <v>0</v>
      </c>
      <c r="L384" s="117" t="e">
        <f t="shared" si="75"/>
        <v>#DIV/0!</v>
      </c>
      <c r="M384" s="179"/>
      <c r="N384" s="179" t="s">
        <v>3372</v>
      </c>
      <c r="O384" s="141">
        <f t="shared" si="79"/>
        <v>0</v>
      </c>
      <c r="P384" s="181" t="b">
        <f>COUNTIF('Facility Data'!$A$1:$A$1500,"*"&amp;A384&amp;"*")&gt;0</f>
        <v>1</v>
      </c>
      <c r="Q384" s="181" t="b">
        <f>COUNTIF('Account Data'!$A$1:$A$1000,"*"&amp;A384&amp;"*")&gt;0</f>
        <v>0</v>
      </c>
      <c r="R384" s="182" t="b">
        <f t="shared" si="77"/>
        <v>1</v>
      </c>
      <c r="S384" s="182" t="b">
        <f t="shared" si="80"/>
        <v>0</v>
      </c>
      <c r="T384" s="181" t="b">
        <f>COUNTIF('New Items'!$A$1:$A$175,A384)&gt;0</f>
        <v>0</v>
      </c>
      <c r="U384" s="181" t="b">
        <f>COUNTIF(Discontinued!$A$1:$A$150,A384)&gt;0</f>
        <v>0</v>
      </c>
    </row>
    <row r="385" spans="1:21" s="8" customFormat="1" ht="11.25" x14ac:dyDescent="0.2">
      <c r="A385" s="152">
        <v>10001142</v>
      </c>
      <c r="B385" s="10" t="s">
        <v>1429</v>
      </c>
      <c r="C385" s="12" t="s">
        <v>1430</v>
      </c>
      <c r="D385" s="11" t="s">
        <v>1387</v>
      </c>
      <c r="E385" s="12" t="s">
        <v>757</v>
      </c>
      <c r="F385" s="13">
        <v>24</v>
      </c>
      <c r="G385" s="22">
        <f>Overview!$B$23</f>
        <v>36</v>
      </c>
      <c r="H385" s="114">
        <f t="shared" si="73"/>
        <v>36</v>
      </c>
      <c r="I385" s="114">
        <f>Overview!$E$23</f>
        <v>0</v>
      </c>
      <c r="J385" s="115">
        <f t="shared" si="74"/>
        <v>0</v>
      </c>
      <c r="K385" s="116">
        <f>Overview!$H$23</f>
        <v>0</v>
      </c>
      <c r="L385" s="117" t="e">
        <f t="shared" si="75"/>
        <v>#DIV/0!</v>
      </c>
      <c r="M385" s="179"/>
      <c r="N385" s="179" t="s">
        <v>3372</v>
      </c>
      <c r="O385" s="141">
        <f t="shared" si="79"/>
        <v>0</v>
      </c>
      <c r="P385" s="181" t="b">
        <f>COUNTIF('Facility Data'!$A$1:$A$1500,"*"&amp;A385&amp;"*")&gt;0</f>
        <v>1</v>
      </c>
      <c r="Q385" s="181" t="b">
        <f>COUNTIF('Account Data'!$A$1:$A$1000,"*"&amp;A385&amp;"*")&gt;0</f>
        <v>0</v>
      </c>
      <c r="R385" s="182" t="b">
        <f t="shared" si="77"/>
        <v>1</v>
      </c>
      <c r="S385" s="182" t="b">
        <f t="shared" si="80"/>
        <v>0</v>
      </c>
      <c r="T385" s="181" t="b">
        <f>COUNTIF('New Items'!$A$1:$A$175,A385)&gt;0</f>
        <v>0</v>
      </c>
      <c r="U385" s="181" t="b">
        <f>COUNTIF(Discontinued!$A$1:$A$150,A385)&gt;0</f>
        <v>0</v>
      </c>
    </row>
    <row r="386" spans="1:21" s="8" customFormat="1" ht="11.25" x14ac:dyDescent="0.2">
      <c r="A386" s="152">
        <v>10000039</v>
      </c>
      <c r="B386" s="10" t="s">
        <v>1302</v>
      </c>
      <c r="C386" s="12" t="s">
        <v>1303</v>
      </c>
      <c r="D386" s="11" t="s">
        <v>1272</v>
      </c>
      <c r="E386" s="12" t="s">
        <v>757</v>
      </c>
      <c r="F386" s="13">
        <v>24</v>
      </c>
      <c r="G386" s="22">
        <f>Overview!$B$23</f>
        <v>36</v>
      </c>
      <c r="H386" s="114">
        <f t="shared" si="73"/>
        <v>36</v>
      </c>
      <c r="I386" s="114">
        <f>Overview!$E$23</f>
        <v>0</v>
      </c>
      <c r="J386" s="115">
        <f t="shared" si="74"/>
        <v>0</v>
      </c>
      <c r="K386" s="116">
        <f>Overview!$H$23</f>
        <v>0</v>
      </c>
      <c r="L386" s="117" t="e">
        <f t="shared" si="75"/>
        <v>#DIV/0!</v>
      </c>
      <c r="M386" s="179"/>
      <c r="N386" s="179" t="s">
        <v>3372</v>
      </c>
      <c r="O386" s="141">
        <f t="shared" si="79"/>
        <v>0</v>
      </c>
      <c r="P386" s="181" t="b">
        <f>COUNTIF('Facility Data'!$A$1:$A$1500,"*"&amp;A386&amp;"*")&gt;0</f>
        <v>0</v>
      </c>
      <c r="Q386" s="181" t="b">
        <f>COUNTIF('Account Data'!$A$1:$A$1000,"*"&amp;A386&amp;"*")&gt;0</f>
        <v>0</v>
      </c>
      <c r="R386" s="182" t="b">
        <f t="shared" si="77"/>
        <v>0</v>
      </c>
      <c r="S386" s="182" t="b">
        <f t="shared" si="80"/>
        <v>0</v>
      </c>
      <c r="T386" s="181" t="b">
        <f>COUNTIF('New Items'!$A$1:$A$175,A386)&gt;0</f>
        <v>0</v>
      </c>
      <c r="U386" s="181" t="b">
        <f>COUNTIF(Discontinued!$A$1:$A$150,A386)&gt;0</f>
        <v>0</v>
      </c>
    </row>
    <row r="387" spans="1:21" s="8" customFormat="1" ht="12" thickBot="1" x14ac:dyDescent="0.25">
      <c r="A387" s="152">
        <v>10001111</v>
      </c>
      <c r="B387" s="10" t="s">
        <v>191</v>
      </c>
      <c r="C387" s="12" t="s">
        <v>192</v>
      </c>
      <c r="D387" s="11" t="s">
        <v>660</v>
      </c>
      <c r="E387" s="12" t="s">
        <v>757</v>
      </c>
      <c r="F387" s="13">
        <v>24</v>
      </c>
      <c r="G387" s="22">
        <f>Overview!$B$23</f>
        <v>36</v>
      </c>
      <c r="H387" s="114">
        <f t="shared" si="73"/>
        <v>36</v>
      </c>
      <c r="I387" s="114">
        <f>Overview!$E$23</f>
        <v>0</v>
      </c>
      <c r="J387" s="115">
        <f t="shared" si="74"/>
        <v>0</v>
      </c>
      <c r="K387" s="116">
        <f>Overview!$H$23</f>
        <v>0</v>
      </c>
      <c r="L387" s="117" t="e">
        <f t="shared" si="75"/>
        <v>#DIV/0!</v>
      </c>
      <c r="M387" s="179"/>
      <c r="N387" s="179" t="s">
        <v>3372</v>
      </c>
      <c r="O387" s="141">
        <f t="shared" si="79"/>
        <v>0</v>
      </c>
      <c r="P387" s="181" t="b">
        <f>COUNTIF('Facility Data'!$A$1:$A$1500,"*"&amp;A387&amp;"*")&gt;0</f>
        <v>1</v>
      </c>
      <c r="Q387" s="181" t="b">
        <f>COUNTIF('Account Data'!$A$1:$A$1000,"*"&amp;A387&amp;"*")&gt;0</f>
        <v>1</v>
      </c>
      <c r="R387" s="182" t="b">
        <f t="shared" si="77"/>
        <v>1</v>
      </c>
      <c r="S387" s="182" t="b">
        <f t="shared" si="80"/>
        <v>1</v>
      </c>
      <c r="T387" s="181" t="b">
        <f>COUNTIF('New Items'!$A$1:$A$175,A387)&gt;0</f>
        <v>0</v>
      </c>
      <c r="U387" s="181" t="b">
        <f>COUNTIF(Discontinued!$A$1:$A$150,A387)&gt;0</f>
        <v>0</v>
      </c>
    </row>
    <row r="388" spans="1:21" s="8" customFormat="1" ht="13.5" thickBot="1" x14ac:dyDescent="0.25">
      <c r="A388" s="300" t="s">
        <v>4089</v>
      </c>
      <c r="B388" s="301"/>
      <c r="C388" s="301"/>
      <c r="D388" s="301"/>
      <c r="E388" s="301"/>
      <c r="F388" s="301"/>
      <c r="G388" s="301"/>
      <c r="H388" s="301"/>
      <c r="I388" s="301"/>
      <c r="J388" s="301"/>
      <c r="K388" s="301"/>
      <c r="L388" s="302"/>
      <c r="M388" s="179" t="s">
        <v>4361</v>
      </c>
      <c r="N388" s="179" t="s">
        <v>4114</v>
      </c>
      <c r="O388" s="141">
        <f>AVERAGE(O389:O410)</f>
        <v>0</v>
      </c>
      <c r="P388" s="181" t="b">
        <f>COUNTIF(P389:P410,TRUE)&gt;0</f>
        <v>0</v>
      </c>
      <c r="Q388" s="181" t="b">
        <f>COUNTIF(Q389:Q410,TRUE)&gt;0</f>
        <v>0</v>
      </c>
      <c r="R388" s="181" t="b">
        <f>COUNTIF(R389:R410,TRUE)&gt;0</f>
        <v>0</v>
      </c>
      <c r="S388" s="181" t="b">
        <f>COUNTIF(S389:S410,TRUE)&gt;0</f>
        <v>0</v>
      </c>
      <c r="T388" s="181" t="b">
        <f>COUNTIF(T389:T410,TRUE)&gt;0</f>
        <v>0</v>
      </c>
      <c r="U388" s="181"/>
    </row>
    <row r="389" spans="1:21" s="8" customFormat="1" ht="11.25" x14ac:dyDescent="0.2">
      <c r="A389" s="152">
        <v>10001854</v>
      </c>
      <c r="B389" s="10" t="s">
        <v>2729</v>
      </c>
      <c r="C389" s="12" t="s">
        <v>4091</v>
      </c>
      <c r="D389" s="11" t="s">
        <v>643</v>
      </c>
      <c r="E389" s="12" t="s">
        <v>757</v>
      </c>
      <c r="F389" s="13">
        <v>24</v>
      </c>
      <c r="G389" s="22">
        <f>Overview!$B$24</f>
        <v>36</v>
      </c>
      <c r="H389" s="114">
        <f t="shared" ref="H389:H410" si="81">G389-I389</f>
        <v>36</v>
      </c>
      <c r="I389" s="114">
        <f>Overview!$E$24</f>
        <v>0</v>
      </c>
      <c r="J389" s="115">
        <f t="shared" ref="J389:J410" si="82">I389/F389</f>
        <v>0</v>
      </c>
      <c r="K389" s="116">
        <f>Overview!$H$24</f>
        <v>0</v>
      </c>
      <c r="L389" s="117" t="e">
        <f t="shared" ref="L389:L410" si="83">(K389-J389)/K389</f>
        <v>#DIV/0!</v>
      </c>
      <c r="M389" s="179"/>
      <c r="N389" s="179" t="s">
        <v>4114</v>
      </c>
      <c r="O389" s="141">
        <f t="shared" ref="O389:O404" si="84">I389</f>
        <v>0</v>
      </c>
      <c r="P389" s="181" t="b">
        <f>COUNTIF('Facility Data'!$A$1:$A$1500,"*"&amp;A389&amp;"*")&gt;0</f>
        <v>0</v>
      </c>
      <c r="Q389" s="181" t="b">
        <f>COUNTIF('Account Data'!$A$1:$A$1000,"*"&amp;A389&amp;"*")&gt;0</f>
        <v>0</v>
      </c>
      <c r="R389" s="182" t="b">
        <f t="shared" ref="R389:R410" si="85">IF(OR(P389=TRUE,T389=TRUE),TRUE,FALSE)</f>
        <v>0</v>
      </c>
      <c r="S389" s="182" t="b">
        <f t="shared" ref="S389:S404" si="86">IF(OR(Q389=TRUE,T389=TRUE),TRUE,FALSE)</f>
        <v>0</v>
      </c>
      <c r="T389" s="181" t="b">
        <f>COUNTIF('New Items'!$A$1:$A$175,A389)&gt;0</f>
        <v>0</v>
      </c>
      <c r="U389" s="181" t="b">
        <f>COUNTIF(Discontinued!$A$1:$A$150,A389)&gt;0</f>
        <v>0</v>
      </c>
    </row>
    <row r="390" spans="1:21" s="8" customFormat="1" ht="11.25" x14ac:dyDescent="0.2">
      <c r="A390" s="152">
        <v>10001858</v>
      </c>
      <c r="B390" s="10" t="s">
        <v>4805</v>
      </c>
      <c r="C390" s="12" t="s">
        <v>4092</v>
      </c>
      <c r="D390" s="11" t="s">
        <v>4733</v>
      </c>
      <c r="E390" s="12" t="s">
        <v>757</v>
      </c>
      <c r="F390" s="13">
        <v>24</v>
      </c>
      <c r="G390" s="22">
        <f>Overview!$B$24</f>
        <v>36</v>
      </c>
      <c r="H390" s="114">
        <f t="shared" si="81"/>
        <v>36</v>
      </c>
      <c r="I390" s="114">
        <f>Overview!$E$24</f>
        <v>0</v>
      </c>
      <c r="J390" s="115">
        <f t="shared" si="82"/>
        <v>0</v>
      </c>
      <c r="K390" s="116">
        <f>Overview!$H$24</f>
        <v>0</v>
      </c>
      <c r="L390" s="117" t="e">
        <f t="shared" si="83"/>
        <v>#DIV/0!</v>
      </c>
      <c r="M390" s="179"/>
      <c r="N390" s="179" t="s">
        <v>4114</v>
      </c>
      <c r="O390" s="141">
        <f t="shared" si="84"/>
        <v>0</v>
      </c>
      <c r="P390" s="181" t="b">
        <f>COUNTIF('Facility Data'!$A$1:$A$1500,"*"&amp;A390&amp;"*")&gt;0</f>
        <v>0</v>
      </c>
      <c r="Q390" s="181" t="b">
        <f>COUNTIF('Account Data'!$A$1:$A$1000,"*"&amp;A390&amp;"*")&gt;0</f>
        <v>0</v>
      </c>
      <c r="R390" s="182" t="b">
        <f t="shared" si="85"/>
        <v>0</v>
      </c>
      <c r="S390" s="182" t="b">
        <f t="shared" si="86"/>
        <v>0</v>
      </c>
      <c r="T390" s="181" t="b">
        <f>COUNTIF('New Items'!$A$1:$A$175,A390)&gt;0</f>
        <v>0</v>
      </c>
      <c r="U390" s="181" t="b">
        <f>COUNTIF(Discontinued!$A$1:$A$150,A390)&gt;0</f>
        <v>0</v>
      </c>
    </row>
    <row r="391" spans="1:21" s="8" customFormat="1" ht="11.25" x14ac:dyDescent="0.2">
      <c r="A391" s="152">
        <v>10001855</v>
      </c>
      <c r="B391" s="10" t="s">
        <v>2731</v>
      </c>
      <c r="C391" s="12" t="s">
        <v>4093</v>
      </c>
      <c r="D391" s="11" t="s">
        <v>633</v>
      </c>
      <c r="E391" s="12" t="s">
        <v>757</v>
      </c>
      <c r="F391" s="13">
        <v>24</v>
      </c>
      <c r="G391" s="22">
        <f>Overview!$B$24</f>
        <v>36</v>
      </c>
      <c r="H391" s="114">
        <f t="shared" si="81"/>
        <v>36</v>
      </c>
      <c r="I391" s="114">
        <f>Overview!$E$24</f>
        <v>0</v>
      </c>
      <c r="J391" s="115">
        <f t="shared" si="82"/>
        <v>0</v>
      </c>
      <c r="K391" s="116">
        <f>Overview!$H$24</f>
        <v>0</v>
      </c>
      <c r="L391" s="117" t="e">
        <f t="shared" si="83"/>
        <v>#DIV/0!</v>
      </c>
      <c r="M391" s="179"/>
      <c r="N391" s="179" t="s">
        <v>4114</v>
      </c>
      <c r="O391" s="141">
        <f t="shared" si="84"/>
        <v>0</v>
      </c>
      <c r="P391" s="181" t="b">
        <f>COUNTIF('Facility Data'!$A$1:$A$1500,"*"&amp;A391&amp;"*")&gt;0</f>
        <v>0</v>
      </c>
      <c r="Q391" s="181" t="b">
        <f>COUNTIF('Account Data'!$A$1:$A$1000,"*"&amp;A391&amp;"*")&gt;0</f>
        <v>0</v>
      </c>
      <c r="R391" s="182" t="b">
        <f t="shared" si="85"/>
        <v>0</v>
      </c>
      <c r="S391" s="182" t="b">
        <f t="shared" si="86"/>
        <v>0</v>
      </c>
      <c r="T391" s="181" t="b">
        <f>COUNTIF('New Items'!$A$1:$A$175,A391)&gt;0</f>
        <v>0</v>
      </c>
      <c r="U391" s="181" t="b">
        <f>COUNTIF(Discontinued!$A$1:$A$150,A391)&gt;0</f>
        <v>0</v>
      </c>
    </row>
    <row r="392" spans="1:21" s="8" customFormat="1" ht="11.25" x14ac:dyDescent="0.2">
      <c r="A392" s="152">
        <v>10001881</v>
      </c>
      <c r="B392" s="10" t="s">
        <v>2732</v>
      </c>
      <c r="C392" s="12" t="s">
        <v>4094</v>
      </c>
      <c r="D392" s="11" t="s">
        <v>645</v>
      </c>
      <c r="E392" s="12" t="s">
        <v>757</v>
      </c>
      <c r="F392" s="13">
        <v>24</v>
      </c>
      <c r="G392" s="22">
        <f>Overview!$B$24</f>
        <v>36</v>
      </c>
      <c r="H392" s="114">
        <f t="shared" si="81"/>
        <v>36</v>
      </c>
      <c r="I392" s="114">
        <f>Overview!$E$24</f>
        <v>0</v>
      </c>
      <c r="J392" s="115">
        <f t="shared" si="82"/>
        <v>0</v>
      </c>
      <c r="K392" s="116">
        <f>Overview!$H$24</f>
        <v>0</v>
      </c>
      <c r="L392" s="117" t="e">
        <f t="shared" si="83"/>
        <v>#DIV/0!</v>
      </c>
      <c r="M392" s="179" t="s">
        <v>4406</v>
      </c>
      <c r="N392" s="179" t="s">
        <v>4114</v>
      </c>
      <c r="O392" s="141">
        <f t="shared" si="84"/>
        <v>0</v>
      </c>
      <c r="P392" s="181" t="b">
        <f>COUNTIF('Facility Data'!$A$1:$A$1500,"*"&amp;A392&amp;"*")&gt;0</f>
        <v>0</v>
      </c>
      <c r="Q392" s="181" t="b">
        <f>COUNTIF('Account Data'!$A$1:$A$1000,"*"&amp;A392&amp;"*")&gt;0</f>
        <v>0</v>
      </c>
      <c r="R392" s="182" t="b">
        <f t="shared" si="85"/>
        <v>0</v>
      </c>
      <c r="S392" s="182" t="b">
        <f t="shared" si="86"/>
        <v>0</v>
      </c>
      <c r="T392" s="181" t="b">
        <f>COUNTIF('New Items'!$A$1:$A$175,A392)&gt;0</f>
        <v>0</v>
      </c>
      <c r="U392" s="181" t="b">
        <f>COUNTIF(Discontinued!$A$1:$A$150,A392)&gt;0</f>
        <v>0</v>
      </c>
    </row>
    <row r="393" spans="1:21" s="8" customFormat="1" ht="11.25" x14ac:dyDescent="0.2">
      <c r="A393" s="152">
        <v>10001882</v>
      </c>
      <c r="B393" s="10" t="s">
        <v>4806</v>
      </c>
      <c r="C393" s="12" t="s">
        <v>4095</v>
      </c>
      <c r="D393" s="11" t="s">
        <v>4735</v>
      </c>
      <c r="E393" s="12" t="s">
        <v>757</v>
      </c>
      <c r="F393" s="13">
        <v>24</v>
      </c>
      <c r="G393" s="22">
        <f>Overview!$B$24</f>
        <v>36</v>
      </c>
      <c r="H393" s="114">
        <f t="shared" si="81"/>
        <v>36</v>
      </c>
      <c r="I393" s="114">
        <f>Overview!$E$24</f>
        <v>0</v>
      </c>
      <c r="J393" s="115">
        <f t="shared" si="82"/>
        <v>0</v>
      </c>
      <c r="K393" s="116">
        <f>Overview!$H$24</f>
        <v>0</v>
      </c>
      <c r="L393" s="117" t="e">
        <f t="shared" si="83"/>
        <v>#DIV/0!</v>
      </c>
      <c r="M393" s="179" t="s">
        <v>4406</v>
      </c>
      <c r="N393" s="179" t="s">
        <v>4114</v>
      </c>
      <c r="O393" s="141">
        <f t="shared" si="84"/>
        <v>0</v>
      </c>
      <c r="P393" s="181" t="b">
        <f>COUNTIF('Facility Data'!$A$1:$A$1500,"*"&amp;A393&amp;"*")&gt;0</f>
        <v>0</v>
      </c>
      <c r="Q393" s="181" t="b">
        <f>COUNTIF('Account Data'!$A$1:$A$1000,"*"&amp;A393&amp;"*")&gt;0</f>
        <v>0</v>
      </c>
      <c r="R393" s="182" t="b">
        <f t="shared" si="85"/>
        <v>0</v>
      </c>
      <c r="S393" s="182" t="b">
        <f t="shared" si="86"/>
        <v>0</v>
      </c>
      <c r="T393" s="181" t="b">
        <f>COUNTIF('New Items'!$A$1:$A$175,A393)&gt;0</f>
        <v>0</v>
      </c>
      <c r="U393" s="181" t="b">
        <f>COUNTIF(Discontinued!$A$1:$A$150,A393)&gt;0</f>
        <v>0</v>
      </c>
    </row>
    <row r="394" spans="1:21" s="8" customFormat="1" ht="11.25" x14ac:dyDescent="0.2">
      <c r="A394" s="152">
        <v>10001880</v>
      </c>
      <c r="B394" s="10" t="s">
        <v>2734</v>
      </c>
      <c r="C394" s="12" t="s">
        <v>4096</v>
      </c>
      <c r="D394" s="11" t="s">
        <v>646</v>
      </c>
      <c r="E394" s="12" t="s">
        <v>757</v>
      </c>
      <c r="F394" s="13">
        <v>24</v>
      </c>
      <c r="G394" s="22">
        <f>Overview!$B$24</f>
        <v>36</v>
      </c>
      <c r="H394" s="114">
        <f t="shared" si="81"/>
        <v>36</v>
      </c>
      <c r="I394" s="114">
        <f>Overview!$E$24</f>
        <v>0</v>
      </c>
      <c r="J394" s="115">
        <f t="shared" si="82"/>
        <v>0</v>
      </c>
      <c r="K394" s="116">
        <f>Overview!$H$24</f>
        <v>0</v>
      </c>
      <c r="L394" s="117" t="e">
        <f t="shared" si="83"/>
        <v>#DIV/0!</v>
      </c>
      <c r="M394" s="179" t="s">
        <v>4406</v>
      </c>
      <c r="N394" s="179" t="s">
        <v>4114</v>
      </c>
      <c r="O394" s="141">
        <f t="shared" si="84"/>
        <v>0</v>
      </c>
      <c r="P394" s="181" t="b">
        <f>COUNTIF('Facility Data'!$A$1:$A$1500,"*"&amp;A394&amp;"*")&gt;0</f>
        <v>0</v>
      </c>
      <c r="Q394" s="181" t="b">
        <f>COUNTIF('Account Data'!$A$1:$A$1000,"*"&amp;A394&amp;"*")&gt;0</f>
        <v>0</v>
      </c>
      <c r="R394" s="182" t="b">
        <f t="shared" si="85"/>
        <v>0</v>
      </c>
      <c r="S394" s="182" t="b">
        <f t="shared" si="86"/>
        <v>0</v>
      </c>
      <c r="T394" s="181" t="b">
        <f>COUNTIF('New Items'!$A$1:$A$175,A394)&gt;0</f>
        <v>0</v>
      </c>
      <c r="U394" s="181" t="b">
        <f>COUNTIF(Discontinued!$A$1:$A$150,A394)&gt;0</f>
        <v>0</v>
      </c>
    </row>
    <row r="395" spans="1:21" s="8" customFormat="1" ht="11.25" x14ac:dyDescent="0.2">
      <c r="A395" s="152">
        <v>10001894</v>
      </c>
      <c r="B395" s="10" t="s">
        <v>2735</v>
      </c>
      <c r="C395" s="12" t="s">
        <v>4097</v>
      </c>
      <c r="D395" s="11" t="s">
        <v>650</v>
      </c>
      <c r="E395" s="12" t="s">
        <v>757</v>
      </c>
      <c r="F395" s="13">
        <v>24</v>
      </c>
      <c r="G395" s="22">
        <f>Overview!$B$24</f>
        <v>36</v>
      </c>
      <c r="H395" s="114">
        <f t="shared" si="81"/>
        <v>36</v>
      </c>
      <c r="I395" s="114">
        <f>Overview!$E$24</f>
        <v>0</v>
      </c>
      <c r="J395" s="115">
        <f t="shared" si="82"/>
        <v>0</v>
      </c>
      <c r="K395" s="116">
        <f>Overview!$H$24</f>
        <v>0</v>
      </c>
      <c r="L395" s="117" t="e">
        <f t="shared" si="83"/>
        <v>#DIV/0!</v>
      </c>
      <c r="M395" s="179" t="s">
        <v>4369</v>
      </c>
      <c r="N395" s="179" t="s">
        <v>4114</v>
      </c>
      <c r="O395" s="141">
        <f t="shared" si="84"/>
        <v>0</v>
      </c>
      <c r="P395" s="181" t="b">
        <f>COUNTIF('Facility Data'!$A$1:$A$1500,"*"&amp;A395&amp;"*")&gt;0</f>
        <v>0</v>
      </c>
      <c r="Q395" s="181" t="b">
        <f>COUNTIF('Account Data'!$A$1:$A$1000,"*"&amp;A395&amp;"*")&gt;0</f>
        <v>0</v>
      </c>
      <c r="R395" s="182" t="b">
        <f t="shared" si="85"/>
        <v>0</v>
      </c>
      <c r="S395" s="182" t="b">
        <f t="shared" si="86"/>
        <v>0</v>
      </c>
      <c r="T395" s="181" t="b">
        <f>COUNTIF('New Items'!$A$1:$A$175,A395)&gt;0</f>
        <v>0</v>
      </c>
      <c r="U395" s="181" t="b">
        <f>COUNTIF(Discontinued!$A$1:$A$150,A395)&gt;0</f>
        <v>0</v>
      </c>
    </row>
    <row r="396" spans="1:21" s="8" customFormat="1" ht="11.25" x14ac:dyDescent="0.2">
      <c r="A396" s="152">
        <v>10001895</v>
      </c>
      <c r="B396" s="10" t="s">
        <v>4807</v>
      </c>
      <c r="C396" s="12" t="s">
        <v>4098</v>
      </c>
      <c r="D396" s="11" t="s">
        <v>4755</v>
      </c>
      <c r="E396" s="12" t="s">
        <v>757</v>
      </c>
      <c r="F396" s="13">
        <v>24</v>
      </c>
      <c r="G396" s="22">
        <f>Overview!$B$24</f>
        <v>36</v>
      </c>
      <c r="H396" s="114">
        <f t="shared" si="81"/>
        <v>36</v>
      </c>
      <c r="I396" s="114">
        <f>Overview!$E$24</f>
        <v>0</v>
      </c>
      <c r="J396" s="115">
        <f t="shared" si="82"/>
        <v>0</v>
      </c>
      <c r="K396" s="116">
        <f>Overview!$H$24</f>
        <v>0</v>
      </c>
      <c r="L396" s="117" t="e">
        <f t="shared" si="83"/>
        <v>#DIV/0!</v>
      </c>
      <c r="M396" s="179" t="s">
        <v>4369</v>
      </c>
      <c r="N396" s="179" t="s">
        <v>4114</v>
      </c>
      <c r="O396" s="141">
        <f t="shared" si="84"/>
        <v>0</v>
      </c>
      <c r="P396" s="181" t="b">
        <f>COUNTIF('Facility Data'!$A$1:$A$1500,"*"&amp;A396&amp;"*")&gt;0</f>
        <v>0</v>
      </c>
      <c r="Q396" s="181" t="b">
        <f>COUNTIF('Account Data'!$A$1:$A$1000,"*"&amp;A396&amp;"*")&gt;0</f>
        <v>0</v>
      </c>
      <c r="R396" s="182" t="b">
        <f t="shared" si="85"/>
        <v>0</v>
      </c>
      <c r="S396" s="182" t="b">
        <f t="shared" si="86"/>
        <v>0</v>
      </c>
      <c r="T396" s="181" t="b">
        <f>COUNTIF('New Items'!$A$1:$A$175,A396)&gt;0</f>
        <v>0</v>
      </c>
      <c r="U396" s="181" t="b">
        <f>COUNTIF(Discontinued!$A$1:$A$150,A396)&gt;0</f>
        <v>0</v>
      </c>
    </row>
    <row r="397" spans="1:21" s="8" customFormat="1" ht="11.25" x14ac:dyDescent="0.2">
      <c r="A397" s="152">
        <v>10133175</v>
      </c>
      <c r="B397" s="10" t="s">
        <v>4112</v>
      </c>
      <c r="C397" s="12" t="s">
        <v>4113</v>
      </c>
      <c r="D397" s="11" t="s">
        <v>1054</v>
      </c>
      <c r="E397" s="12" t="s">
        <v>757</v>
      </c>
      <c r="F397" s="13">
        <v>24</v>
      </c>
      <c r="G397" s="22">
        <f>Overview!$B$24</f>
        <v>36</v>
      </c>
      <c r="H397" s="114">
        <f t="shared" si="81"/>
        <v>36</v>
      </c>
      <c r="I397" s="114">
        <f>Overview!$E$24</f>
        <v>0</v>
      </c>
      <c r="J397" s="115">
        <f t="shared" si="82"/>
        <v>0</v>
      </c>
      <c r="K397" s="116">
        <f>Overview!$H$24</f>
        <v>0</v>
      </c>
      <c r="L397" s="117" t="e">
        <f t="shared" si="83"/>
        <v>#DIV/0!</v>
      </c>
      <c r="M397" s="179" t="s">
        <v>4369</v>
      </c>
      <c r="N397" s="179" t="s">
        <v>4114</v>
      </c>
      <c r="O397" s="141">
        <f t="shared" si="84"/>
        <v>0</v>
      </c>
      <c r="P397" s="181" t="b">
        <f>COUNTIF('Facility Data'!$A$1:$A$1500,"*"&amp;A397&amp;"*")&gt;0</f>
        <v>0</v>
      </c>
      <c r="Q397" s="181" t="b">
        <f>COUNTIF('Account Data'!$A$1:$A$1000,"*"&amp;A397&amp;"*")&gt;0</f>
        <v>0</v>
      </c>
      <c r="R397" s="182" t="b">
        <f t="shared" si="85"/>
        <v>0</v>
      </c>
      <c r="S397" s="182" t="b">
        <f t="shared" si="86"/>
        <v>0</v>
      </c>
      <c r="T397" s="181" t="b">
        <f>COUNTIF('New Items'!$A$1:$A$175,A397)&gt;0</f>
        <v>0</v>
      </c>
      <c r="U397" s="181" t="b">
        <f>COUNTIF(Discontinued!$A$1:$A$150,A397)&gt;0</f>
        <v>0</v>
      </c>
    </row>
    <row r="398" spans="1:21" s="8" customFormat="1" ht="11.25" x14ac:dyDescent="0.2">
      <c r="A398" s="152">
        <v>10022242</v>
      </c>
      <c r="B398" s="10" t="s">
        <v>2737</v>
      </c>
      <c r="C398" s="12" t="s">
        <v>4099</v>
      </c>
      <c r="D398" s="11" t="s">
        <v>634</v>
      </c>
      <c r="E398" s="12" t="s">
        <v>757</v>
      </c>
      <c r="F398" s="13">
        <v>24</v>
      </c>
      <c r="G398" s="22">
        <f>Overview!$B$24</f>
        <v>36</v>
      </c>
      <c r="H398" s="114">
        <f t="shared" si="81"/>
        <v>36</v>
      </c>
      <c r="I398" s="114">
        <f>Overview!$E$24</f>
        <v>0</v>
      </c>
      <c r="J398" s="115">
        <f t="shared" si="82"/>
        <v>0</v>
      </c>
      <c r="K398" s="116">
        <f>Overview!$H$24</f>
        <v>0</v>
      </c>
      <c r="L398" s="117" t="e">
        <f t="shared" si="83"/>
        <v>#DIV/0!</v>
      </c>
      <c r="M398" s="179" t="s">
        <v>4369</v>
      </c>
      <c r="N398" s="179" t="s">
        <v>4114</v>
      </c>
      <c r="O398" s="141">
        <f t="shared" si="84"/>
        <v>0</v>
      </c>
      <c r="P398" s="181" t="b">
        <f>COUNTIF('Facility Data'!$A$1:$A$1500,"*"&amp;A398&amp;"*")&gt;0</f>
        <v>0</v>
      </c>
      <c r="Q398" s="181" t="b">
        <f>COUNTIF('Account Data'!$A$1:$A$1000,"*"&amp;A398&amp;"*")&gt;0</f>
        <v>0</v>
      </c>
      <c r="R398" s="182" t="b">
        <f t="shared" si="85"/>
        <v>0</v>
      </c>
      <c r="S398" s="182" t="b">
        <f t="shared" si="86"/>
        <v>0</v>
      </c>
      <c r="T398" s="181" t="b">
        <f>COUNTIF('New Items'!$A$1:$A$175,A398)&gt;0</f>
        <v>0</v>
      </c>
      <c r="U398" s="181" t="b">
        <f>COUNTIF(Discontinued!$A$1:$A$150,A398)&gt;0</f>
        <v>0</v>
      </c>
    </row>
    <row r="399" spans="1:21" s="8" customFormat="1" ht="11.25" x14ac:dyDescent="0.2">
      <c r="A399" s="152">
        <v>10022241</v>
      </c>
      <c r="B399" s="10" t="s">
        <v>2738</v>
      </c>
      <c r="C399" s="12" t="s">
        <v>4100</v>
      </c>
      <c r="D399" s="11" t="s">
        <v>635</v>
      </c>
      <c r="E399" s="12" t="s">
        <v>757</v>
      </c>
      <c r="F399" s="13">
        <v>24</v>
      </c>
      <c r="G399" s="22">
        <f>Overview!$B$24</f>
        <v>36</v>
      </c>
      <c r="H399" s="114">
        <f t="shared" si="81"/>
        <v>36</v>
      </c>
      <c r="I399" s="114">
        <f>Overview!$E$24</f>
        <v>0</v>
      </c>
      <c r="J399" s="115">
        <f t="shared" si="82"/>
        <v>0</v>
      </c>
      <c r="K399" s="116">
        <f>Overview!$H$24</f>
        <v>0</v>
      </c>
      <c r="L399" s="117" t="e">
        <f t="shared" si="83"/>
        <v>#DIV/0!</v>
      </c>
      <c r="M399" s="179" t="s">
        <v>4369</v>
      </c>
      <c r="N399" s="179" t="s">
        <v>4114</v>
      </c>
      <c r="O399" s="141">
        <f t="shared" si="84"/>
        <v>0</v>
      </c>
      <c r="P399" s="181" t="b">
        <f>COUNTIF('Facility Data'!$A$1:$A$1500,"*"&amp;A399&amp;"*")&gt;0</f>
        <v>0</v>
      </c>
      <c r="Q399" s="181" t="b">
        <f>COUNTIF('Account Data'!$A$1:$A$1000,"*"&amp;A399&amp;"*")&gt;0</f>
        <v>0</v>
      </c>
      <c r="R399" s="182" t="b">
        <f t="shared" si="85"/>
        <v>0</v>
      </c>
      <c r="S399" s="182" t="b">
        <f t="shared" si="86"/>
        <v>0</v>
      </c>
      <c r="T399" s="181" t="b">
        <f>COUNTIF('New Items'!$A$1:$A$175,A399)&gt;0</f>
        <v>0</v>
      </c>
      <c r="U399" s="181" t="b">
        <f>COUNTIF(Discontinued!$A$1:$A$150,A399)&gt;0</f>
        <v>0</v>
      </c>
    </row>
    <row r="400" spans="1:21" s="8" customFormat="1" ht="11.25" x14ac:dyDescent="0.2">
      <c r="A400" s="152">
        <v>10036212</v>
      </c>
      <c r="B400" s="10" t="s">
        <v>2739</v>
      </c>
      <c r="C400" s="12" t="s">
        <v>4101</v>
      </c>
      <c r="D400" s="11" t="s">
        <v>1061</v>
      </c>
      <c r="E400" s="12" t="s">
        <v>757</v>
      </c>
      <c r="F400" s="13">
        <v>24</v>
      </c>
      <c r="G400" s="22">
        <f>Overview!$B$24</f>
        <v>36</v>
      </c>
      <c r="H400" s="114">
        <f t="shared" si="81"/>
        <v>36</v>
      </c>
      <c r="I400" s="114">
        <f>Overview!$E$24</f>
        <v>0</v>
      </c>
      <c r="J400" s="115">
        <f t="shared" si="82"/>
        <v>0</v>
      </c>
      <c r="K400" s="116">
        <f>Overview!$H$24</f>
        <v>0</v>
      </c>
      <c r="L400" s="117" t="e">
        <f t="shared" si="83"/>
        <v>#DIV/0!</v>
      </c>
      <c r="M400" s="179" t="s">
        <v>4369</v>
      </c>
      <c r="N400" s="179" t="s">
        <v>4114</v>
      </c>
      <c r="O400" s="141">
        <f t="shared" si="84"/>
        <v>0</v>
      </c>
      <c r="P400" s="181" t="b">
        <f>COUNTIF('Facility Data'!$A$1:$A$1500,"*"&amp;A400&amp;"*")&gt;0</f>
        <v>0</v>
      </c>
      <c r="Q400" s="181" t="b">
        <f>COUNTIF('Account Data'!$A$1:$A$1000,"*"&amp;A400&amp;"*")&gt;0</f>
        <v>0</v>
      </c>
      <c r="R400" s="182" t="b">
        <f t="shared" si="85"/>
        <v>0</v>
      </c>
      <c r="S400" s="182" t="b">
        <f t="shared" si="86"/>
        <v>0</v>
      </c>
      <c r="T400" s="181" t="b">
        <f>COUNTIF('New Items'!$A$1:$A$175,A400)&gt;0</f>
        <v>0</v>
      </c>
      <c r="U400" s="181" t="b">
        <f>COUNTIF(Discontinued!$A$1:$A$150,A400)&gt;0</f>
        <v>0</v>
      </c>
    </row>
    <row r="401" spans="1:21" s="8" customFormat="1" ht="11.25" x14ac:dyDescent="0.2">
      <c r="A401" s="152">
        <v>10088075</v>
      </c>
      <c r="B401" s="10" t="s">
        <v>2740</v>
      </c>
      <c r="C401" s="12" t="s">
        <v>4102</v>
      </c>
      <c r="D401" s="11" t="s">
        <v>651</v>
      </c>
      <c r="E401" s="12" t="s">
        <v>757</v>
      </c>
      <c r="F401" s="13">
        <v>24</v>
      </c>
      <c r="G401" s="22">
        <f>Overview!$B$24</f>
        <v>36</v>
      </c>
      <c r="H401" s="114">
        <f t="shared" si="81"/>
        <v>36</v>
      </c>
      <c r="I401" s="114">
        <f>Overview!$E$24</f>
        <v>0</v>
      </c>
      <c r="J401" s="115">
        <f t="shared" si="82"/>
        <v>0</v>
      </c>
      <c r="K401" s="116">
        <f>Overview!$H$24</f>
        <v>0</v>
      </c>
      <c r="L401" s="117" t="e">
        <f t="shared" si="83"/>
        <v>#DIV/0!</v>
      </c>
      <c r="M401" s="179" t="s">
        <v>4369</v>
      </c>
      <c r="N401" s="179" t="s">
        <v>4114</v>
      </c>
      <c r="O401" s="141">
        <f t="shared" si="84"/>
        <v>0</v>
      </c>
      <c r="P401" s="181" t="b">
        <f>COUNTIF('Facility Data'!$A$1:$A$1500,"*"&amp;A401&amp;"*")&gt;0</f>
        <v>0</v>
      </c>
      <c r="Q401" s="181" t="b">
        <f>COUNTIF('Account Data'!$A$1:$A$1000,"*"&amp;A401&amp;"*")&gt;0</f>
        <v>0</v>
      </c>
      <c r="R401" s="182" t="b">
        <f t="shared" si="85"/>
        <v>0</v>
      </c>
      <c r="S401" s="182" t="b">
        <f t="shared" si="86"/>
        <v>0</v>
      </c>
      <c r="T401" s="181" t="b">
        <f>COUNTIF('New Items'!$A$1:$A$175,A401)&gt;0</f>
        <v>0</v>
      </c>
      <c r="U401" s="181" t="b">
        <f>COUNTIF(Discontinued!$A$1:$A$150,A401)&gt;0</f>
        <v>0</v>
      </c>
    </row>
    <row r="402" spans="1:21" s="8" customFormat="1" ht="11.25" x14ac:dyDescent="0.2">
      <c r="A402" s="152">
        <v>10001887</v>
      </c>
      <c r="B402" s="10" t="s">
        <v>2741</v>
      </c>
      <c r="C402" s="12" t="s">
        <v>4103</v>
      </c>
      <c r="D402" s="11" t="s">
        <v>652</v>
      </c>
      <c r="E402" s="12" t="s">
        <v>757</v>
      </c>
      <c r="F402" s="13">
        <v>24</v>
      </c>
      <c r="G402" s="22">
        <f>Overview!$B$24</f>
        <v>36</v>
      </c>
      <c r="H402" s="114">
        <f t="shared" si="81"/>
        <v>36</v>
      </c>
      <c r="I402" s="114">
        <f>Overview!$E$24</f>
        <v>0</v>
      </c>
      <c r="J402" s="115">
        <f t="shared" si="82"/>
        <v>0</v>
      </c>
      <c r="K402" s="116">
        <f>Overview!$H$24</f>
        <v>0</v>
      </c>
      <c r="L402" s="117" t="e">
        <f t="shared" si="83"/>
        <v>#DIV/0!</v>
      </c>
      <c r="M402" s="179"/>
      <c r="N402" s="179" t="s">
        <v>4114</v>
      </c>
      <c r="O402" s="141">
        <f t="shared" si="84"/>
        <v>0</v>
      </c>
      <c r="P402" s="181" t="b">
        <f>COUNTIF('Facility Data'!$A$1:$A$1500,"*"&amp;A402&amp;"*")&gt;0</f>
        <v>0</v>
      </c>
      <c r="Q402" s="181" t="b">
        <f>COUNTIF('Account Data'!$A$1:$A$1000,"*"&amp;A402&amp;"*")&gt;0</f>
        <v>0</v>
      </c>
      <c r="R402" s="182" t="b">
        <f t="shared" si="85"/>
        <v>0</v>
      </c>
      <c r="S402" s="182" t="b">
        <f t="shared" si="86"/>
        <v>0</v>
      </c>
      <c r="T402" s="181" t="b">
        <f>COUNTIF('New Items'!$A$1:$A$175,A402)&gt;0</f>
        <v>0</v>
      </c>
      <c r="U402" s="181" t="b">
        <f>COUNTIF(Discontinued!$A$1:$A$150,A402)&gt;0</f>
        <v>0</v>
      </c>
    </row>
    <row r="403" spans="1:21" s="8" customFormat="1" ht="11.25" x14ac:dyDescent="0.2">
      <c r="A403" s="152">
        <v>10001890</v>
      </c>
      <c r="B403" s="10" t="s">
        <v>2742</v>
      </c>
      <c r="C403" s="12" t="s">
        <v>4104</v>
      </c>
      <c r="D403" s="11" t="s">
        <v>636</v>
      </c>
      <c r="E403" s="12" t="s">
        <v>757</v>
      </c>
      <c r="F403" s="13">
        <v>24</v>
      </c>
      <c r="G403" s="22">
        <f>Overview!$B$24</f>
        <v>36</v>
      </c>
      <c r="H403" s="114">
        <f t="shared" si="81"/>
        <v>36</v>
      </c>
      <c r="I403" s="114">
        <f>Overview!$E$24</f>
        <v>0</v>
      </c>
      <c r="J403" s="115">
        <f t="shared" si="82"/>
        <v>0</v>
      </c>
      <c r="K403" s="116">
        <f>Overview!$H$24</f>
        <v>0</v>
      </c>
      <c r="L403" s="117" t="e">
        <f t="shared" si="83"/>
        <v>#DIV/0!</v>
      </c>
      <c r="M403" s="179" t="s">
        <v>4370</v>
      </c>
      <c r="N403" s="179" t="s">
        <v>4114</v>
      </c>
      <c r="O403" s="141">
        <f t="shared" si="84"/>
        <v>0</v>
      </c>
      <c r="P403" s="181" t="b">
        <f>COUNTIF('Facility Data'!$A$1:$A$1500,"*"&amp;A403&amp;"*")&gt;0</f>
        <v>0</v>
      </c>
      <c r="Q403" s="181" t="b">
        <f>COUNTIF('Account Data'!$A$1:$A$1000,"*"&amp;A403&amp;"*")&gt;0</f>
        <v>0</v>
      </c>
      <c r="R403" s="182" t="b">
        <f t="shared" si="85"/>
        <v>0</v>
      </c>
      <c r="S403" s="182" t="b">
        <f t="shared" si="86"/>
        <v>0</v>
      </c>
      <c r="T403" s="181" t="b">
        <f>COUNTIF('New Items'!$A$1:$A$175,A403)&gt;0</f>
        <v>0</v>
      </c>
      <c r="U403" s="181" t="b">
        <f>COUNTIF(Discontinued!$A$1:$A$150,A403)&gt;0</f>
        <v>0</v>
      </c>
    </row>
    <row r="404" spans="1:21" s="8" customFormat="1" ht="11.25" x14ac:dyDescent="0.2">
      <c r="A404" s="152">
        <v>10001892</v>
      </c>
      <c r="B404" s="10" t="s">
        <v>2743</v>
      </c>
      <c r="C404" s="12" t="s">
        <v>4105</v>
      </c>
      <c r="D404" s="11" t="s">
        <v>637</v>
      </c>
      <c r="E404" s="12" t="s">
        <v>757</v>
      </c>
      <c r="F404" s="13">
        <v>24</v>
      </c>
      <c r="G404" s="22">
        <f>Overview!$B$24</f>
        <v>36</v>
      </c>
      <c r="H404" s="114">
        <f t="shared" si="81"/>
        <v>36</v>
      </c>
      <c r="I404" s="114">
        <f>Overview!$E$24</f>
        <v>0</v>
      </c>
      <c r="J404" s="115">
        <f t="shared" si="82"/>
        <v>0</v>
      </c>
      <c r="K404" s="116">
        <f>Overview!$H$24</f>
        <v>0</v>
      </c>
      <c r="L404" s="117" t="e">
        <f t="shared" si="83"/>
        <v>#DIV/0!</v>
      </c>
      <c r="M404" s="179" t="s">
        <v>2421</v>
      </c>
      <c r="N404" s="179" t="s">
        <v>4114</v>
      </c>
      <c r="O404" s="141">
        <f t="shared" si="84"/>
        <v>0</v>
      </c>
      <c r="P404" s="181" t="b">
        <f>COUNTIF('Facility Data'!$A$1:$A$1500,"*"&amp;A404&amp;"*")&gt;0</f>
        <v>0</v>
      </c>
      <c r="Q404" s="181" t="b">
        <f>COUNTIF('Account Data'!$A$1:$A$1000,"*"&amp;A404&amp;"*")&gt;0</f>
        <v>0</v>
      </c>
      <c r="R404" s="182" t="b">
        <f t="shared" si="85"/>
        <v>0</v>
      </c>
      <c r="S404" s="182" t="b">
        <f t="shared" si="86"/>
        <v>0</v>
      </c>
      <c r="T404" s="181" t="b">
        <f>COUNTIF('New Items'!$A$1:$A$175,A404)&gt;0</f>
        <v>0</v>
      </c>
      <c r="U404" s="181" t="b">
        <f>COUNTIF(Discontinued!$A$1:$A$150,A404)&gt;0</f>
        <v>0</v>
      </c>
    </row>
    <row r="405" spans="1:21" s="8" customFormat="1" ht="11.25" x14ac:dyDescent="0.2">
      <c r="A405" s="152">
        <v>10001889</v>
      </c>
      <c r="B405" s="10" t="s">
        <v>2744</v>
      </c>
      <c r="C405" s="12" t="s">
        <v>4106</v>
      </c>
      <c r="D405" s="11" t="s">
        <v>655</v>
      </c>
      <c r="E405" s="12" t="s">
        <v>757</v>
      </c>
      <c r="F405" s="13">
        <v>24</v>
      </c>
      <c r="G405" s="22">
        <f>Overview!$B$24</f>
        <v>36</v>
      </c>
      <c r="H405" s="114">
        <f t="shared" si="81"/>
        <v>36</v>
      </c>
      <c r="I405" s="114">
        <f>Overview!$E$24</f>
        <v>0</v>
      </c>
      <c r="J405" s="115">
        <f t="shared" si="82"/>
        <v>0</v>
      </c>
      <c r="K405" s="116">
        <f>Overview!$H$24</f>
        <v>0</v>
      </c>
      <c r="L405" s="117" t="e">
        <f t="shared" si="83"/>
        <v>#DIV/0!</v>
      </c>
      <c r="M405" s="179" t="s">
        <v>2422</v>
      </c>
      <c r="N405" s="179" t="s">
        <v>4114</v>
      </c>
      <c r="O405" s="141">
        <f t="shared" ref="O405:O410" si="87">I405</f>
        <v>0</v>
      </c>
      <c r="P405" s="181" t="b">
        <f>COUNTIF('Facility Data'!$A$1:$A$1500,"*"&amp;A405&amp;"*")&gt;0</f>
        <v>0</v>
      </c>
      <c r="Q405" s="181" t="b">
        <f>COUNTIF('Account Data'!$A$1:$A$1000,"*"&amp;A405&amp;"*")&gt;0</f>
        <v>0</v>
      </c>
      <c r="R405" s="182" t="b">
        <f t="shared" si="85"/>
        <v>0</v>
      </c>
      <c r="S405" s="182" t="b">
        <f t="shared" ref="S405:S410" si="88">IF(OR(Q405=TRUE,T405=TRUE),TRUE,FALSE)</f>
        <v>0</v>
      </c>
      <c r="T405" s="181" t="b">
        <f>COUNTIF('New Items'!$A$1:$A$175,A405)&gt;0</f>
        <v>0</v>
      </c>
      <c r="U405" s="181" t="b">
        <f>COUNTIF(Discontinued!$A$1:$A$150,A405)&gt;0</f>
        <v>0</v>
      </c>
    </row>
    <row r="406" spans="1:21" s="8" customFormat="1" ht="11.25" x14ac:dyDescent="0.2">
      <c r="A406" s="152">
        <v>10023919</v>
      </c>
      <c r="B406" s="10" t="s">
        <v>2745</v>
      </c>
      <c r="C406" s="12" t="s">
        <v>4107</v>
      </c>
      <c r="D406" s="11" t="s">
        <v>656</v>
      </c>
      <c r="E406" s="12" t="s">
        <v>757</v>
      </c>
      <c r="F406" s="13">
        <v>24</v>
      </c>
      <c r="G406" s="22">
        <f>Overview!$B$24</f>
        <v>36</v>
      </c>
      <c r="H406" s="114">
        <f t="shared" si="81"/>
        <v>36</v>
      </c>
      <c r="I406" s="114">
        <f>Overview!$E$24</f>
        <v>0</v>
      </c>
      <c r="J406" s="115">
        <f t="shared" si="82"/>
        <v>0</v>
      </c>
      <c r="K406" s="116">
        <f>Overview!$H$24</f>
        <v>0</v>
      </c>
      <c r="L406" s="117" t="e">
        <f t="shared" si="83"/>
        <v>#DIV/0!</v>
      </c>
      <c r="M406" s="179" t="s">
        <v>952</v>
      </c>
      <c r="N406" s="179" t="s">
        <v>4114</v>
      </c>
      <c r="O406" s="141">
        <f t="shared" si="87"/>
        <v>0</v>
      </c>
      <c r="P406" s="181" t="b">
        <f>COUNTIF('Facility Data'!$A$1:$A$1500,"*"&amp;A406&amp;"*")&gt;0</f>
        <v>0</v>
      </c>
      <c r="Q406" s="181" t="b">
        <f>COUNTIF('Account Data'!$A$1:$A$1000,"*"&amp;A406&amp;"*")&gt;0</f>
        <v>0</v>
      </c>
      <c r="R406" s="182" t="b">
        <f t="shared" si="85"/>
        <v>0</v>
      </c>
      <c r="S406" s="182" t="b">
        <f t="shared" si="88"/>
        <v>0</v>
      </c>
      <c r="T406" s="181" t="b">
        <f>COUNTIF('New Items'!$A$1:$A$175,A406)&gt;0</f>
        <v>0</v>
      </c>
      <c r="U406" s="181" t="b">
        <f>COUNTIF(Discontinued!$A$1:$A$150,A406)&gt;0</f>
        <v>0</v>
      </c>
    </row>
    <row r="407" spans="1:21" s="8" customFormat="1" ht="11.25" x14ac:dyDescent="0.2">
      <c r="A407" s="152">
        <v>10011971</v>
      </c>
      <c r="B407" s="10" t="s">
        <v>2746</v>
      </c>
      <c r="C407" s="12" t="s">
        <v>4108</v>
      </c>
      <c r="D407" s="11" t="s">
        <v>1572</v>
      </c>
      <c r="E407" s="12" t="s">
        <v>757</v>
      </c>
      <c r="F407" s="13">
        <v>24</v>
      </c>
      <c r="G407" s="22">
        <f>Overview!$B$24</f>
        <v>36</v>
      </c>
      <c r="H407" s="114">
        <f t="shared" si="81"/>
        <v>36</v>
      </c>
      <c r="I407" s="114">
        <f>Overview!$E$24</f>
        <v>0</v>
      </c>
      <c r="J407" s="115">
        <f t="shared" si="82"/>
        <v>0</v>
      </c>
      <c r="K407" s="116">
        <f>Overview!$H$24</f>
        <v>0</v>
      </c>
      <c r="L407" s="117" t="e">
        <f t="shared" si="83"/>
        <v>#DIV/0!</v>
      </c>
      <c r="M407" s="179" t="s">
        <v>2421</v>
      </c>
      <c r="N407" s="179" t="s">
        <v>4114</v>
      </c>
      <c r="O407" s="141">
        <f t="shared" si="87"/>
        <v>0</v>
      </c>
      <c r="P407" s="181" t="b">
        <f>COUNTIF('Facility Data'!$A$1:$A$1500,"*"&amp;A407&amp;"*")&gt;0</f>
        <v>0</v>
      </c>
      <c r="Q407" s="181" t="b">
        <f>COUNTIF('Account Data'!$A$1:$A$1000,"*"&amp;A407&amp;"*")&gt;0</f>
        <v>0</v>
      </c>
      <c r="R407" s="182" t="b">
        <f t="shared" si="85"/>
        <v>0</v>
      </c>
      <c r="S407" s="182" t="b">
        <f t="shared" si="88"/>
        <v>0</v>
      </c>
      <c r="T407" s="181" t="b">
        <f>COUNTIF('New Items'!$A$1:$A$175,A407)&gt;0</f>
        <v>0</v>
      </c>
      <c r="U407" s="181" t="b">
        <f>COUNTIF(Discontinued!$A$1:$A$150,A407)&gt;0</f>
        <v>0</v>
      </c>
    </row>
    <row r="408" spans="1:21" s="8" customFormat="1" ht="11.25" x14ac:dyDescent="0.2">
      <c r="A408" s="152">
        <v>10029260</v>
      </c>
      <c r="B408" s="10" t="s">
        <v>2747</v>
      </c>
      <c r="C408" s="12" t="s">
        <v>4109</v>
      </c>
      <c r="D408" s="11" t="s">
        <v>640</v>
      </c>
      <c r="E408" s="12" t="s">
        <v>757</v>
      </c>
      <c r="F408" s="13">
        <v>24</v>
      </c>
      <c r="G408" s="22">
        <f>Overview!$B$24</f>
        <v>36</v>
      </c>
      <c r="H408" s="114">
        <f t="shared" si="81"/>
        <v>36</v>
      </c>
      <c r="I408" s="114">
        <f>Overview!$E$24</f>
        <v>0</v>
      </c>
      <c r="J408" s="115">
        <f t="shared" si="82"/>
        <v>0</v>
      </c>
      <c r="K408" s="116">
        <f>Overview!$H$24</f>
        <v>0</v>
      </c>
      <c r="L408" s="117" t="e">
        <f t="shared" si="83"/>
        <v>#DIV/0!</v>
      </c>
      <c r="M408" s="179"/>
      <c r="N408" s="179" t="s">
        <v>4114</v>
      </c>
      <c r="O408" s="141">
        <f t="shared" si="87"/>
        <v>0</v>
      </c>
      <c r="P408" s="181" t="b">
        <f>COUNTIF('Facility Data'!$A$1:$A$1500,"*"&amp;A408&amp;"*")&gt;0</f>
        <v>0</v>
      </c>
      <c r="Q408" s="181" t="b">
        <f>COUNTIF('Account Data'!$A$1:$A$1000,"*"&amp;A408&amp;"*")&gt;0</f>
        <v>0</v>
      </c>
      <c r="R408" s="182" t="b">
        <f t="shared" si="85"/>
        <v>0</v>
      </c>
      <c r="S408" s="182" t="b">
        <f t="shared" si="88"/>
        <v>0</v>
      </c>
      <c r="T408" s="181" t="b">
        <f>COUNTIF('New Items'!$A$1:$A$175,A408)&gt;0</f>
        <v>0</v>
      </c>
      <c r="U408" s="181" t="b">
        <f>COUNTIF(Discontinued!$A$1:$A$150,A408)&gt;0</f>
        <v>0</v>
      </c>
    </row>
    <row r="409" spans="1:21" s="8" customFormat="1" ht="11.25" x14ac:dyDescent="0.2">
      <c r="A409" s="152">
        <v>10003275</v>
      </c>
      <c r="B409" s="10" t="s">
        <v>2748</v>
      </c>
      <c r="C409" s="12" t="s">
        <v>4110</v>
      </c>
      <c r="D409" s="11" t="s">
        <v>1299</v>
      </c>
      <c r="E409" s="12" t="s">
        <v>757</v>
      </c>
      <c r="F409" s="13">
        <v>24</v>
      </c>
      <c r="G409" s="22">
        <f>Overview!$B$24</f>
        <v>36</v>
      </c>
      <c r="H409" s="114">
        <f t="shared" si="81"/>
        <v>36</v>
      </c>
      <c r="I409" s="114">
        <f>Overview!$E$24</f>
        <v>0</v>
      </c>
      <c r="J409" s="115">
        <f t="shared" si="82"/>
        <v>0</v>
      </c>
      <c r="K409" s="116">
        <f>Overview!$H$24</f>
        <v>0</v>
      </c>
      <c r="L409" s="117" t="e">
        <f t="shared" si="83"/>
        <v>#DIV/0!</v>
      </c>
      <c r="M409" s="179"/>
      <c r="N409" s="179" t="s">
        <v>4114</v>
      </c>
      <c r="O409" s="141">
        <f t="shared" si="87"/>
        <v>0</v>
      </c>
      <c r="P409" s="181" t="b">
        <f>COUNTIF('Facility Data'!$A$1:$A$1500,"*"&amp;A409&amp;"*")&gt;0</f>
        <v>0</v>
      </c>
      <c r="Q409" s="181" t="b">
        <f>COUNTIF('Account Data'!$A$1:$A$1000,"*"&amp;A409&amp;"*")&gt;0</f>
        <v>0</v>
      </c>
      <c r="R409" s="182" t="b">
        <f t="shared" si="85"/>
        <v>0</v>
      </c>
      <c r="S409" s="182" t="b">
        <f t="shared" si="88"/>
        <v>0</v>
      </c>
      <c r="T409" s="181" t="b">
        <f>COUNTIF('New Items'!$A$1:$A$175,A409)&gt;0</f>
        <v>0</v>
      </c>
      <c r="U409" s="181" t="b">
        <f>COUNTIF(Discontinued!$A$1:$A$150,A409)&gt;0</f>
        <v>0</v>
      </c>
    </row>
    <row r="410" spans="1:21" s="8" customFormat="1" ht="12" thickBot="1" x14ac:dyDescent="0.25">
      <c r="A410" s="152">
        <v>10029261</v>
      </c>
      <c r="B410" s="10" t="s">
        <v>2749</v>
      </c>
      <c r="C410" s="12" t="s">
        <v>4111</v>
      </c>
      <c r="D410" s="11" t="s">
        <v>660</v>
      </c>
      <c r="E410" s="12" t="s">
        <v>757</v>
      </c>
      <c r="F410" s="13">
        <v>24</v>
      </c>
      <c r="G410" s="22">
        <f>Overview!$B$24</f>
        <v>36</v>
      </c>
      <c r="H410" s="114">
        <f t="shared" si="81"/>
        <v>36</v>
      </c>
      <c r="I410" s="114">
        <f>Overview!$E$24</f>
        <v>0</v>
      </c>
      <c r="J410" s="115">
        <f t="shared" si="82"/>
        <v>0</v>
      </c>
      <c r="K410" s="116">
        <f>Overview!$H$24</f>
        <v>0</v>
      </c>
      <c r="L410" s="117" t="e">
        <f t="shared" si="83"/>
        <v>#DIV/0!</v>
      </c>
      <c r="M410" s="179"/>
      <c r="N410" s="179" t="s">
        <v>4114</v>
      </c>
      <c r="O410" s="141">
        <f t="shared" si="87"/>
        <v>0</v>
      </c>
      <c r="P410" s="181" t="b">
        <f>COUNTIF('Facility Data'!$A$1:$A$1500,"*"&amp;A410&amp;"*")&gt;0</f>
        <v>0</v>
      </c>
      <c r="Q410" s="181" t="b">
        <f>COUNTIF('Account Data'!$A$1:$A$1000,"*"&amp;A410&amp;"*")&gt;0</f>
        <v>0</v>
      </c>
      <c r="R410" s="182" t="b">
        <f t="shared" si="85"/>
        <v>0</v>
      </c>
      <c r="S410" s="182" t="b">
        <f t="shared" si="88"/>
        <v>0</v>
      </c>
      <c r="T410" s="181" t="b">
        <f>COUNTIF('New Items'!$A$1:$A$175,A410)&gt;0</f>
        <v>0</v>
      </c>
      <c r="U410" s="181" t="b">
        <f>COUNTIF(Discontinued!$A$1:$A$150,A410)&gt;0</f>
        <v>0</v>
      </c>
    </row>
    <row r="411" spans="1:21" s="8" customFormat="1" ht="13.5" thickBot="1" x14ac:dyDescent="0.25">
      <c r="A411" s="300" t="s">
        <v>285</v>
      </c>
      <c r="B411" s="301"/>
      <c r="C411" s="301"/>
      <c r="D411" s="301"/>
      <c r="E411" s="301"/>
      <c r="F411" s="301"/>
      <c r="G411" s="301"/>
      <c r="H411" s="301"/>
      <c r="I411" s="301"/>
      <c r="J411" s="301"/>
      <c r="K411" s="301"/>
      <c r="L411" s="302"/>
      <c r="M411" s="179" t="s">
        <v>4361</v>
      </c>
      <c r="N411" s="179" t="s">
        <v>968</v>
      </c>
      <c r="O411" s="141">
        <f>AVERAGE(O412:O424)</f>
        <v>0</v>
      </c>
      <c r="P411" s="181" t="b">
        <f>COUNTIF(P412:P424,TRUE)&gt;0</f>
        <v>1</v>
      </c>
      <c r="Q411" s="181" t="b">
        <f>COUNTIF(Q412:Q424,TRUE)&gt;0</f>
        <v>1</v>
      </c>
      <c r="R411" s="181" t="b">
        <f>COUNTIF(R412:R424,TRUE)&gt;0</f>
        <v>1</v>
      </c>
      <c r="S411" s="181" t="b">
        <f>COUNTIF(S412:S424,TRUE)&gt;0</f>
        <v>1</v>
      </c>
      <c r="T411" s="181" t="b">
        <f>COUNTIF(T412:T424,TRUE)&gt;0</f>
        <v>0</v>
      </c>
      <c r="U411" s="181"/>
    </row>
    <row r="412" spans="1:21" s="8" customFormat="1" ht="11.25" x14ac:dyDescent="0.2">
      <c r="A412" s="152">
        <v>10001317</v>
      </c>
      <c r="B412" s="10" t="s">
        <v>193</v>
      </c>
      <c r="C412" s="12" t="s">
        <v>194</v>
      </c>
      <c r="D412" s="11" t="s">
        <v>629</v>
      </c>
      <c r="E412" s="12" t="s">
        <v>761</v>
      </c>
      <c r="F412" s="13">
        <v>15</v>
      </c>
      <c r="G412" s="22">
        <f>Overview!$B$25</f>
        <v>24</v>
      </c>
      <c r="H412" s="23">
        <f t="shared" ref="H412:H424" si="89">G412-I412</f>
        <v>24</v>
      </c>
      <c r="I412" s="23">
        <f>Overview!$E$25</f>
        <v>0</v>
      </c>
      <c r="J412" s="24">
        <f t="shared" ref="J412:J424" si="90">I412/F412</f>
        <v>0</v>
      </c>
      <c r="K412" s="50">
        <f>Overview!$H$25</f>
        <v>0</v>
      </c>
      <c r="L412" s="51" t="e">
        <f>(K412-J412)/K412</f>
        <v>#DIV/0!</v>
      </c>
      <c r="M412" s="179" t="s">
        <v>951</v>
      </c>
      <c r="N412" s="179" t="s">
        <v>968</v>
      </c>
      <c r="O412" s="141">
        <f>I412</f>
        <v>0</v>
      </c>
      <c r="P412" s="181" t="b">
        <f>COUNTIF('Facility Data'!$A$1:$A$1500,"*"&amp;A412&amp;"*")&gt;0</f>
        <v>0</v>
      </c>
      <c r="Q412" s="181" t="b">
        <f>COUNTIF('Account Data'!$A$1:$A$1000,"*"&amp;A412&amp;"*")&gt;0</f>
        <v>1</v>
      </c>
      <c r="R412" s="182" t="b">
        <f t="shared" ref="R412:R424" si="91">IF(OR(P412=TRUE,T412=TRUE),TRUE,FALSE)</f>
        <v>0</v>
      </c>
      <c r="S412" s="182" t="b">
        <f t="shared" ref="S412:S424" si="92">IF(OR(Q412=TRUE,T412=TRUE),TRUE,FALSE)</f>
        <v>1</v>
      </c>
      <c r="T412" s="181" t="b">
        <f>COUNTIF('New Items'!$A$1:$A$175,A412)&gt;0</f>
        <v>0</v>
      </c>
      <c r="U412" s="181" t="b">
        <f>COUNTIF(Discontinued!$A$1:$A$150,A412)&gt;0</f>
        <v>0</v>
      </c>
    </row>
    <row r="413" spans="1:21" s="8" customFormat="1" ht="11.25" x14ac:dyDescent="0.2">
      <c r="A413" s="152">
        <v>10001318</v>
      </c>
      <c r="B413" s="10" t="s">
        <v>195</v>
      </c>
      <c r="C413" s="12" t="s">
        <v>196</v>
      </c>
      <c r="D413" s="11" t="s">
        <v>631</v>
      </c>
      <c r="E413" s="12" t="s">
        <v>761</v>
      </c>
      <c r="F413" s="13">
        <v>15</v>
      </c>
      <c r="G413" s="22">
        <f>Overview!$B$25</f>
        <v>24</v>
      </c>
      <c r="H413" s="23">
        <f t="shared" si="89"/>
        <v>24</v>
      </c>
      <c r="I413" s="23">
        <f>Overview!$E$25</f>
        <v>0</v>
      </c>
      <c r="J413" s="24">
        <f t="shared" si="90"/>
        <v>0</v>
      </c>
      <c r="K413" s="50">
        <f>Overview!$H$25</f>
        <v>0</v>
      </c>
      <c r="L413" s="51" t="e">
        <f t="shared" ref="L413:L424" si="93">(K413-J413)/K413</f>
        <v>#DIV/0!</v>
      </c>
      <c r="M413" s="179" t="s">
        <v>951</v>
      </c>
      <c r="N413" s="179" t="s">
        <v>968</v>
      </c>
      <c r="O413" s="141">
        <f t="shared" ref="O413:O424" si="94">I413</f>
        <v>0</v>
      </c>
      <c r="P413" s="181" t="b">
        <f>COUNTIF('Facility Data'!$A$1:$A$1500,"*"&amp;A413&amp;"*")&gt;0</f>
        <v>0</v>
      </c>
      <c r="Q413" s="181" t="b">
        <f>COUNTIF('Account Data'!$A$1:$A$1000,"*"&amp;A413&amp;"*")&gt;0</f>
        <v>1</v>
      </c>
      <c r="R413" s="182" t="b">
        <f t="shared" si="91"/>
        <v>0</v>
      </c>
      <c r="S413" s="182" t="b">
        <f t="shared" si="92"/>
        <v>1</v>
      </c>
      <c r="T413" s="181" t="b">
        <f>COUNTIF('New Items'!$A$1:$A$175,A413)&gt;0</f>
        <v>0</v>
      </c>
      <c r="U413" s="181" t="b">
        <f>COUNTIF(Discontinued!$A$1:$A$150,A413)&gt;0</f>
        <v>0</v>
      </c>
    </row>
    <row r="414" spans="1:21" s="8" customFormat="1" ht="11.25" x14ac:dyDescent="0.2">
      <c r="A414" s="152">
        <v>10001315</v>
      </c>
      <c r="B414" s="10" t="s">
        <v>197</v>
      </c>
      <c r="C414" s="12" t="s">
        <v>198</v>
      </c>
      <c r="D414" s="11" t="s">
        <v>643</v>
      </c>
      <c r="E414" s="12" t="s">
        <v>761</v>
      </c>
      <c r="F414" s="13">
        <v>15</v>
      </c>
      <c r="G414" s="22">
        <f>Overview!$B$25</f>
        <v>24</v>
      </c>
      <c r="H414" s="23">
        <f t="shared" si="89"/>
        <v>24</v>
      </c>
      <c r="I414" s="23">
        <f>Overview!$E$25</f>
        <v>0</v>
      </c>
      <c r="J414" s="24">
        <f t="shared" si="90"/>
        <v>0</v>
      </c>
      <c r="K414" s="50">
        <f>Overview!$H$25</f>
        <v>0</v>
      </c>
      <c r="L414" s="51" t="e">
        <f t="shared" si="93"/>
        <v>#DIV/0!</v>
      </c>
      <c r="M414" s="179"/>
      <c r="N414" s="179" t="s">
        <v>968</v>
      </c>
      <c r="O414" s="141">
        <f t="shared" si="94"/>
        <v>0</v>
      </c>
      <c r="P414" s="181" t="b">
        <f>COUNTIF('Facility Data'!$A$1:$A$1500,"*"&amp;A414&amp;"*")&gt;0</f>
        <v>1</v>
      </c>
      <c r="Q414" s="181" t="b">
        <f>COUNTIF('Account Data'!$A$1:$A$1000,"*"&amp;A414&amp;"*")&gt;0</f>
        <v>1</v>
      </c>
      <c r="R414" s="182" t="b">
        <f t="shared" si="91"/>
        <v>1</v>
      </c>
      <c r="S414" s="182" t="b">
        <f t="shared" si="92"/>
        <v>1</v>
      </c>
      <c r="T414" s="181" t="b">
        <f>COUNTIF('New Items'!$A$1:$A$175,A414)&gt;0</f>
        <v>0</v>
      </c>
      <c r="U414" s="181" t="b">
        <f>COUNTIF(Discontinued!$A$1:$A$150,A414)&gt;0</f>
        <v>0</v>
      </c>
    </row>
    <row r="415" spans="1:21" s="8" customFormat="1" ht="11.25" x14ac:dyDescent="0.2">
      <c r="A415" s="152">
        <v>10001323</v>
      </c>
      <c r="B415" s="10" t="s">
        <v>199</v>
      </c>
      <c r="C415" s="12" t="s">
        <v>200</v>
      </c>
      <c r="D415" s="11" t="s">
        <v>645</v>
      </c>
      <c r="E415" s="12" t="s">
        <v>761</v>
      </c>
      <c r="F415" s="13">
        <v>15</v>
      </c>
      <c r="G415" s="22">
        <f>Overview!$B$25</f>
        <v>24</v>
      </c>
      <c r="H415" s="23">
        <f t="shared" si="89"/>
        <v>24</v>
      </c>
      <c r="I415" s="23">
        <f>Overview!$E$25</f>
        <v>0</v>
      </c>
      <c r="J415" s="24">
        <f t="shared" si="90"/>
        <v>0</v>
      </c>
      <c r="K415" s="50">
        <f>Overview!$H$25</f>
        <v>0</v>
      </c>
      <c r="L415" s="51" t="e">
        <f t="shared" si="93"/>
        <v>#DIV/0!</v>
      </c>
      <c r="M415" s="179" t="s">
        <v>4406</v>
      </c>
      <c r="N415" s="179" t="s">
        <v>968</v>
      </c>
      <c r="O415" s="141">
        <f t="shared" si="94"/>
        <v>0</v>
      </c>
      <c r="P415" s="181" t="b">
        <f>COUNTIF('Facility Data'!$A$1:$A$1500,"*"&amp;A415&amp;"*")&gt;0</f>
        <v>0</v>
      </c>
      <c r="Q415" s="181" t="b">
        <f>COUNTIF('Account Data'!$A$1:$A$1000,"*"&amp;A415&amp;"*")&gt;0</f>
        <v>1</v>
      </c>
      <c r="R415" s="182" t="b">
        <f t="shared" si="91"/>
        <v>0</v>
      </c>
      <c r="S415" s="182" t="b">
        <f t="shared" si="92"/>
        <v>1</v>
      </c>
      <c r="T415" s="181" t="b">
        <f>COUNTIF('New Items'!$A$1:$A$175,A415)&gt;0</f>
        <v>0</v>
      </c>
      <c r="U415" s="181" t="b">
        <f>COUNTIF(Discontinued!$A$1:$A$150,A415)&gt;0</f>
        <v>0</v>
      </c>
    </row>
    <row r="416" spans="1:21" s="8" customFormat="1" ht="11.25" x14ac:dyDescent="0.2">
      <c r="A416" s="152">
        <v>10001332</v>
      </c>
      <c r="B416" s="10" t="s">
        <v>201</v>
      </c>
      <c r="C416" s="12" t="s">
        <v>202</v>
      </c>
      <c r="D416" s="11" t="s">
        <v>650</v>
      </c>
      <c r="E416" s="12" t="s">
        <v>761</v>
      </c>
      <c r="F416" s="13">
        <v>15</v>
      </c>
      <c r="G416" s="22">
        <f>Overview!$B$25</f>
        <v>24</v>
      </c>
      <c r="H416" s="23">
        <f t="shared" si="89"/>
        <v>24</v>
      </c>
      <c r="I416" s="23">
        <f>Overview!$E$25</f>
        <v>0</v>
      </c>
      <c r="J416" s="24">
        <f t="shared" si="90"/>
        <v>0</v>
      </c>
      <c r="K416" s="50">
        <f>Overview!$H$25</f>
        <v>0</v>
      </c>
      <c r="L416" s="51" t="e">
        <f t="shared" si="93"/>
        <v>#DIV/0!</v>
      </c>
      <c r="M416" s="179" t="s">
        <v>4369</v>
      </c>
      <c r="N416" s="179" t="s">
        <v>968</v>
      </c>
      <c r="O416" s="141">
        <f t="shared" si="94"/>
        <v>0</v>
      </c>
      <c r="P416" s="181" t="b">
        <f>COUNTIF('Facility Data'!$A$1:$A$1500,"*"&amp;A416&amp;"*")&gt;0</f>
        <v>1</v>
      </c>
      <c r="Q416" s="181" t="b">
        <f>COUNTIF('Account Data'!$A$1:$A$1000,"*"&amp;A416&amp;"*")&gt;0</f>
        <v>1</v>
      </c>
      <c r="R416" s="182" t="b">
        <f t="shared" si="91"/>
        <v>1</v>
      </c>
      <c r="S416" s="182" t="b">
        <f t="shared" si="92"/>
        <v>1</v>
      </c>
      <c r="T416" s="181" t="b">
        <f>COUNTIF('New Items'!$A$1:$A$175,A416)&gt;0</f>
        <v>0</v>
      </c>
      <c r="U416" s="181" t="b">
        <f>COUNTIF(Discontinued!$A$1:$A$150,A416)&gt;0</f>
        <v>0</v>
      </c>
    </row>
    <row r="417" spans="1:21" s="8" customFormat="1" ht="11.25" x14ac:dyDescent="0.2">
      <c r="A417" s="152">
        <v>10001335</v>
      </c>
      <c r="B417" s="10" t="s">
        <v>203</v>
      </c>
      <c r="C417" s="12" t="s">
        <v>204</v>
      </c>
      <c r="D417" s="11" t="s">
        <v>652</v>
      </c>
      <c r="E417" s="12" t="s">
        <v>761</v>
      </c>
      <c r="F417" s="13">
        <v>15</v>
      </c>
      <c r="G417" s="22">
        <f>Overview!$B$25</f>
        <v>24</v>
      </c>
      <c r="H417" s="23">
        <f t="shared" si="89"/>
        <v>24</v>
      </c>
      <c r="I417" s="23">
        <f>Overview!$E$25</f>
        <v>0</v>
      </c>
      <c r="J417" s="24">
        <f t="shared" si="90"/>
        <v>0</v>
      </c>
      <c r="K417" s="50">
        <f>Overview!$H$25</f>
        <v>0</v>
      </c>
      <c r="L417" s="51" t="e">
        <f t="shared" si="93"/>
        <v>#DIV/0!</v>
      </c>
      <c r="M417" s="179"/>
      <c r="N417" s="179" t="s">
        <v>968</v>
      </c>
      <c r="O417" s="141">
        <f t="shared" si="94"/>
        <v>0</v>
      </c>
      <c r="P417" s="181" t="b">
        <f>COUNTIF('Facility Data'!$A$1:$A$1500,"*"&amp;A417&amp;"*")&gt;0</f>
        <v>1</v>
      </c>
      <c r="Q417" s="181" t="b">
        <f>COUNTIF('Account Data'!$A$1:$A$1000,"*"&amp;A417&amp;"*")&gt;0</f>
        <v>1</v>
      </c>
      <c r="R417" s="182" t="b">
        <f t="shared" si="91"/>
        <v>1</v>
      </c>
      <c r="S417" s="182" t="b">
        <f t="shared" si="92"/>
        <v>1</v>
      </c>
      <c r="T417" s="181" t="b">
        <f>COUNTIF('New Items'!$A$1:$A$175,A417)&gt;0</f>
        <v>0</v>
      </c>
      <c r="U417" s="181" t="b">
        <f>COUNTIF(Discontinued!$A$1:$A$150,A417)&gt;0</f>
        <v>0</v>
      </c>
    </row>
    <row r="418" spans="1:21" s="8" customFormat="1" ht="11.25" x14ac:dyDescent="0.2">
      <c r="A418" s="152">
        <v>10004677</v>
      </c>
      <c r="B418" s="10" t="s">
        <v>4808</v>
      </c>
      <c r="C418" s="12" t="s">
        <v>2937</v>
      </c>
      <c r="D418" s="11" t="s">
        <v>4737</v>
      </c>
      <c r="E418" s="12" t="s">
        <v>761</v>
      </c>
      <c r="F418" s="13">
        <v>15</v>
      </c>
      <c r="G418" s="22">
        <f>Overview!$B$25</f>
        <v>24</v>
      </c>
      <c r="H418" s="23">
        <f t="shared" si="89"/>
        <v>24</v>
      </c>
      <c r="I418" s="23">
        <f>Overview!$E$25</f>
        <v>0</v>
      </c>
      <c r="J418" s="24">
        <f>I418/F418</f>
        <v>0</v>
      </c>
      <c r="K418" s="50">
        <f>Overview!$H$25</f>
        <v>0</v>
      </c>
      <c r="L418" s="51" t="e">
        <f>(K418-J418)/K418</f>
        <v>#DIV/0!</v>
      </c>
      <c r="M418" s="179"/>
      <c r="N418" s="179" t="s">
        <v>968</v>
      </c>
      <c r="O418" s="141">
        <f>I418</f>
        <v>0</v>
      </c>
      <c r="P418" s="181" t="b">
        <f>COUNTIF('Facility Data'!$A$1:$A$1500,"*"&amp;A418&amp;"*")&gt;0</f>
        <v>0</v>
      </c>
      <c r="Q418" s="181" t="b">
        <f>COUNTIF('Account Data'!$A$1:$A$1000,"*"&amp;A418&amp;"*")&gt;0</f>
        <v>0</v>
      </c>
      <c r="R418" s="182" t="b">
        <f t="shared" si="91"/>
        <v>0</v>
      </c>
      <c r="S418" s="182" t="b">
        <f t="shared" si="92"/>
        <v>0</v>
      </c>
      <c r="T418" s="181" t="b">
        <f>COUNTIF('New Items'!$A$1:$A$175,A418)&gt;0</f>
        <v>0</v>
      </c>
      <c r="U418" s="181" t="b">
        <f>COUNTIF(Discontinued!$A$1:$A$150,A418)&gt;0</f>
        <v>0</v>
      </c>
    </row>
    <row r="419" spans="1:21" s="8" customFormat="1" ht="11.25" x14ac:dyDescent="0.2">
      <c r="A419" s="152">
        <v>10000384</v>
      </c>
      <c r="B419" s="10" t="s">
        <v>2438</v>
      </c>
      <c r="C419" s="12" t="s">
        <v>2439</v>
      </c>
      <c r="D419" s="11" t="s">
        <v>4116</v>
      </c>
      <c r="E419" s="12" t="s">
        <v>761</v>
      </c>
      <c r="F419" s="13">
        <v>15</v>
      </c>
      <c r="G419" s="22">
        <f>Overview!$B$25</f>
        <v>24</v>
      </c>
      <c r="H419" s="23">
        <f t="shared" si="89"/>
        <v>24</v>
      </c>
      <c r="I419" s="23">
        <f>Overview!$E$25</f>
        <v>0</v>
      </c>
      <c r="J419" s="24">
        <f t="shared" si="90"/>
        <v>0</v>
      </c>
      <c r="K419" s="50">
        <f>Overview!$H$25</f>
        <v>0</v>
      </c>
      <c r="L419" s="51" t="e">
        <f t="shared" si="93"/>
        <v>#DIV/0!</v>
      </c>
      <c r="M419" s="179" t="s">
        <v>953</v>
      </c>
      <c r="N419" s="179" t="s">
        <v>968</v>
      </c>
      <c r="O419" s="141">
        <f>I419</f>
        <v>0</v>
      </c>
      <c r="P419" s="181" t="b">
        <f>COUNTIF('Facility Data'!$A$1:$A$1500,"*"&amp;A419&amp;"*")&gt;0</f>
        <v>0</v>
      </c>
      <c r="Q419" s="181" t="b">
        <f>COUNTIF('Account Data'!$A$1:$A$1000,"*"&amp;A419&amp;"*")&gt;0</f>
        <v>0</v>
      </c>
      <c r="R419" s="182" t="b">
        <f t="shared" si="91"/>
        <v>0</v>
      </c>
      <c r="S419" s="182" t="b">
        <f t="shared" si="92"/>
        <v>0</v>
      </c>
      <c r="T419" s="181" t="b">
        <f>COUNTIF('New Items'!$A$1:$A$175,A419)&gt;0</f>
        <v>0</v>
      </c>
      <c r="U419" s="181" t="b">
        <f>COUNTIF(Discontinued!$A$1:$A$150,A419)&gt;0</f>
        <v>0</v>
      </c>
    </row>
    <row r="420" spans="1:21" s="8" customFormat="1" ht="11.25" x14ac:dyDescent="0.2">
      <c r="A420" s="152">
        <v>10001329</v>
      </c>
      <c r="B420" s="10" t="s">
        <v>3831</v>
      </c>
      <c r="C420" s="12" t="s">
        <v>2999</v>
      </c>
      <c r="D420" s="11" t="s">
        <v>1697</v>
      </c>
      <c r="E420" s="12" t="s">
        <v>761</v>
      </c>
      <c r="F420" s="13">
        <v>15</v>
      </c>
      <c r="G420" s="22">
        <f>Overview!$B$25</f>
        <v>24</v>
      </c>
      <c r="H420" s="23">
        <f t="shared" si="89"/>
        <v>24</v>
      </c>
      <c r="I420" s="23">
        <f>Overview!$E$25</f>
        <v>0</v>
      </c>
      <c r="J420" s="24">
        <f>I420/F420</f>
        <v>0</v>
      </c>
      <c r="K420" s="50">
        <f>Overview!$H$25</f>
        <v>0</v>
      </c>
      <c r="L420" s="51" t="e">
        <f>(K420-J420)/K420</f>
        <v>#DIV/0!</v>
      </c>
      <c r="M420" s="179" t="s">
        <v>953</v>
      </c>
      <c r="N420" s="179" t="s">
        <v>968</v>
      </c>
      <c r="O420" s="141">
        <f>I420</f>
        <v>0</v>
      </c>
      <c r="P420" s="181" t="b">
        <f>COUNTIF('Facility Data'!$A$1:$A$1500,"*"&amp;A420&amp;"*")&gt;0</f>
        <v>0</v>
      </c>
      <c r="Q420" s="181" t="b">
        <f>COUNTIF('Account Data'!$A$1:$A$1000,"*"&amp;A420&amp;"*")&gt;0</f>
        <v>0</v>
      </c>
      <c r="R420" s="182" t="b">
        <f t="shared" si="91"/>
        <v>0</v>
      </c>
      <c r="S420" s="182" t="b">
        <f t="shared" si="92"/>
        <v>0</v>
      </c>
      <c r="T420" s="181" t="b">
        <f>COUNTIF('New Items'!$A$1:$A$175,A420)&gt;0</f>
        <v>0</v>
      </c>
      <c r="U420" s="181" t="b">
        <f>COUNTIF(Discontinued!$A$1:$A$150,A420)&gt;0</f>
        <v>0</v>
      </c>
    </row>
    <row r="421" spans="1:21" s="8" customFormat="1" ht="11.25" x14ac:dyDescent="0.2">
      <c r="A421" s="152">
        <v>10001322</v>
      </c>
      <c r="B421" s="10" t="s">
        <v>205</v>
      </c>
      <c r="C421" s="12" t="s">
        <v>206</v>
      </c>
      <c r="D421" s="11" t="s">
        <v>636</v>
      </c>
      <c r="E421" s="12" t="s">
        <v>761</v>
      </c>
      <c r="F421" s="13">
        <v>15</v>
      </c>
      <c r="G421" s="22">
        <f>Overview!$B$25</f>
        <v>24</v>
      </c>
      <c r="H421" s="23">
        <f t="shared" si="89"/>
        <v>24</v>
      </c>
      <c r="I421" s="23">
        <f>Overview!$E$25</f>
        <v>0</v>
      </c>
      <c r="J421" s="24">
        <f t="shared" si="90"/>
        <v>0</v>
      </c>
      <c r="K421" s="50">
        <f>Overview!$H$25</f>
        <v>0</v>
      </c>
      <c r="L421" s="51" t="e">
        <f t="shared" si="93"/>
        <v>#DIV/0!</v>
      </c>
      <c r="M421" s="179" t="s">
        <v>4370</v>
      </c>
      <c r="N421" s="179" t="s">
        <v>968</v>
      </c>
      <c r="O421" s="141">
        <f>I421</f>
        <v>0</v>
      </c>
      <c r="P421" s="181" t="b">
        <f>COUNTIF('Facility Data'!$A$1:$A$1500,"*"&amp;A421&amp;"*")&gt;0</f>
        <v>0</v>
      </c>
      <c r="Q421" s="181" t="b">
        <f>COUNTIF('Account Data'!$A$1:$A$1000,"*"&amp;A421&amp;"*")&gt;0</f>
        <v>1</v>
      </c>
      <c r="R421" s="182" t="b">
        <f t="shared" si="91"/>
        <v>0</v>
      </c>
      <c r="S421" s="182" t="b">
        <f t="shared" si="92"/>
        <v>1</v>
      </c>
      <c r="T421" s="181" t="b">
        <f>COUNTIF('New Items'!$A$1:$A$175,A421)&gt;0</f>
        <v>0</v>
      </c>
      <c r="U421" s="181" t="b">
        <f>COUNTIF(Discontinued!$A$1:$A$150,A421)&gt;0</f>
        <v>0</v>
      </c>
    </row>
    <row r="422" spans="1:21" s="8" customFormat="1" ht="11.25" x14ac:dyDescent="0.2">
      <c r="A422" s="152">
        <v>10001325</v>
      </c>
      <c r="B422" s="10" t="s">
        <v>2436</v>
      </c>
      <c r="C422" s="12" t="s">
        <v>2437</v>
      </c>
      <c r="D422" s="11" t="s">
        <v>655</v>
      </c>
      <c r="E422" s="12" t="s">
        <v>761</v>
      </c>
      <c r="F422" s="13">
        <v>15</v>
      </c>
      <c r="G422" s="22">
        <f>Overview!$B$25</f>
        <v>24</v>
      </c>
      <c r="H422" s="23">
        <f t="shared" si="89"/>
        <v>24</v>
      </c>
      <c r="I422" s="23">
        <f>Overview!$E$25</f>
        <v>0</v>
      </c>
      <c r="J422" s="24">
        <f t="shared" si="90"/>
        <v>0</v>
      </c>
      <c r="K422" s="50">
        <f>Overview!$H$25</f>
        <v>0</v>
      </c>
      <c r="L422" s="51" t="e">
        <f t="shared" si="93"/>
        <v>#DIV/0!</v>
      </c>
      <c r="M422" s="179"/>
      <c r="N422" s="179" t="s">
        <v>968</v>
      </c>
      <c r="O422" s="141">
        <f t="shared" si="94"/>
        <v>0</v>
      </c>
      <c r="P422" s="181" t="b">
        <f>COUNTIF('Facility Data'!$A$1:$A$1500,"*"&amp;A422&amp;"*")&gt;0</f>
        <v>0</v>
      </c>
      <c r="Q422" s="181" t="b">
        <f>COUNTIF('Account Data'!$A$1:$A$1000,"*"&amp;A422&amp;"*")&gt;0</f>
        <v>0</v>
      </c>
      <c r="R422" s="182" t="b">
        <f t="shared" si="91"/>
        <v>0</v>
      </c>
      <c r="S422" s="182" t="b">
        <f t="shared" si="92"/>
        <v>0</v>
      </c>
      <c r="T422" s="181" t="b">
        <f>COUNTIF('New Items'!$A$1:$A$175,A422)&gt;0</f>
        <v>0</v>
      </c>
      <c r="U422" s="181" t="b">
        <f>COUNTIF(Discontinued!$A$1:$A$150,A422)&gt;0</f>
        <v>0</v>
      </c>
    </row>
    <row r="423" spans="1:21" s="8" customFormat="1" ht="11.25" x14ac:dyDescent="0.2">
      <c r="A423" s="152">
        <v>10000069</v>
      </c>
      <c r="B423" s="10" t="s">
        <v>1570</v>
      </c>
      <c r="C423" s="12" t="s">
        <v>1571</v>
      </c>
      <c r="D423" s="11" t="s">
        <v>640</v>
      </c>
      <c r="E423" s="12" t="s">
        <v>761</v>
      </c>
      <c r="F423" s="13">
        <v>15</v>
      </c>
      <c r="G423" s="22">
        <f>Overview!$B$25</f>
        <v>24</v>
      </c>
      <c r="H423" s="23">
        <f t="shared" si="89"/>
        <v>24</v>
      </c>
      <c r="I423" s="23">
        <f>Overview!$E$25</f>
        <v>0</v>
      </c>
      <c r="J423" s="24">
        <f t="shared" si="90"/>
        <v>0</v>
      </c>
      <c r="K423" s="50">
        <f>Overview!$H$25</f>
        <v>0</v>
      </c>
      <c r="L423" s="51" t="e">
        <f t="shared" si="93"/>
        <v>#DIV/0!</v>
      </c>
      <c r="M423" s="179"/>
      <c r="N423" s="179" t="s">
        <v>968</v>
      </c>
      <c r="O423" s="141">
        <f>I423</f>
        <v>0</v>
      </c>
      <c r="P423" s="181" t="b">
        <f>COUNTIF('Facility Data'!$A$1:$A$1500,"*"&amp;A423&amp;"*")&gt;0</f>
        <v>1</v>
      </c>
      <c r="Q423" s="181" t="b">
        <f>COUNTIF('Account Data'!$A$1:$A$1000,"*"&amp;A423&amp;"*")&gt;0</f>
        <v>0</v>
      </c>
      <c r="R423" s="182" t="b">
        <f t="shared" si="91"/>
        <v>1</v>
      </c>
      <c r="S423" s="182" t="b">
        <f t="shared" si="92"/>
        <v>0</v>
      </c>
      <c r="T423" s="181" t="b">
        <f>COUNTIF('New Items'!$A$1:$A$175,A423)&gt;0</f>
        <v>0</v>
      </c>
      <c r="U423" s="181" t="b">
        <f>COUNTIF(Discontinued!$A$1:$A$150,A423)&gt;0</f>
        <v>0</v>
      </c>
    </row>
    <row r="424" spans="1:21" s="8" customFormat="1" ht="12" thickBot="1" x14ac:dyDescent="0.25">
      <c r="A424" s="152">
        <v>10001319</v>
      </c>
      <c r="B424" s="10" t="s">
        <v>207</v>
      </c>
      <c r="C424" s="12" t="s">
        <v>208</v>
      </c>
      <c r="D424" s="11" t="s">
        <v>660</v>
      </c>
      <c r="E424" s="12" t="s">
        <v>761</v>
      </c>
      <c r="F424" s="13">
        <v>15</v>
      </c>
      <c r="G424" s="22">
        <f>Overview!$B$25</f>
        <v>24</v>
      </c>
      <c r="H424" s="23">
        <f t="shared" si="89"/>
        <v>24</v>
      </c>
      <c r="I424" s="23">
        <f>Overview!$E$25</f>
        <v>0</v>
      </c>
      <c r="J424" s="24">
        <f t="shared" si="90"/>
        <v>0</v>
      </c>
      <c r="K424" s="50">
        <f>Overview!$H$25</f>
        <v>0</v>
      </c>
      <c r="L424" s="51" t="e">
        <f t="shared" si="93"/>
        <v>#DIV/0!</v>
      </c>
      <c r="M424" s="179"/>
      <c r="N424" s="179" t="s">
        <v>968</v>
      </c>
      <c r="O424" s="141">
        <f t="shared" si="94"/>
        <v>0</v>
      </c>
      <c r="P424" s="181" t="b">
        <f>COUNTIF('Facility Data'!$A$1:$A$1500,"*"&amp;A424&amp;"*")&gt;0</f>
        <v>0</v>
      </c>
      <c r="Q424" s="181" t="b">
        <f>COUNTIF('Account Data'!$A$1:$A$1000,"*"&amp;A424&amp;"*")&gt;0</f>
        <v>1</v>
      </c>
      <c r="R424" s="182" t="b">
        <f t="shared" si="91"/>
        <v>0</v>
      </c>
      <c r="S424" s="182" t="b">
        <f t="shared" si="92"/>
        <v>1</v>
      </c>
      <c r="T424" s="181" t="b">
        <f>COUNTIF('New Items'!$A$1:$A$175,A424)&gt;0</f>
        <v>0</v>
      </c>
      <c r="U424" s="181" t="b">
        <f>COUNTIF(Discontinued!$A$1:$A$150,A424)&gt;0</f>
        <v>0</v>
      </c>
    </row>
    <row r="425" spans="1:21" s="8" customFormat="1" ht="13.5" thickBot="1" x14ac:dyDescent="0.25">
      <c r="A425" s="300" t="s">
        <v>2670</v>
      </c>
      <c r="B425" s="301"/>
      <c r="C425" s="301"/>
      <c r="D425" s="301"/>
      <c r="E425" s="301"/>
      <c r="F425" s="301"/>
      <c r="G425" s="301"/>
      <c r="H425" s="301"/>
      <c r="I425" s="301"/>
      <c r="J425" s="301"/>
      <c r="K425" s="301"/>
      <c r="L425" s="302"/>
      <c r="M425" s="179" t="s">
        <v>4361</v>
      </c>
      <c r="N425" s="179" t="s">
        <v>3137</v>
      </c>
      <c r="O425" s="141">
        <f>AVERAGE(O426:O432)</f>
        <v>0</v>
      </c>
      <c r="P425" s="181" t="b">
        <f>COUNTIF(P426:P432,TRUE)&gt;0</f>
        <v>0</v>
      </c>
      <c r="Q425" s="181" t="b">
        <f>COUNTIF(Q426:Q432,TRUE)&gt;0</f>
        <v>0</v>
      </c>
      <c r="R425" s="181" t="b">
        <f>COUNTIF(R426:R432,TRUE)&gt;0</f>
        <v>0</v>
      </c>
      <c r="S425" s="181" t="b">
        <f>COUNTIF(S426:S432,TRUE)&gt;0</f>
        <v>0</v>
      </c>
      <c r="T425" s="181" t="b">
        <f>COUNTIF(T426:T432,TRUE)&gt;0</f>
        <v>0</v>
      </c>
      <c r="U425" s="181"/>
    </row>
    <row r="426" spans="1:21" s="8" customFormat="1" ht="11.25" x14ac:dyDescent="0.2">
      <c r="A426" s="152">
        <v>10107538</v>
      </c>
      <c r="B426" s="10" t="s">
        <v>2671</v>
      </c>
      <c r="C426" s="12" t="s">
        <v>2672</v>
      </c>
      <c r="D426" s="11" t="s">
        <v>629</v>
      </c>
      <c r="E426" s="12" t="s">
        <v>761</v>
      </c>
      <c r="F426" s="13">
        <v>12</v>
      </c>
      <c r="G426" s="22">
        <f>Overview!$B$26</f>
        <v>24</v>
      </c>
      <c r="H426" s="23">
        <f t="shared" ref="H426:H432" si="95">G426-I426</f>
        <v>24</v>
      </c>
      <c r="I426" s="23">
        <f>Overview!$E$26</f>
        <v>0</v>
      </c>
      <c r="J426" s="24">
        <f t="shared" ref="J426:J432" si="96">I426/F426</f>
        <v>0</v>
      </c>
      <c r="K426" s="50">
        <f>Overview!$H$26</f>
        <v>0</v>
      </c>
      <c r="L426" s="51" t="e">
        <f>(K426-J426)/K426</f>
        <v>#DIV/0!</v>
      </c>
      <c r="M426" s="179" t="s">
        <v>951</v>
      </c>
      <c r="N426" s="179" t="s">
        <v>3137</v>
      </c>
      <c r="O426" s="141">
        <f t="shared" ref="O426:O432" si="97">I426</f>
        <v>0</v>
      </c>
      <c r="P426" s="181" t="b">
        <f>COUNTIF('Facility Data'!$A$1:$A$1500,"*"&amp;A426&amp;"*")&gt;0</f>
        <v>0</v>
      </c>
      <c r="Q426" s="181" t="b">
        <f>COUNTIF('Account Data'!$A$1:$A$1000,"*"&amp;A426&amp;"*")&gt;0</f>
        <v>0</v>
      </c>
      <c r="R426" s="182" t="b">
        <f t="shared" ref="R426:R432" si="98">IF(OR(P426=TRUE,T426=TRUE),TRUE,FALSE)</f>
        <v>0</v>
      </c>
      <c r="S426" s="182" t="b">
        <f t="shared" ref="S426:S432" si="99">IF(OR(Q426=TRUE,T426=TRUE),TRUE,FALSE)</f>
        <v>0</v>
      </c>
      <c r="T426" s="181" t="b">
        <f>COUNTIF('New Items'!$A$1:$A$175,A426)&gt;0</f>
        <v>0</v>
      </c>
      <c r="U426" s="181" t="b">
        <f>COUNTIF(Discontinued!$A$1:$A$150,A426)&gt;0</f>
        <v>0</v>
      </c>
    </row>
    <row r="427" spans="1:21" s="8" customFormat="1" ht="11.25" x14ac:dyDescent="0.2">
      <c r="A427" s="152">
        <v>10010929</v>
      </c>
      <c r="B427" s="10" t="s">
        <v>2673</v>
      </c>
      <c r="C427" s="12" t="s">
        <v>2674</v>
      </c>
      <c r="D427" s="11" t="s">
        <v>631</v>
      </c>
      <c r="E427" s="12" t="s">
        <v>761</v>
      </c>
      <c r="F427" s="13">
        <v>12</v>
      </c>
      <c r="G427" s="22">
        <f>Overview!$B$26</f>
        <v>24</v>
      </c>
      <c r="H427" s="23">
        <f t="shared" si="95"/>
        <v>24</v>
      </c>
      <c r="I427" s="23">
        <f>Overview!$E$26</f>
        <v>0</v>
      </c>
      <c r="J427" s="24">
        <f t="shared" si="96"/>
        <v>0</v>
      </c>
      <c r="K427" s="50">
        <f>Overview!$H$26</f>
        <v>0</v>
      </c>
      <c r="L427" s="51" t="e">
        <f t="shared" ref="L427:L432" si="100">(K427-J427)/K427</f>
        <v>#DIV/0!</v>
      </c>
      <c r="M427" s="179" t="s">
        <v>951</v>
      </c>
      <c r="N427" s="179" t="s">
        <v>3137</v>
      </c>
      <c r="O427" s="141">
        <f t="shared" si="97"/>
        <v>0</v>
      </c>
      <c r="P427" s="181" t="b">
        <f>COUNTIF('Facility Data'!$A$1:$A$1500,"*"&amp;A427&amp;"*")&gt;0</f>
        <v>0</v>
      </c>
      <c r="Q427" s="181" t="b">
        <f>COUNTIF('Account Data'!$A$1:$A$1000,"*"&amp;A427&amp;"*")&gt;0</f>
        <v>0</v>
      </c>
      <c r="R427" s="182" t="b">
        <f t="shared" si="98"/>
        <v>0</v>
      </c>
      <c r="S427" s="182" t="b">
        <f t="shared" si="99"/>
        <v>0</v>
      </c>
      <c r="T427" s="181" t="b">
        <f>COUNTIF('New Items'!$A$1:$A$175,A427)&gt;0</f>
        <v>0</v>
      </c>
      <c r="U427" s="181" t="b">
        <f>COUNTIF(Discontinued!$A$1:$A$150,A427)&gt;0</f>
        <v>0</v>
      </c>
    </row>
    <row r="428" spans="1:21" s="8" customFormat="1" ht="11.25" x14ac:dyDescent="0.2">
      <c r="A428" s="152">
        <v>10107491</v>
      </c>
      <c r="B428" s="10" t="s">
        <v>2675</v>
      </c>
      <c r="C428" s="12" t="s">
        <v>2676</v>
      </c>
      <c r="D428" s="11" t="s">
        <v>643</v>
      </c>
      <c r="E428" s="12" t="s">
        <v>761</v>
      </c>
      <c r="F428" s="13">
        <v>12</v>
      </c>
      <c r="G428" s="22">
        <f>Overview!$B$26</f>
        <v>24</v>
      </c>
      <c r="H428" s="23">
        <f t="shared" si="95"/>
        <v>24</v>
      </c>
      <c r="I428" s="23">
        <f>Overview!$E$26</f>
        <v>0</v>
      </c>
      <c r="J428" s="24">
        <f t="shared" si="96"/>
        <v>0</v>
      </c>
      <c r="K428" s="50">
        <f>Overview!$H$26</f>
        <v>0</v>
      </c>
      <c r="L428" s="51" t="e">
        <f t="shared" si="100"/>
        <v>#DIV/0!</v>
      </c>
      <c r="M428" s="179"/>
      <c r="N428" s="179" t="s">
        <v>3137</v>
      </c>
      <c r="O428" s="141">
        <f t="shared" si="97"/>
        <v>0</v>
      </c>
      <c r="P428" s="181" t="b">
        <f>COUNTIF('Facility Data'!$A$1:$A$1500,"*"&amp;A428&amp;"*")&gt;0</f>
        <v>0</v>
      </c>
      <c r="Q428" s="181" t="b">
        <f>COUNTIF('Account Data'!$A$1:$A$1000,"*"&amp;A428&amp;"*")&gt;0</f>
        <v>0</v>
      </c>
      <c r="R428" s="182" t="b">
        <f t="shared" si="98"/>
        <v>0</v>
      </c>
      <c r="S428" s="182" t="b">
        <f t="shared" si="99"/>
        <v>0</v>
      </c>
      <c r="T428" s="181" t="b">
        <f>COUNTIF('New Items'!$A$1:$A$175,A428)&gt;0</f>
        <v>0</v>
      </c>
      <c r="U428" s="181" t="b">
        <f>COUNTIF(Discontinued!$A$1:$A$150,A428)&gt;0</f>
        <v>0</v>
      </c>
    </row>
    <row r="429" spans="1:21" s="8" customFormat="1" ht="11.25" x14ac:dyDescent="0.2">
      <c r="A429" s="152">
        <v>10107490</v>
      </c>
      <c r="B429" s="10" t="s">
        <v>2677</v>
      </c>
      <c r="C429" s="12" t="s">
        <v>2678</v>
      </c>
      <c r="D429" s="11" t="s">
        <v>645</v>
      </c>
      <c r="E429" s="12" t="s">
        <v>761</v>
      </c>
      <c r="F429" s="13">
        <v>12</v>
      </c>
      <c r="G429" s="22">
        <f>Overview!$B$26</f>
        <v>24</v>
      </c>
      <c r="H429" s="23">
        <f t="shared" si="95"/>
        <v>24</v>
      </c>
      <c r="I429" s="23">
        <f>Overview!$E$26</f>
        <v>0</v>
      </c>
      <c r="J429" s="24">
        <f t="shared" si="96"/>
        <v>0</v>
      </c>
      <c r="K429" s="50">
        <f>Overview!$H$26</f>
        <v>0</v>
      </c>
      <c r="L429" s="51" t="e">
        <f t="shared" si="100"/>
        <v>#DIV/0!</v>
      </c>
      <c r="M429" s="179" t="s">
        <v>4406</v>
      </c>
      <c r="N429" s="179" t="s">
        <v>3137</v>
      </c>
      <c r="O429" s="141">
        <f t="shared" si="97"/>
        <v>0</v>
      </c>
      <c r="P429" s="181" t="b">
        <f>COUNTIF('Facility Data'!$A$1:$A$1500,"*"&amp;A429&amp;"*")&gt;0</f>
        <v>0</v>
      </c>
      <c r="Q429" s="181" t="b">
        <f>COUNTIF('Account Data'!$A$1:$A$1000,"*"&amp;A429&amp;"*")&gt;0</f>
        <v>0</v>
      </c>
      <c r="R429" s="182" t="b">
        <f t="shared" si="98"/>
        <v>0</v>
      </c>
      <c r="S429" s="182" t="b">
        <f t="shared" si="99"/>
        <v>0</v>
      </c>
      <c r="T429" s="181" t="b">
        <f>COUNTIF('New Items'!$A$1:$A$175,A429)&gt;0</f>
        <v>0</v>
      </c>
      <c r="U429" s="181" t="b">
        <f>COUNTIF(Discontinued!$A$1:$A$150,A429)&gt;0</f>
        <v>0</v>
      </c>
    </row>
    <row r="430" spans="1:21" s="8" customFormat="1" ht="11.25" x14ac:dyDescent="0.2">
      <c r="A430" s="152">
        <v>10107564</v>
      </c>
      <c r="B430" s="10" t="s">
        <v>2679</v>
      </c>
      <c r="C430" s="12" t="s">
        <v>2680</v>
      </c>
      <c r="D430" s="11" t="s">
        <v>650</v>
      </c>
      <c r="E430" s="12" t="s">
        <v>761</v>
      </c>
      <c r="F430" s="13">
        <v>12</v>
      </c>
      <c r="G430" s="22">
        <f>Overview!$B$26</f>
        <v>24</v>
      </c>
      <c r="H430" s="23">
        <f t="shared" si="95"/>
        <v>24</v>
      </c>
      <c r="I430" s="23">
        <f>Overview!$E$26</f>
        <v>0</v>
      </c>
      <c r="J430" s="24">
        <f t="shared" si="96"/>
        <v>0</v>
      </c>
      <c r="K430" s="50">
        <f>Overview!$H$26</f>
        <v>0</v>
      </c>
      <c r="L430" s="51" t="e">
        <f t="shared" si="100"/>
        <v>#DIV/0!</v>
      </c>
      <c r="M430" s="179" t="s">
        <v>4369</v>
      </c>
      <c r="N430" s="179" t="s">
        <v>3137</v>
      </c>
      <c r="O430" s="141">
        <f t="shared" si="97"/>
        <v>0</v>
      </c>
      <c r="P430" s="181" t="b">
        <f>COUNTIF('Facility Data'!$A$1:$A$1500,"*"&amp;A430&amp;"*")&gt;0</f>
        <v>0</v>
      </c>
      <c r="Q430" s="181" t="b">
        <f>COUNTIF('Account Data'!$A$1:$A$1000,"*"&amp;A430&amp;"*")&gt;0</f>
        <v>0</v>
      </c>
      <c r="R430" s="182" t="b">
        <f t="shared" si="98"/>
        <v>0</v>
      </c>
      <c r="S430" s="182" t="b">
        <f t="shared" si="99"/>
        <v>0</v>
      </c>
      <c r="T430" s="181" t="b">
        <f>COUNTIF('New Items'!$A$1:$A$175,A430)&gt;0</f>
        <v>0</v>
      </c>
      <c r="U430" s="181" t="b">
        <f>COUNTIF(Discontinued!$A$1:$A$150,A430)&gt;0</f>
        <v>0</v>
      </c>
    </row>
    <row r="431" spans="1:21" s="8" customFormat="1" ht="11.25" x14ac:dyDescent="0.2">
      <c r="A431" s="152">
        <v>10107461</v>
      </c>
      <c r="B431" s="10" t="s">
        <v>2681</v>
      </c>
      <c r="C431" s="12" t="s">
        <v>2682</v>
      </c>
      <c r="D431" s="11" t="s">
        <v>636</v>
      </c>
      <c r="E431" s="12" t="s">
        <v>761</v>
      </c>
      <c r="F431" s="13">
        <v>12</v>
      </c>
      <c r="G431" s="22">
        <f>Overview!$B$26</f>
        <v>24</v>
      </c>
      <c r="H431" s="23">
        <f t="shared" si="95"/>
        <v>24</v>
      </c>
      <c r="I431" s="23">
        <f>Overview!$E$26</f>
        <v>0</v>
      </c>
      <c r="J431" s="24">
        <f t="shared" si="96"/>
        <v>0</v>
      </c>
      <c r="K431" s="50">
        <f>Overview!$H$26</f>
        <v>0</v>
      </c>
      <c r="L431" s="51" t="e">
        <f t="shared" si="100"/>
        <v>#DIV/0!</v>
      </c>
      <c r="M431" s="179" t="s">
        <v>4370</v>
      </c>
      <c r="N431" s="179" t="s">
        <v>3137</v>
      </c>
      <c r="O431" s="141">
        <f t="shared" si="97"/>
        <v>0</v>
      </c>
      <c r="P431" s="181" t="b">
        <f>COUNTIF('Facility Data'!$A$1:$A$1500,"*"&amp;A431&amp;"*")&gt;0</f>
        <v>0</v>
      </c>
      <c r="Q431" s="181" t="b">
        <f>COUNTIF('Account Data'!$A$1:$A$1000,"*"&amp;A431&amp;"*")&gt;0</f>
        <v>0</v>
      </c>
      <c r="R431" s="182" t="b">
        <f t="shared" si="98"/>
        <v>0</v>
      </c>
      <c r="S431" s="182" t="b">
        <f t="shared" si="99"/>
        <v>0</v>
      </c>
      <c r="T431" s="181" t="b">
        <f>COUNTIF('New Items'!$A$1:$A$175,A431)&gt;0</f>
        <v>0</v>
      </c>
      <c r="U431" s="181" t="b">
        <f>COUNTIF(Discontinued!$A$1:$A$150,A431)&gt;0</f>
        <v>0</v>
      </c>
    </row>
    <row r="432" spans="1:21" s="8" customFormat="1" ht="12" thickBot="1" x14ac:dyDescent="0.25">
      <c r="A432" s="152">
        <v>10107462</v>
      </c>
      <c r="B432" s="10" t="s">
        <v>2683</v>
      </c>
      <c r="C432" s="12" t="s">
        <v>2684</v>
      </c>
      <c r="D432" s="11" t="s">
        <v>660</v>
      </c>
      <c r="E432" s="12" t="s">
        <v>761</v>
      </c>
      <c r="F432" s="13">
        <v>12</v>
      </c>
      <c r="G432" s="22">
        <f>Overview!$B$26</f>
        <v>24</v>
      </c>
      <c r="H432" s="23">
        <f t="shared" si="95"/>
        <v>24</v>
      </c>
      <c r="I432" s="23">
        <f>Overview!$E$26</f>
        <v>0</v>
      </c>
      <c r="J432" s="24">
        <f t="shared" si="96"/>
        <v>0</v>
      </c>
      <c r="K432" s="50">
        <f>Overview!$H$26</f>
        <v>0</v>
      </c>
      <c r="L432" s="51" t="e">
        <f t="shared" si="100"/>
        <v>#DIV/0!</v>
      </c>
      <c r="M432" s="179"/>
      <c r="N432" s="179" t="s">
        <v>3137</v>
      </c>
      <c r="O432" s="141">
        <f t="shared" si="97"/>
        <v>0</v>
      </c>
      <c r="P432" s="181" t="b">
        <f>COUNTIF('Facility Data'!$A$1:$A$1500,"*"&amp;A432&amp;"*")&gt;0</f>
        <v>0</v>
      </c>
      <c r="Q432" s="181" t="b">
        <f>COUNTIF('Account Data'!$A$1:$A$1000,"*"&amp;A432&amp;"*")&gt;0</f>
        <v>0</v>
      </c>
      <c r="R432" s="182" t="b">
        <f t="shared" si="98"/>
        <v>0</v>
      </c>
      <c r="S432" s="182" t="b">
        <f t="shared" si="99"/>
        <v>0</v>
      </c>
      <c r="T432" s="181" t="b">
        <f>COUNTIF('New Items'!$A$1:$A$175,A432)&gt;0</f>
        <v>0</v>
      </c>
      <c r="U432" s="181" t="b">
        <f>COUNTIF(Discontinued!$A$1:$A$150,A432)&gt;0</f>
        <v>0</v>
      </c>
    </row>
    <row r="433" spans="1:21" s="8" customFormat="1" ht="13.5" thickBot="1" x14ac:dyDescent="0.25">
      <c r="A433" s="300" t="s">
        <v>3390</v>
      </c>
      <c r="B433" s="301"/>
      <c r="C433" s="301"/>
      <c r="D433" s="301"/>
      <c r="E433" s="301"/>
      <c r="F433" s="301"/>
      <c r="G433" s="301"/>
      <c r="H433" s="301"/>
      <c r="I433" s="301"/>
      <c r="J433" s="301"/>
      <c r="K433" s="301"/>
      <c r="L433" s="302"/>
      <c r="M433" s="179" t="s">
        <v>4361</v>
      </c>
      <c r="N433" s="179" t="s">
        <v>969</v>
      </c>
      <c r="O433" s="141">
        <f>AVERAGE(O434:O507)</f>
        <v>0</v>
      </c>
      <c r="P433" s="181" t="b">
        <f>COUNTIF(P434:P507,TRUE)&gt;0</f>
        <v>1</v>
      </c>
      <c r="Q433" s="181" t="b">
        <f>COUNTIF(Q434:Q507,TRUE)&gt;0</f>
        <v>1</v>
      </c>
      <c r="R433" s="181" t="b">
        <f>COUNTIF(R434:R507,TRUE)&gt;0</f>
        <v>1</v>
      </c>
      <c r="S433" s="181" t="b">
        <f>COUNTIF(S434:S507,TRUE)&gt;0</f>
        <v>1</v>
      </c>
      <c r="T433" s="181" t="b">
        <f>COUNTIF(T434:T507,TRUE)&gt;0</f>
        <v>1</v>
      </c>
      <c r="U433" s="181"/>
    </row>
    <row r="434" spans="1:21" s="8" customFormat="1" ht="11.25" x14ac:dyDescent="0.2">
      <c r="A434" s="152">
        <v>10001422</v>
      </c>
      <c r="B434" s="10" t="s">
        <v>209</v>
      </c>
      <c r="C434" s="12" t="s">
        <v>210</v>
      </c>
      <c r="D434" s="11" t="s">
        <v>629</v>
      </c>
      <c r="E434" s="12" t="s">
        <v>773</v>
      </c>
      <c r="F434" s="13">
        <v>8</v>
      </c>
      <c r="G434" s="22">
        <f>Overview!$B$27</f>
        <v>16</v>
      </c>
      <c r="H434" s="114">
        <f t="shared" ref="H434:H444" si="101">G434-I434</f>
        <v>16</v>
      </c>
      <c r="I434" s="114">
        <f>Overview!$E$27</f>
        <v>0</v>
      </c>
      <c r="J434" s="115">
        <f t="shared" ref="J434:J499" si="102">I434/F434</f>
        <v>0</v>
      </c>
      <c r="K434" s="116">
        <f>Overview!$H$27</f>
        <v>0</v>
      </c>
      <c r="L434" s="117" t="e">
        <f t="shared" ref="L434:L499" si="103">(K434-J434)/K434</f>
        <v>#DIV/0!</v>
      </c>
      <c r="M434" s="179" t="s">
        <v>951</v>
      </c>
      <c r="N434" s="179" t="s">
        <v>969</v>
      </c>
      <c r="O434" s="141">
        <f>I434</f>
        <v>0</v>
      </c>
      <c r="P434" s="181" t="b">
        <f>COUNTIF('Facility Data'!$A$1:$A$1500,"*"&amp;A434&amp;"*")&gt;0</f>
        <v>0</v>
      </c>
      <c r="Q434" s="181" t="b">
        <f>COUNTIF('Account Data'!$A$1:$A$1000,"*"&amp;A434&amp;"*")&gt;0</f>
        <v>1</v>
      </c>
      <c r="R434" s="182" t="b">
        <f t="shared" ref="R434:R466" si="104">IF(OR(P434=TRUE,T434=TRUE),TRUE,FALSE)</f>
        <v>0</v>
      </c>
      <c r="S434" s="182" t="b">
        <f t="shared" ref="S434:S472" si="105">IF(OR(Q434=TRUE,T434=TRUE),TRUE,FALSE)</f>
        <v>1</v>
      </c>
      <c r="T434" s="181" t="b">
        <f>COUNTIF('New Items'!$A$1:$A$175,A434)&gt;0</f>
        <v>0</v>
      </c>
      <c r="U434" s="181" t="b">
        <f>COUNTIF(Discontinued!$A$1:$A$150,A434)&gt;0</f>
        <v>0</v>
      </c>
    </row>
    <row r="435" spans="1:21" s="8" customFormat="1" ht="11.25" x14ac:dyDescent="0.2">
      <c r="A435" s="290">
        <v>10136726</v>
      </c>
      <c r="B435" s="10" t="s">
        <v>4716</v>
      </c>
      <c r="C435" s="12" t="s">
        <v>4717</v>
      </c>
      <c r="D435" s="11" t="s">
        <v>4713</v>
      </c>
      <c r="E435" s="12" t="s">
        <v>773</v>
      </c>
      <c r="F435" s="13">
        <v>8</v>
      </c>
      <c r="G435" s="22">
        <f>Overview!$B$27</f>
        <v>16</v>
      </c>
      <c r="H435" s="114">
        <f t="shared" si="101"/>
        <v>16</v>
      </c>
      <c r="I435" s="114">
        <f>Overview!$E$27</f>
        <v>0</v>
      </c>
      <c r="J435" s="115">
        <f>I435/F435</f>
        <v>0</v>
      </c>
      <c r="K435" s="116">
        <f>Overview!$H$27</f>
        <v>0</v>
      </c>
      <c r="L435" s="117" t="e">
        <f>(K435-J435)/K435</f>
        <v>#DIV/0!</v>
      </c>
      <c r="M435" s="179" t="s">
        <v>951</v>
      </c>
      <c r="N435" s="179" t="s">
        <v>969</v>
      </c>
      <c r="O435" s="141">
        <f>I435</f>
        <v>0</v>
      </c>
      <c r="P435" s="181" t="b">
        <f>COUNTIF('Facility Data'!$A$1:$A$1500,"*"&amp;A435&amp;"*")&gt;0</f>
        <v>0</v>
      </c>
      <c r="Q435" s="181" t="b">
        <f>COUNTIF('Account Data'!$A$1:$A$1000,"*"&amp;A435&amp;"*")&gt;0</f>
        <v>0</v>
      </c>
      <c r="R435" s="182" t="b">
        <f>IF(OR(P435=TRUE,T435=TRUE),TRUE,FALSE)</f>
        <v>1</v>
      </c>
      <c r="S435" s="182" t="b">
        <f t="shared" si="105"/>
        <v>1</v>
      </c>
      <c r="T435" s="181" t="b">
        <f>COUNTIF('New Items'!$A$1:$A$175,A435)&gt;0</f>
        <v>1</v>
      </c>
      <c r="U435" s="181" t="b">
        <f>COUNTIF(Discontinued!$A$1:$A$150,A435)&gt;0</f>
        <v>0</v>
      </c>
    </row>
    <row r="436" spans="1:21" s="8" customFormat="1" ht="11.25" x14ac:dyDescent="0.2">
      <c r="A436" s="152">
        <v>10001423</v>
      </c>
      <c r="B436" s="10" t="s">
        <v>211</v>
      </c>
      <c r="C436" s="12" t="s">
        <v>212</v>
      </c>
      <c r="D436" s="11" t="s">
        <v>631</v>
      </c>
      <c r="E436" s="12" t="s">
        <v>773</v>
      </c>
      <c r="F436" s="13">
        <v>8</v>
      </c>
      <c r="G436" s="22">
        <f>Overview!$B$27</f>
        <v>16</v>
      </c>
      <c r="H436" s="114">
        <f t="shared" si="101"/>
        <v>16</v>
      </c>
      <c r="I436" s="114">
        <f>Overview!$E$27</f>
        <v>0</v>
      </c>
      <c r="J436" s="115">
        <f t="shared" si="102"/>
        <v>0</v>
      </c>
      <c r="K436" s="116">
        <f>Overview!$H$27</f>
        <v>0</v>
      </c>
      <c r="L436" s="117" t="e">
        <f t="shared" si="103"/>
        <v>#DIV/0!</v>
      </c>
      <c r="M436" s="179" t="s">
        <v>951</v>
      </c>
      <c r="N436" s="179" t="s">
        <v>969</v>
      </c>
      <c r="O436" s="141">
        <f t="shared" ref="O436:O507" si="106">I436</f>
        <v>0</v>
      </c>
      <c r="P436" s="181" t="b">
        <f>COUNTIF('Facility Data'!$A$1:$A$1500,"*"&amp;A436&amp;"*")&gt;0</f>
        <v>0</v>
      </c>
      <c r="Q436" s="181" t="b">
        <f>COUNTIF('Account Data'!$A$1:$A$1000,"*"&amp;A436&amp;"*")&gt;0</f>
        <v>1</v>
      </c>
      <c r="R436" s="182" t="b">
        <f t="shared" si="104"/>
        <v>0</v>
      </c>
      <c r="S436" s="182" t="b">
        <f t="shared" si="105"/>
        <v>1</v>
      </c>
      <c r="T436" s="181" t="b">
        <f>COUNTIF('New Items'!$A$1:$A$175,A436)&gt;0</f>
        <v>0</v>
      </c>
      <c r="U436" s="181" t="b">
        <f>COUNTIF(Discontinued!$A$1:$A$150,A436)&gt;0</f>
        <v>0</v>
      </c>
    </row>
    <row r="437" spans="1:21" s="8" customFormat="1" ht="11.25" x14ac:dyDescent="0.2">
      <c r="A437" s="152">
        <v>10001798</v>
      </c>
      <c r="B437" s="10" t="s">
        <v>213</v>
      </c>
      <c r="C437" s="12" t="s">
        <v>214</v>
      </c>
      <c r="D437" s="11" t="s">
        <v>632</v>
      </c>
      <c r="E437" s="12" t="s">
        <v>773</v>
      </c>
      <c r="F437" s="13">
        <v>8</v>
      </c>
      <c r="G437" s="22">
        <f>Overview!$B$27</f>
        <v>16</v>
      </c>
      <c r="H437" s="114">
        <f t="shared" si="101"/>
        <v>16</v>
      </c>
      <c r="I437" s="114">
        <f>Overview!$E$27</f>
        <v>0</v>
      </c>
      <c r="J437" s="115">
        <f>I437/F437</f>
        <v>0</v>
      </c>
      <c r="K437" s="116">
        <f>Overview!$H$27</f>
        <v>0</v>
      </c>
      <c r="L437" s="117" t="e">
        <f>(K437-J437)/K437</f>
        <v>#DIV/0!</v>
      </c>
      <c r="M437" s="179" t="s">
        <v>951</v>
      </c>
      <c r="N437" s="179" t="s">
        <v>969</v>
      </c>
      <c r="O437" s="141">
        <f>I437</f>
        <v>0</v>
      </c>
      <c r="P437" s="181" t="b">
        <f>COUNTIF('Facility Data'!$A$1:$A$1500,"*"&amp;A437&amp;"*")&gt;0</f>
        <v>0</v>
      </c>
      <c r="Q437" s="181" t="b">
        <f>COUNTIF('Account Data'!$A$1:$A$1000,"*"&amp;A437&amp;"*")&gt;0</f>
        <v>1</v>
      </c>
      <c r="R437" s="182" t="b">
        <f t="shared" si="104"/>
        <v>0</v>
      </c>
      <c r="S437" s="182" t="b">
        <f t="shared" si="105"/>
        <v>1</v>
      </c>
      <c r="T437" s="181" t="b">
        <f>COUNTIF('New Items'!$A$1:$A$175,A437)&gt;0</f>
        <v>0</v>
      </c>
      <c r="U437" s="181" t="b">
        <f>COUNTIF(Discontinued!$A$1:$A$150,A437)&gt;0</f>
        <v>0</v>
      </c>
    </row>
    <row r="438" spans="1:21" s="8" customFormat="1" ht="11.25" x14ac:dyDescent="0.2">
      <c r="A438" s="290">
        <v>10136732</v>
      </c>
      <c r="B438" s="10" t="s">
        <v>4723</v>
      </c>
      <c r="C438" s="12" t="s">
        <v>4724</v>
      </c>
      <c r="D438" s="11" t="s">
        <v>4721</v>
      </c>
      <c r="E438" s="12" t="s">
        <v>773</v>
      </c>
      <c r="F438" s="13">
        <v>8</v>
      </c>
      <c r="G438" s="22">
        <f>Overview!$B$27</f>
        <v>16</v>
      </c>
      <c r="H438" s="114">
        <f t="shared" si="101"/>
        <v>16</v>
      </c>
      <c r="I438" s="114">
        <f>Overview!$E$27</f>
        <v>0</v>
      </c>
      <c r="J438" s="115">
        <f>I438/F438</f>
        <v>0</v>
      </c>
      <c r="K438" s="116">
        <f>Overview!$H$27</f>
        <v>0</v>
      </c>
      <c r="L438" s="117" t="e">
        <f>(K438-J438)/K438</f>
        <v>#DIV/0!</v>
      </c>
      <c r="M438" s="179" t="s">
        <v>951</v>
      </c>
      <c r="N438" s="179" t="s">
        <v>969</v>
      </c>
      <c r="O438" s="141">
        <f>I438</f>
        <v>0</v>
      </c>
      <c r="P438" s="181" t="b">
        <f>COUNTIF('Facility Data'!$A$1:$A$1500,"*"&amp;A438&amp;"*")&gt;0</f>
        <v>0</v>
      </c>
      <c r="Q438" s="181" t="b">
        <f>COUNTIF('Account Data'!$A$1:$A$1000,"*"&amp;A438&amp;"*")&gt;0</f>
        <v>0</v>
      </c>
      <c r="R438" s="182" t="b">
        <f>IF(OR(P438=TRUE,T438=TRUE),TRUE,FALSE)</f>
        <v>1</v>
      </c>
      <c r="S438" s="182" t="b">
        <f t="shared" si="105"/>
        <v>1</v>
      </c>
      <c r="T438" s="181" t="b">
        <f>COUNTIF('New Items'!$A$1:$A$175,A438)&gt;0</f>
        <v>1</v>
      </c>
      <c r="U438" s="181" t="b">
        <f>COUNTIF(Discontinued!$A$1:$A$150,A438)&gt;0</f>
        <v>0</v>
      </c>
    </row>
    <row r="439" spans="1:21" s="8" customFormat="1" ht="11.25" x14ac:dyDescent="0.2">
      <c r="A439" s="152">
        <v>10001799</v>
      </c>
      <c r="B439" s="10" t="s">
        <v>215</v>
      </c>
      <c r="C439" s="12" t="s">
        <v>216</v>
      </c>
      <c r="D439" s="11" t="s">
        <v>641</v>
      </c>
      <c r="E439" s="12" t="s">
        <v>773</v>
      </c>
      <c r="F439" s="13">
        <v>8</v>
      </c>
      <c r="G439" s="22">
        <f>Overview!$B$27</f>
        <v>16</v>
      </c>
      <c r="H439" s="114">
        <f t="shared" si="101"/>
        <v>16</v>
      </c>
      <c r="I439" s="114">
        <f>Overview!$E$27</f>
        <v>0</v>
      </c>
      <c r="J439" s="115">
        <f>I439/F439</f>
        <v>0</v>
      </c>
      <c r="K439" s="116">
        <f>Overview!$H$27</f>
        <v>0</v>
      </c>
      <c r="L439" s="117" t="e">
        <f>(K439-J439)/K439</f>
        <v>#DIV/0!</v>
      </c>
      <c r="M439" s="179" t="s">
        <v>951</v>
      </c>
      <c r="N439" s="179" t="s">
        <v>969</v>
      </c>
      <c r="O439" s="141">
        <f>I439</f>
        <v>0</v>
      </c>
      <c r="P439" s="181" t="b">
        <f>COUNTIF('Facility Data'!$A$1:$A$1500,"*"&amp;A439&amp;"*")&gt;0</f>
        <v>0</v>
      </c>
      <c r="Q439" s="181" t="b">
        <f>COUNTIF('Account Data'!$A$1:$A$1000,"*"&amp;A439&amp;"*")&gt;0</f>
        <v>1</v>
      </c>
      <c r="R439" s="182" t="b">
        <f t="shared" si="104"/>
        <v>0</v>
      </c>
      <c r="S439" s="182" t="b">
        <f t="shared" si="105"/>
        <v>1</v>
      </c>
      <c r="T439" s="181" t="b">
        <f>COUNTIF('New Items'!$A$1:$A$175,A439)&gt;0</f>
        <v>0</v>
      </c>
      <c r="U439" s="181" t="b">
        <f>COUNTIF(Discontinued!$A$1:$A$150,A439)&gt;0</f>
        <v>0</v>
      </c>
    </row>
    <row r="440" spans="1:21" s="8" customFormat="1" ht="11.25" x14ac:dyDescent="0.2">
      <c r="A440" s="152">
        <v>10000088</v>
      </c>
      <c r="B440" s="10" t="s">
        <v>1433</v>
      </c>
      <c r="C440" s="12" t="s">
        <v>1434</v>
      </c>
      <c r="D440" s="11" t="s">
        <v>1377</v>
      </c>
      <c r="E440" s="12" t="s">
        <v>773</v>
      </c>
      <c r="F440" s="13">
        <v>8</v>
      </c>
      <c r="G440" s="22">
        <f>Overview!$B$27</f>
        <v>16</v>
      </c>
      <c r="H440" s="114">
        <f t="shared" si="101"/>
        <v>16</v>
      </c>
      <c r="I440" s="114">
        <f>Overview!$E$27</f>
        <v>0</v>
      </c>
      <c r="J440" s="115">
        <f t="shared" si="102"/>
        <v>0</v>
      </c>
      <c r="K440" s="116">
        <f>Overview!$H$27</f>
        <v>0</v>
      </c>
      <c r="L440" s="117" t="e">
        <f t="shared" si="103"/>
        <v>#DIV/0!</v>
      </c>
      <c r="M440" s="179" t="s">
        <v>951</v>
      </c>
      <c r="N440" s="179" t="s">
        <v>969</v>
      </c>
      <c r="O440" s="141">
        <f t="shared" si="106"/>
        <v>0</v>
      </c>
      <c r="P440" s="181" t="b">
        <f>COUNTIF('Facility Data'!$A$1:$A$1500,"*"&amp;A440&amp;"*")&gt;0</f>
        <v>0</v>
      </c>
      <c r="Q440" s="181" t="b">
        <f>COUNTIF('Account Data'!$A$1:$A$1000,"*"&amp;A440&amp;"*")&gt;0</f>
        <v>0</v>
      </c>
      <c r="R440" s="182" t="b">
        <f t="shared" si="104"/>
        <v>0</v>
      </c>
      <c r="S440" s="182" t="b">
        <f t="shared" si="105"/>
        <v>0</v>
      </c>
      <c r="T440" s="181" t="b">
        <f>COUNTIF('New Items'!$A$1:$A$175,A440)&gt;0</f>
        <v>0</v>
      </c>
      <c r="U440" s="181" t="b">
        <f>COUNTIF(Discontinued!$A$1:$A$150,A440)&gt;0</f>
        <v>0</v>
      </c>
    </row>
    <row r="441" spans="1:21" s="8" customFormat="1" ht="11.25" x14ac:dyDescent="0.2">
      <c r="A441" s="152">
        <v>10001421</v>
      </c>
      <c r="B441" s="10" t="s">
        <v>815</v>
      </c>
      <c r="C441" s="12" t="s">
        <v>816</v>
      </c>
      <c r="D441" s="11" t="s">
        <v>794</v>
      </c>
      <c r="E441" s="12" t="s">
        <v>773</v>
      </c>
      <c r="F441" s="13">
        <v>8</v>
      </c>
      <c r="G441" s="22">
        <f>Overview!$B$27</f>
        <v>16</v>
      </c>
      <c r="H441" s="114">
        <f t="shared" si="101"/>
        <v>16</v>
      </c>
      <c r="I441" s="114">
        <f>Overview!$E$27</f>
        <v>0</v>
      </c>
      <c r="J441" s="115">
        <f t="shared" si="102"/>
        <v>0</v>
      </c>
      <c r="K441" s="116">
        <f>Overview!$H$27</f>
        <v>0</v>
      </c>
      <c r="L441" s="117" t="e">
        <f t="shared" si="103"/>
        <v>#DIV/0!</v>
      </c>
      <c r="M441" s="179" t="s">
        <v>951</v>
      </c>
      <c r="N441" s="179" t="s">
        <v>969</v>
      </c>
      <c r="O441" s="141">
        <f t="shared" si="106"/>
        <v>0</v>
      </c>
      <c r="P441" s="181" t="b">
        <f>COUNTIF('Facility Data'!$A$1:$A$1500,"*"&amp;A441&amp;"*")&gt;0</f>
        <v>0</v>
      </c>
      <c r="Q441" s="181" t="b">
        <f>COUNTIF('Account Data'!$A$1:$A$1000,"*"&amp;A441&amp;"*")&gt;0</f>
        <v>1</v>
      </c>
      <c r="R441" s="182" t="b">
        <f t="shared" si="104"/>
        <v>0</v>
      </c>
      <c r="S441" s="182" t="b">
        <f t="shared" si="105"/>
        <v>1</v>
      </c>
      <c r="T441" s="181" t="b">
        <f>COUNTIF('New Items'!$A$1:$A$175,A441)&gt;0</f>
        <v>0</v>
      </c>
      <c r="U441" s="181" t="b">
        <f>COUNTIF(Discontinued!$A$1:$A$150,A441)&gt;0</f>
        <v>0</v>
      </c>
    </row>
    <row r="442" spans="1:21" s="8" customFormat="1" ht="11.25" x14ac:dyDescent="0.2">
      <c r="A442" s="152">
        <v>10089255</v>
      </c>
      <c r="B442" s="10" t="s">
        <v>1431</v>
      </c>
      <c r="C442" s="12" t="s">
        <v>1432</v>
      </c>
      <c r="D442" s="11" t="s">
        <v>920</v>
      </c>
      <c r="E442" s="12" t="s">
        <v>773</v>
      </c>
      <c r="F442" s="13">
        <v>8</v>
      </c>
      <c r="G442" s="22">
        <f>Overview!$B$27</f>
        <v>16</v>
      </c>
      <c r="H442" s="114">
        <f t="shared" si="101"/>
        <v>16</v>
      </c>
      <c r="I442" s="114">
        <f>Overview!$E$27</f>
        <v>0</v>
      </c>
      <c r="J442" s="115">
        <f>I442/F442</f>
        <v>0</v>
      </c>
      <c r="K442" s="116">
        <f>Overview!$H$27</f>
        <v>0</v>
      </c>
      <c r="L442" s="117" t="e">
        <f>(K442-J442)/K442</f>
        <v>#DIV/0!</v>
      </c>
      <c r="M442" s="179" t="s">
        <v>951</v>
      </c>
      <c r="N442" s="179" t="s">
        <v>969</v>
      </c>
      <c r="O442" s="141">
        <f>I442</f>
        <v>0</v>
      </c>
      <c r="P442" s="181" t="b">
        <f>COUNTIF('Facility Data'!$A$1:$A$1500,"*"&amp;A442&amp;"*")&gt;0</f>
        <v>0</v>
      </c>
      <c r="Q442" s="181" t="b">
        <f>COUNTIF('Account Data'!$A$1:$A$1000,"*"&amp;A442&amp;"*")&gt;0</f>
        <v>0</v>
      </c>
      <c r="R442" s="182" t="b">
        <f t="shared" si="104"/>
        <v>0</v>
      </c>
      <c r="S442" s="182" t="b">
        <f t="shared" si="105"/>
        <v>0</v>
      </c>
      <c r="T442" s="181" t="b">
        <f>COUNTIF('New Items'!$A$1:$A$175,A442)&gt;0</f>
        <v>0</v>
      </c>
      <c r="U442" s="181" t="b">
        <f>COUNTIF(Discontinued!$A$1:$A$150,A442)&gt;0</f>
        <v>0</v>
      </c>
    </row>
    <row r="443" spans="1:21" s="8" customFormat="1" ht="11.25" x14ac:dyDescent="0.2">
      <c r="A443" s="152">
        <v>10001415</v>
      </c>
      <c r="B443" s="10" t="s">
        <v>217</v>
      </c>
      <c r="C443" s="12" t="s">
        <v>218</v>
      </c>
      <c r="D443" s="11" t="s">
        <v>643</v>
      </c>
      <c r="E443" s="12" t="s">
        <v>773</v>
      </c>
      <c r="F443" s="13">
        <v>8</v>
      </c>
      <c r="G443" s="22">
        <f>Overview!$B$27</f>
        <v>16</v>
      </c>
      <c r="H443" s="114">
        <f t="shared" si="101"/>
        <v>16</v>
      </c>
      <c r="I443" s="114">
        <f>Overview!$E$27</f>
        <v>0</v>
      </c>
      <c r="J443" s="115">
        <f t="shared" si="102"/>
        <v>0</v>
      </c>
      <c r="K443" s="116">
        <f>Overview!$H$27</f>
        <v>0</v>
      </c>
      <c r="L443" s="117" t="e">
        <f t="shared" si="103"/>
        <v>#DIV/0!</v>
      </c>
      <c r="M443" s="179"/>
      <c r="N443" s="179" t="s">
        <v>969</v>
      </c>
      <c r="O443" s="141">
        <f>I443</f>
        <v>0</v>
      </c>
      <c r="P443" s="181" t="b">
        <f>COUNTIF('Facility Data'!$A$1:$A$1500,"*"&amp;A443&amp;"*")&gt;0</f>
        <v>1</v>
      </c>
      <c r="Q443" s="181" t="b">
        <f>COUNTIF('Account Data'!$A$1:$A$1000,"*"&amp;A443&amp;"*")&gt;0</f>
        <v>1</v>
      </c>
      <c r="R443" s="182" t="b">
        <f t="shared" si="104"/>
        <v>1</v>
      </c>
      <c r="S443" s="182" t="b">
        <f t="shared" si="105"/>
        <v>1</v>
      </c>
      <c r="T443" s="181" t="b">
        <f>COUNTIF('New Items'!$A$1:$A$175,A443)&gt;0</f>
        <v>0</v>
      </c>
      <c r="U443" s="181" t="b">
        <f>COUNTIF(Discontinued!$A$1:$A$150,A443)&gt;0</f>
        <v>0</v>
      </c>
    </row>
    <row r="444" spans="1:21" s="8" customFormat="1" ht="11.25" x14ac:dyDescent="0.2">
      <c r="A444" s="152">
        <v>10078452</v>
      </c>
      <c r="B444" s="10" t="s">
        <v>2822</v>
      </c>
      <c r="C444" s="12" t="s">
        <v>218</v>
      </c>
      <c r="D444" s="11" t="s">
        <v>2823</v>
      </c>
      <c r="E444" s="12" t="s">
        <v>773</v>
      </c>
      <c r="F444" s="13">
        <v>8</v>
      </c>
      <c r="G444" s="22">
        <f>Overview!$B$27</f>
        <v>16</v>
      </c>
      <c r="H444" s="114">
        <f t="shared" si="101"/>
        <v>16</v>
      </c>
      <c r="I444" s="114">
        <f>Overview!$E$27</f>
        <v>0</v>
      </c>
      <c r="J444" s="115">
        <f t="shared" si="102"/>
        <v>0</v>
      </c>
      <c r="K444" s="116">
        <f>Overview!$H$27</f>
        <v>0</v>
      </c>
      <c r="L444" s="117" t="e">
        <f t="shared" si="103"/>
        <v>#DIV/0!</v>
      </c>
      <c r="M444" s="179"/>
      <c r="N444" s="179" t="s">
        <v>969</v>
      </c>
      <c r="O444" s="141">
        <f t="shared" si="106"/>
        <v>0</v>
      </c>
      <c r="P444" s="181" t="b">
        <f>COUNTIF('Facility Data'!$A$1:$A$1500,"*"&amp;A444&amp;"*")&gt;0</f>
        <v>0</v>
      </c>
      <c r="Q444" s="181" t="b">
        <f>COUNTIF('Account Data'!$A$1:$A$1000,"*"&amp;A444&amp;"*")&gt;0</f>
        <v>0</v>
      </c>
      <c r="R444" s="182" t="b">
        <f t="shared" si="104"/>
        <v>0</v>
      </c>
      <c r="S444" s="182" t="b">
        <f t="shared" si="105"/>
        <v>0</v>
      </c>
      <c r="T444" s="181" t="b">
        <f>COUNTIF('New Items'!$A$1:$A$175,A444)&gt;0</f>
        <v>0</v>
      </c>
      <c r="U444" s="181" t="b">
        <f>COUNTIF(Discontinued!$A$1:$A$150,A444)&gt;0</f>
        <v>0</v>
      </c>
    </row>
    <row r="445" spans="1:21" s="8" customFormat="1" ht="11.25" x14ac:dyDescent="0.2">
      <c r="A445" s="152">
        <v>10001416</v>
      </c>
      <c r="B445" s="10" t="s">
        <v>4809</v>
      </c>
      <c r="C445" s="12" t="s">
        <v>220</v>
      </c>
      <c r="D445" s="11" t="s">
        <v>4733</v>
      </c>
      <c r="E445" s="12" t="s">
        <v>773</v>
      </c>
      <c r="F445" s="13">
        <v>8</v>
      </c>
      <c r="G445" s="22">
        <f>Overview!$B$27</f>
        <v>16</v>
      </c>
      <c r="H445" s="114">
        <f t="shared" ref="H445:H505" si="107">G445-I445</f>
        <v>16</v>
      </c>
      <c r="I445" s="114">
        <f>Overview!$E$27</f>
        <v>0</v>
      </c>
      <c r="J445" s="115">
        <f t="shared" si="102"/>
        <v>0</v>
      </c>
      <c r="K445" s="116">
        <f>Overview!$H$27</f>
        <v>0</v>
      </c>
      <c r="L445" s="117" t="e">
        <f t="shared" si="103"/>
        <v>#DIV/0!</v>
      </c>
      <c r="M445" s="179"/>
      <c r="N445" s="179" t="s">
        <v>969</v>
      </c>
      <c r="O445" s="141">
        <f t="shared" si="106"/>
        <v>0</v>
      </c>
      <c r="P445" s="181" t="b">
        <f>COUNTIF('Facility Data'!$A$1:$A$1500,"*"&amp;A445&amp;"*")&gt;0</f>
        <v>1</v>
      </c>
      <c r="Q445" s="181" t="b">
        <f>COUNTIF('Account Data'!$A$1:$A$1000,"*"&amp;A445&amp;"*")&gt;0</f>
        <v>1</v>
      </c>
      <c r="R445" s="182" t="b">
        <f t="shared" si="104"/>
        <v>1</v>
      </c>
      <c r="S445" s="182" t="b">
        <f t="shared" si="105"/>
        <v>1</v>
      </c>
      <c r="T445" s="181" t="b">
        <f>COUNTIF('New Items'!$A$1:$A$175,A445)&gt;0</f>
        <v>0</v>
      </c>
      <c r="U445" s="181" t="b">
        <f>COUNTIF(Discontinued!$A$1:$A$150,A445)&gt;0</f>
        <v>0</v>
      </c>
    </row>
    <row r="446" spans="1:21" s="8" customFormat="1" ht="11.25" x14ac:dyDescent="0.2">
      <c r="A446" s="152">
        <v>10001419</v>
      </c>
      <c r="B446" s="10" t="s">
        <v>221</v>
      </c>
      <c r="C446" s="12" t="s">
        <v>222</v>
      </c>
      <c r="D446" s="11" t="s">
        <v>633</v>
      </c>
      <c r="E446" s="12" t="s">
        <v>773</v>
      </c>
      <c r="F446" s="13">
        <v>8</v>
      </c>
      <c r="G446" s="22">
        <f>Overview!$B$27</f>
        <v>16</v>
      </c>
      <c r="H446" s="114">
        <f t="shared" si="107"/>
        <v>16</v>
      </c>
      <c r="I446" s="114">
        <f>Overview!$E$27</f>
        <v>0</v>
      </c>
      <c r="J446" s="115">
        <f t="shared" si="102"/>
        <v>0</v>
      </c>
      <c r="K446" s="116">
        <f>Overview!$H$27</f>
        <v>0</v>
      </c>
      <c r="L446" s="117" t="e">
        <f t="shared" si="103"/>
        <v>#DIV/0!</v>
      </c>
      <c r="M446" s="179"/>
      <c r="N446" s="179" t="s">
        <v>969</v>
      </c>
      <c r="O446" s="141">
        <f t="shared" si="106"/>
        <v>0</v>
      </c>
      <c r="P446" s="181" t="b">
        <f>COUNTIF('Facility Data'!$A$1:$A$1500,"*"&amp;A446&amp;"*")&gt;0</f>
        <v>1</v>
      </c>
      <c r="Q446" s="181" t="b">
        <f>COUNTIF('Account Data'!$A$1:$A$1000,"*"&amp;A446&amp;"*")&gt;0</f>
        <v>1</v>
      </c>
      <c r="R446" s="182" t="b">
        <f t="shared" si="104"/>
        <v>1</v>
      </c>
      <c r="S446" s="182" t="b">
        <f t="shared" si="105"/>
        <v>1</v>
      </c>
      <c r="T446" s="181" t="b">
        <f>COUNTIF('New Items'!$A$1:$A$175,A446)&gt;0</f>
        <v>0</v>
      </c>
      <c r="U446" s="181" t="b">
        <f>COUNTIF(Discontinued!$A$1:$A$150,A446)&gt;0</f>
        <v>0</v>
      </c>
    </row>
    <row r="447" spans="1:21" s="8" customFormat="1" ht="11.25" x14ac:dyDescent="0.2">
      <c r="A447" s="152">
        <v>10001420</v>
      </c>
      <c r="B447" s="10" t="s">
        <v>4810</v>
      </c>
      <c r="C447" s="12" t="s">
        <v>224</v>
      </c>
      <c r="D447" s="11" t="s">
        <v>4750</v>
      </c>
      <c r="E447" s="12" t="s">
        <v>773</v>
      </c>
      <c r="F447" s="13">
        <v>8</v>
      </c>
      <c r="G447" s="22">
        <f>Overview!$B$27</f>
        <v>16</v>
      </c>
      <c r="H447" s="114">
        <f t="shared" si="107"/>
        <v>16</v>
      </c>
      <c r="I447" s="114">
        <f>Overview!$E$27</f>
        <v>0</v>
      </c>
      <c r="J447" s="115">
        <f t="shared" si="102"/>
        <v>0</v>
      </c>
      <c r="K447" s="116">
        <f>Overview!$H$27</f>
        <v>0</v>
      </c>
      <c r="L447" s="117" t="e">
        <f t="shared" si="103"/>
        <v>#DIV/0!</v>
      </c>
      <c r="M447" s="179"/>
      <c r="N447" s="179" t="s">
        <v>969</v>
      </c>
      <c r="O447" s="141">
        <f t="shared" si="106"/>
        <v>0</v>
      </c>
      <c r="P447" s="181" t="b">
        <f>COUNTIF('Facility Data'!$A$1:$A$1500,"*"&amp;A447&amp;"*")&gt;0</f>
        <v>1</v>
      </c>
      <c r="Q447" s="181" t="b">
        <f>COUNTIF('Account Data'!$A$1:$A$1000,"*"&amp;A447&amp;"*")&gt;0</f>
        <v>1</v>
      </c>
      <c r="R447" s="182" t="b">
        <f t="shared" si="104"/>
        <v>1</v>
      </c>
      <c r="S447" s="182" t="b">
        <f t="shared" si="105"/>
        <v>1</v>
      </c>
      <c r="T447" s="181" t="b">
        <f>COUNTIF('New Items'!$A$1:$A$175,A447)&gt;0</f>
        <v>0</v>
      </c>
      <c r="U447" s="181" t="b">
        <f>COUNTIF(Discontinued!$A$1:$A$150,A447)&gt;0</f>
        <v>0</v>
      </c>
    </row>
    <row r="448" spans="1:21" s="8" customFormat="1" ht="11.25" x14ac:dyDescent="0.2">
      <c r="A448" s="152">
        <v>10001437</v>
      </c>
      <c r="B448" s="10" t="s">
        <v>225</v>
      </c>
      <c r="C448" s="12" t="s">
        <v>226</v>
      </c>
      <c r="D448" s="11" t="s">
        <v>645</v>
      </c>
      <c r="E448" s="12" t="s">
        <v>773</v>
      </c>
      <c r="F448" s="13">
        <v>8</v>
      </c>
      <c r="G448" s="22">
        <f>Overview!$B$27</f>
        <v>16</v>
      </c>
      <c r="H448" s="114">
        <f t="shared" si="107"/>
        <v>16</v>
      </c>
      <c r="I448" s="114">
        <f>Overview!$E$27</f>
        <v>0</v>
      </c>
      <c r="J448" s="115">
        <f t="shared" si="102"/>
        <v>0</v>
      </c>
      <c r="K448" s="116">
        <f>Overview!$H$27</f>
        <v>0</v>
      </c>
      <c r="L448" s="117" t="e">
        <f t="shared" si="103"/>
        <v>#DIV/0!</v>
      </c>
      <c r="M448" s="179" t="s">
        <v>4406</v>
      </c>
      <c r="N448" s="179" t="s">
        <v>969</v>
      </c>
      <c r="O448" s="141">
        <f>I448</f>
        <v>0</v>
      </c>
      <c r="P448" s="181" t="b">
        <f>COUNTIF('Facility Data'!$A$1:$A$1500,"*"&amp;A448&amp;"*")&gt;0</f>
        <v>1</v>
      </c>
      <c r="Q448" s="181" t="b">
        <f>COUNTIF('Account Data'!$A$1:$A$1000,"*"&amp;A448&amp;"*")&gt;0</f>
        <v>1</v>
      </c>
      <c r="R448" s="182" t="b">
        <f t="shared" si="104"/>
        <v>1</v>
      </c>
      <c r="S448" s="182" t="b">
        <f t="shared" si="105"/>
        <v>1</v>
      </c>
      <c r="T448" s="181" t="b">
        <f>COUNTIF('New Items'!$A$1:$A$175,A448)&gt;0</f>
        <v>0</v>
      </c>
      <c r="U448" s="181" t="b">
        <f>COUNTIF(Discontinued!$A$1:$A$150,A448)&gt;0</f>
        <v>0</v>
      </c>
    </row>
    <row r="449" spans="1:21" s="8" customFormat="1" ht="11.25" x14ac:dyDescent="0.2">
      <c r="A449" s="152">
        <v>10078451</v>
      </c>
      <c r="B449" s="10" t="s">
        <v>2824</v>
      </c>
      <c r="C449" s="12" t="s">
        <v>226</v>
      </c>
      <c r="D449" s="11" t="s">
        <v>2825</v>
      </c>
      <c r="E449" s="12" t="s">
        <v>773</v>
      </c>
      <c r="F449" s="13">
        <v>8</v>
      </c>
      <c r="G449" s="22">
        <f>Overview!$B$27</f>
        <v>16</v>
      </c>
      <c r="H449" s="114">
        <f t="shared" si="107"/>
        <v>16</v>
      </c>
      <c r="I449" s="114">
        <f>Overview!$E$27</f>
        <v>0</v>
      </c>
      <c r="J449" s="115">
        <f t="shared" si="102"/>
        <v>0</v>
      </c>
      <c r="K449" s="116">
        <f>Overview!$H$27</f>
        <v>0</v>
      </c>
      <c r="L449" s="117" t="e">
        <f t="shared" si="103"/>
        <v>#DIV/0!</v>
      </c>
      <c r="M449" s="179" t="s">
        <v>4406</v>
      </c>
      <c r="N449" s="179" t="s">
        <v>969</v>
      </c>
      <c r="O449" s="141">
        <f t="shared" si="106"/>
        <v>0</v>
      </c>
      <c r="P449" s="181" t="b">
        <f>COUNTIF('Facility Data'!$A$1:$A$1500,"*"&amp;A449&amp;"*")&gt;0</f>
        <v>0</v>
      </c>
      <c r="Q449" s="181" t="b">
        <f>COUNTIF('Account Data'!$A$1:$A$1000,"*"&amp;A449&amp;"*")&gt;0</f>
        <v>0</v>
      </c>
      <c r="R449" s="182" t="b">
        <f t="shared" si="104"/>
        <v>0</v>
      </c>
      <c r="S449" s="182" t="b">
        <f t="shared" si="105"/>
        <v>0</v>
      </c>
      <c r="T449" s="181" t="b">
        <f>COUNTIF('New Items'!$A$1:$A$175,A449)&gt;0</f>
        <v>0</v>
      </c>
      <c r="U449" s="181" t="b">
        <f>COUNTIF(Discontinued!$A$1:$A$150,A449)&gt;0</f>
        <v>0</v>
      </c>
    </row>
    <row r="450" spans="1:21" s="8" customFormat="1" ht="11.25" x14ac:dyDescent="0.2">
      <c r="A450" s="152">
        <v>10001438</v>
      </c>
      <c r="B450" s="10" t="s">
        <v>4811</v>
      </c>
      <c r="C450" s="12" t="s">
        <v>228</v>
      </c>
      <c r="D450" s="11" t="s">
        <v>4735</v>
      </c>
      <c r="E450" s="12" t="s">
        <v>773</v>
      </c>
      <c r="F450" s="13">
        <v>8</v>
      </c>
      <c r="G450" s="22">
        <f>Overview!$B$27</f>
        <v>16</v>
      </c>
      <c r="H450" s="114">
        <f t="shared" si="107"/>
        <v>16</v>
      </c>
      <c r="I450" s="114">
        <f>Overview!$E$27</f>
        <v>0</v>
      </c>
      <c r="J450" s="115">
        <f t="shared" si="102"/>
        <v>0</v>
      </c>
      <c r="K450" s="116">
        <f>Overview!$H$27</f>
        <v>0</v>
      </c>
      <c r="L450" s="117" t="e">
        <f t="shared" si="103"/>
        <v>#DIV/0!</v>
      </c>
      <c r="M450" s="179" t="s">
        <v>4406</v>
      </c>
      <c r="N450" s="179" t="s">
        <v>969</v>
      </c>
      <c r="O450" s="141">
        <f t="shared" si="106"/>
        <v>0</v>
      </c>
      <c r="P450" s="181" t="b">
        <f>COUNTIF('Facility Data'!$A$1:$A$1500,"*"&amp;A450&amp;"*")&gt;0</f>
        <v>1</v>
      </c>
      <c r="Q450" s="181" t="b">
        <f>COUNTIF('Account Data'!$A$1:$A$1000,"*"&amp;A450&amp;"*")&gt;0</f>
        <v>1</v>
      </c>
      <c r="R450" s="182" t="b">
        <f t="shared" si="104"/>
        <v>1</v>
      </c>
      <c r="S450" s="182" t="b">
        <f t="shared" si="105"/>
        <v>1</v>
      </c>
      <c r="T450" s="181" t="b">
        <f>COUNTIF('New Items'!$A$1:$A$175,A450)&gt;0</f>
        <v>0</v>
      </c>
      <c r="U450" s="181" t="b">
        <f>COUNTIF(Discontinued!$A$1:$A$150,A450)&gt;0</f>
        <v>0</v>
      </c>
    </row>
    <row r="451" spans="1:21" s="8" customFormat="1" ht="11.25" x14ac:dyDescent="0.2">
      <c r="A451" s="152">
        <v>10001417</v>
      </c>
      <c r="B451" s="10" t="s">
        <v>229</v>
      </c>
      <c r="C451" s="12" t="s">
        <v>230</v>
      </c>
      <c r="D451" s="11" t="s">
        <v>646</v>
      </c>
      <c r="E451" s="12" t="s">
        <v>773</v>
      </c>
      <c r="F451" s="13">
        <v>8</v>
      </c>
      <c r="G451" s="22">
        <f>Overview!$B$27</f>
        <v>16</v>
      </c>
      <c r="H451" s="114">
        <f t="shared" si="107"/>
        <v>16</v>
      </c>
      <c r="I451" s="114">
        <f>Overview!$E$27</f>
        <v>0</v>
      </c>
      <c r="J451" s="115">
        <f t="shared" si="102"/>
        <v>0</v>
      </c>
      <c r="K451" s="116">
        <f>Overview!$H$27</f>
        <v>0</v>
      </c>
      <c r="L451" s="117" t="e">
        <f t="shared" si="103"/>
        <v>#DIV/0!</v>
      </c>
      <c r="M451" s="179" t="s">
        <v>4406</v>
      </c>
      <c r="N451" s="179" t="s">
        <v>969</v>
      </c>
      <c r="O451" s="141">
        <f t="shared" si="106"/>
        <v>0</v>
      </c>
      <c r="P451" s="181" t="b">
        <f>COUNTIF('Facility Data'!$A$1:$A$1500,"*"&amp;A451&amp;"*")&gt;0</f>
        <v>1</v>
      </c>
      <c r="Q451" s="181" t="b">
        <f>COUNTIF('Account Data'!$A$1:$A$1000,"*"&amp;A451&amp;"*")&gt;0</f>
        <v>1</v>
      </c>
      <c r="R451" s="182" t="b">
        <f t="shared" si="104"/>
        <v>1</v>
      </c>
      <c r="S451" s="182" t="b">
        <f t="shared" si="105"/>
        <v>1</v>
      </c>
      <c r="T451" s="181" t="b">
        <f>COUNTIF('New Items'!$A$1:$A$175,A451)&gt;0</f>
        <v>0</v>
      </c>
      <c r="U451" s="181" t="b">
        <f>COUNTIF(Discontinued!$A$1:$A$150,A451)&gt;0</f>
        <v>0</v>
      </c>
    </row>
    <row r="452" spans="1:21" s="8" customFormat="1" ht="11.25" x14ac:dyDescent="0.2">
      <c r="A452" s="152">
        <v>10000095</v>
      </c>
      <c r="B452" s="10" t="s">
        <v>4812</v>
      </c>
      <c r="C452" s="12" t="s">
        <v>232</v>
      </c>
      <c r="D452" s="11" t="s">
        <v>4753</v>
      </c>
      <c r="E452" s="12" t="s">
        <v>773</v>
      </c>
      <c r="F452" s="13">
        <v>8</v>
      </c>
      <c r="G452" s="22">
        <f>Overview!$B$27</f>
        <v>16</v>
      </c>
      <c r="H452" s="114">
        <f t="shared" si="107"/>
        <v>16</v>
      </c>
      <c r="I452" s="114">
        <f>Overview!$E$27</f>
        <v>0</v>
      </c>
      <c r="J452" s="115">
        <f t="shared" si="102"/>
        <v>0</v>
      </c>
      <c r="K452" s="116">
        <f>Overview!$H$27</f>
        <v>0</v>
      </c>
      <c r="L452" s="117" t="e">
        <f t="shared" si="103"/>
        <v>#DIV/0!</v>
      </c>
      <c r="M452" s="179" t="s">
        <v>4406</v>
      </c>
      <c r="N452" s="179" t="s">
        <v>969</v>
      </c>
      <c r="O452" s="141">
        <f t="shared" si="106"/>
        <v>0</v>
      </c>
      <c r="P452" s="181" t="b">
        <f>COUNTIF('Facility Data'!$A$1:$A$1500,"*"&amp;A452&amp;"*")&gt;0</f>
        <v>0</v>
      </c>
      <c r="Q452" s="181" t="b">
        <f>COUNTIF('Account Data'!$A$1:$A$1000,"*"&amp;A452&amp;"*")&gt;0</f>
        <v>0</v>
      </c>
      <c r="R452" s="182" t="b">
        <f t="shared" si="104"/>
        <v>0</v>
      </c>
      <c r="S452" s="182" t="b">
        <f t="shared" si="105"/>
        <v>0</v>
      </c>
      <c r="T452" s="181" t="b">
        <f>COUNTIF('New Items'!$A$1:$A$175,A452)&gt;0</f>
        <v>0</v>
      </c>
      <c r="U452" s="181" t="b">
        <f>COUNTIF(Discontinued!$A$1:$A$150,A452)&gt;0</f>
        <v>0</v>
      </c>
    </row>
    <row r="453" spans="1:21" s="8" customFormat="1" ht="11.25" x14ac:dyDescent="0.2">
      <c r="A453" s="152">
        <v>10001467</v>
      </c>
      <c r="B453" s="10" t="s">
        <v>269</v>
      </c>
      <c r="C453" s="12" t="s">
        <v>270</v>
      </c>
      <c r="D453" s="11" t="s">
        <v>648</v>
      </c>
      <c r="E453" s="12" t="s">
        <v>773</v>
      </c>
      <c r="F453" s="13">
        <v>8</v>
      </c>
      <c r="G453" s="22">
        <f>Overview!$B$27</f>
        <v>16</v>
      </c>
      <c r="H453" s="114">
        <f t="shared" si="107"/>
        <v>16</v>
      </c>
      <c r="I453" s="114">
        <f>Overview!$E$27</f>
        <v>0</v>
      </c>
      <c r="J453" s="115">
        <f t="shared" si="102"/>
        <v>0</v>
      </c>
      <c r="K453" s="116">
        <f>Overview!$H$27</f>
        <v>0</v>
      </c>
      <c r="L453" s="117" t="e">
        <f t="shared" si="103"/>
        <v>#DIV/0!</v>
      </c>
      <c r="M453" s="179"/>
      <c r="N453" s="179" t="s">
        <v>969</v>
      </c>
      <c r="O453" s="141">
        <f>I453</f>
        <v>0</v>
      </c>
      <c r="P453" s="181" t="b">
        <f>COUNTIF('Facility Data'!$A$1:$A$1500,"*"&amp;A453&amp;"*")&gt;0</f>
        <v>0</v>
      </c>
      <c r="Q453" s="181" t="b">
        <f>COUNTIF('Account Data'!$A$1:$A$1000,"*"&amp;A453&amp;"*")&gt;0</f>
        <v>1</v>
      </c>
      <c r="R453" s="182" t="b">
        <f t="shared" si="104"/>
        <v>0</v>
      </c>
      <c r="S453" s="182" t="b">
        <f t="shared" si="105"/>
        <v>1</v>
      </c>
      <c r="T453" s="181" t="b">
        <f>COUNTIF('New Items'!$A$1:$A$175,A453)&gt;0</f>
        <v>0</v>
      </c>
      <c r="U453" s="181" t="b">
        <f>COUNTIF(Discontinued!$A$1:$A$150,A453)&gt;0</f>
        <v>0</v>
      </c>
    </row>
    <row r="454" spans="1:21" s="8" customFormat="1" ht="11.25" x14ac:dyDescent="0.2">
      <c r="A454" s="152">
        <v>10001468</v>
      </c>
      <c r="B454" s="10" t="s">
        <v>1304</v>
      </c>
      <c r="C454" s="12" t="s">
        <v>1305</v>
      </c>
      <c r="D454" s="11" t="s">
        <v>649</v>
      </c>
      <c r="E454" s="12" t="s">
        <v>773</v>
      </c>
      <c r="F454" s="13">
        <v>8</v>
      </c>
      <c r="G454" s="22">
        <f>Overview!$B$27</f>
        <v>16</v>
      </c>
      <c r="H454" s="114">
        <f t="shared" si="107"/>
        <v>16</v>
      </c>
      <c r="I454" s="114">
        <f>Overview!$E$27</f>
        <v>0</v>
      </c>
      <c r="J454" s="115">
        <f t="shared" si="102"/>
        <v>0</v>
      </c>
      <c r="K454" s="116">
        <f>Overview!$H$27</f>
        <v>0</v>
      </c>
      <c r="L454" s="117" t="e">
        <f t="shared" si="103"/>
        <v>#DIV/0!</v>
      </c>
      <c r="M454" s="179"/>
      <c r="N454" s="179" t="s">
        <v>3158</v>
      </c>
      <c r="O454" s="141">
        <f>I454</f>
        <v>0</v>
      </c>
      <c r="P454" s="181" t="b">
        <f>COUNTIF('Facility Data'!$A$1:$A$1500,"*"&amp;A454&amp;"*")&gt;0</f>
        <v>0</v>
      </c>
      <c r="Q454" s="181" t="b">
        <f>COUNTIF('Account Data'!$A$1:$A$1000,"*"&amp;A454&amp;"*")&gt;0</f>
        <v>0</v>
      </c>
      <c r="R454" s="182" t="b">
        <f t="shared" si="104"/>
        <v>0</v>
      </c>
      <c r="S454" s="182" t="b">
        <f t="shared" si="105"/>
        <v>0</v>
      </c>
      <c r="T454" s="181" t="b">
        <f>COUNTIF('New Items'!$A$1:$A$175,A454)&gt;0</f>
        <v>0</v>
      </c>
      <c r="U454" s="181" t="b">
        <f>COUNTIF(Discontinued!$A$1:$A$150,A454)&gt;0</f>
        <v>0</v>
      </c>
    </row>
    <row r="455" spans="1:21" s="8" customFormat="1" ht="11.25" x14ac:dyDescent="0.2">
      <c r="A455" s="152">
        <v>10001455</v>
      </c>
      <c r="B455" s="231" t="s">
        <v>233</v>
      </c>
      <c r="C455" s="12" t="s">
        <v>234</v>
      </c>
      <c r="D455" s="11" t="s">
        <v>650</v>
      </c>
      <c r="E455" s="12" t="s">
        <v>773</v>
      </c>
      <c r="F455" s="13">
        <v>8</v>
      </c>
      <c r="G455" s="121">
        <f>Overview!$B$27</f>
        <v>16</v>
      </c>
      <c r="H455" s="114">
        <f t="shared" si="107"/>
        <v>16</v>
      </c>
      <c r="I455" s="114">
        <f>Overview!$E$27</f>
        <v>0</v>
      </c>
      <c r="J455" s="115">
        <f t="shared" si="102"/>
        <v>0</v>
      </c>
      <c r="K455" s="116">
        <f>Overview!$H$27</f>
        <v>0</v>
      </c>
      <c r="L455" s="117" t="e">
        <f t="shared" si="103"/>
        <v>#DIV/0!</v>
      </c>
      <c r="M455" s="179" t="s">
        <v>4369</v>
      </c>
      <c r="N455" s="179" t="s">
        <v>3158</v>
      </c>
      <c r="O455" s="141">
        <f>I455</f>
        <v>0</v>
      </c>
      <c r="P455" s="181" t="b">
        <f>COUNTIF('Facility Data'!$A$1:$A$1500,"*"&amp;A455&amp;"*")&gt;0</f>
        <v>1</v>
      </c>
      <c r="Q455" s="181" t="b">
        <f>COUNTIF('Account Data'!$A$1:$A$1000,"*"&amp;A455&amp;"*")&gt;0</f>
        <v>1</v>
      </c>
      <c r="R455" s="182" t="b">
        <f t="shared" si="104"/>
        <v>1</v>
      </c>
      <c r="S455" s="182" t="b">
        <f t="shared" si="105"/>
        <v>1</v>
      </c>
      <c r="T455" s="181" t="b">
        <f>COUNTIF('New Items'!$A$1:$A$175,A455)&gt;0</f>
        <v>0</v>
      </c>
      <c r="U455" s="181" t="b">
        <f>COUNTIF(Discontinued!$A$1:$A$150,A455)&gt;0</f>
        <v>0</v>
      </c>
    </row>
    <row r="456" spans="1:21" s="8" customFormat="1" ht="11.25" x14ac:dyDescent="0.2">
      <c r="A456" s="152">
        <v>10078453</v>
      </c>
      <c r="B456" s="231" t="s">
        <v>2828</v>
      </c>
      <c r="C456" s="12" t="s">
        <v>234</v>
      </c>
      <c r="D456" s="11" t="s">
        <v>2829</v>
      </c>
      <c r="E456" s="12" t="s">
        <v>773</v>
      </c>
      <c r="F456" s="13">
        <v>8</v>
      </c>
      <c r="G456" s="121">
        <f>Overview!$B$27</f>
        <v>16</v>
      </c>
      <c r="H456" s="114">
        <f t="shared" si="107"/>
        <v>16</v>
      </c>
      <c r="I456" s="114">
        <f>Overview!$E$27</f>
        <v>0</v>
      </c>
      <c r="J456" s="115">
        <f t="shared" si="102"/>
        <v>0</v>
      </c>
      <c r="K456" s="116">
        <f>Overview!$H$27</f>
        <v>0</v>
      </c>
      <c r="L456" s="117" t="e">
        <f t="shared" si="103"/>
        <v>#DIV/0!</v>
      </c>
      <c r="M456" s="179" t="s">
        <v>4369</v>
      </c>
      <c r="N456" s="179" t="s">
        <v>969</v>
      </c>
      <c r="O456" s="141">
        <f t="shared" si="106"/>
        <v>0</v>
      </c>
      <c r="P456" s="181" t="b">
        <f>COUNTIF('Facility Data'!$A$1:$A$1500,"*"&amp;A456&amp;"*")&gt;0</f>
        <v>0</v>
      </c>
      <c r="Q456" s="181" t="b">
        <f>COUNTIF('Account Data'!$A$1:$A$1000,"*"&amp;A456&amp;"*")&gt;0</f>
        <v>0</v>
      </c>
      <c r="R456" s="182" t="b">
        <f t="shared" si="104"/>
        <v>0</v>
      </c>
      <c r="S456" s="182" t="b">
        <f t="shared" si="105"/>
        <v>0</v>
      </c>
      <c r="T456" s="181" t="b">
        <f>COUNTIF('New Items'!$A$1:$A$175,A456)&gt;0</f>
        <v>0</v>
      </c>
      <c r="U456" s="181" t="b">
        <f>COUNTIF(Discontinued!$A$1:$A$150,A456)&gt;0</f>
        <v>0</v>
      </c>
    </row>
    <row r="457" spans="1:21" s="8" customFormat="1" ht="11.25" x14ac:dyDescent="0.2">
      <c r="A457" s="152">
        <v>10001454</v>
      </c>
      <c r="B457" s="231" t="s">
        <v>4813</v>
      </c>
      <c r="C457" s="12" t="s">
        <v>236</v>
      </c>
      <c r="D457" s="11" t="s">
        <v>4755</v>
      </c>
      <c r="E457" s="12" t="s">
        <v>773</v>
      </c>
      <c r="F457" s="13">
        <v>8</v>
      </c>
      <c r="G457" s="121">
        <f>Overview!$B$27</f>
        <v>16</v>
      </c>
      <c r="H457" s="114">
        <f t="shared" si="107"/>
        <v>16</v>
      </c>
      <c r="I457" s="114">
        <f>Overview!$E$27</f>
        <v>0</v>
      </c>
      <c r="J457" s="115">
        <f t="shared" si="102"/>
        <v>0</v>
      </c>
      <c r="K457" s="116">
        <f>Overview!$H$27</f>
        <v>0</v>
      </c>
      <c r="L457" s="117" t="e">
        <f t="shared" si="103"/>
        <v>#DIV/0!</v>
      </c>
      <c r="M457" s="179" t="s">
        <v>4369</v>
      </c>
      <c r="N457" s="179" t="s">
        <v>969</v>
      </c>
      <c r="O457" s="141">
        <f t="shared" si="106"/>
        <v>0</v>
      </c>
      <c r="P457" s="181" t="b">
        <f>COUNTIF('Facility Data'!$A$1:$A$1500,"*"&amp;A457&amp;"*")&gt;0</f>
        <v>1</v>
      </c>
      <c r="Q457" s="181" t="b">
        <f>COUNTIF('Account Data'!$A$1:$A$1000,"*"&amp;A457&amp;"*")&gt;0</f>
        <v>1</v>
      </c>
      <c r="R457" s="182" t="b">
        <f t="shared" si="104"/>
        <v>1</v>
      </c>
      <c r="S457" s="182" t="b">
        <f t="shared" si="105"/>
        <v>1</v>
      </c>
      <c r="T457" s="181" t="b">
        <f>COUNTIF('New Items'!$A$1:$A$175,A457)&gt;0</f>
        <v>0</v>
      </c>
      <c r="U457" s="181" t="b">
        <f>COUNTIF(Discontinued!$A$1:$A$150,A457)&gt;0</f>
        <v>0</v>
      </c>
    </row>
    <row r="458" spans="1:21" s="8" customFormat="1" ht="11.25" x14ac:dyDescent="0.2">
      <c r="A458" s="152">
        <v>10120686</v>
      </c>
      <c r="B458" s="231" t="s">
        <v>4056</v>
      </c>
      <c r="C458" s="118" t="s">
        <v>1103</v>
      </c>
      <c r="D458" s="119" t="s">
        <v>1054</v>
      </c>
      <c r="E458" s="12" t="s">
        <v>773</v>
      </c>
      <c r="F458" s="13">
        <v>8</v>
      </c>
      <c r="G458" s="121">
        <f>Overview!$B$27</f>
        <v>16</v>
      </c>
      <c r="H458" s="114">
        <f>G458-I458</f>
        <v>16</v>
      </c>
      <c r="I458" s="114">
        <f>Overview!$E$27</f>
        <v>0</v>
      </c>
      <c r="J458" s="115">
        <f>I458/F458</f>
        <v>0</v>
      </c>
      <c r="K458" s="116">
        <f>Overview!$H$27</f>
        <v>0</v>
      </c>
      <c r="L458" s="117" t="e">
        <f>(K458-J458)/K458</f>
        <v>#DIV/0!</v>
      </c>
      <c r="M458" s="179" t="s">
        <v>4369</v>
      </c>
      <c r="N458" s="179" t="s">
        <v>969</v>
      </c>
      <c r="O458" s="141">
        <f>I458</f>
        <v>0</v>
      </c>
      <c r="P458" s="181" t="b">
        <f>COUNTIF('Facility Data'!$A$1:$A$1500,"*"&amp;A458&amp;"*")&gt;0</f>
        <v>1</v>
      </c>
      <c r="Q458" s="181" t="b">
        <f>COUNTIF('Account Data'!$A$1:$A$1000,"*"&amp;A458&amp;"*")&gt;0</f>
        <v>0</v>
      </c>
      <c r="R458" s="182" t="b">
        <f t="shared" si="104"/>
        <v>1</v>
      </c>
      <c r="S458" s="182" t="b">
        <f t="shared" si="105"/>
        <v>0</v>
      </c>
      <c r="T458" s="181" t="b">
        <f>COUNTIF('New Items'!$A$1:$A$175,A458)&gt;0</f>
        <v>0</v>
      </c>
      <c r="U458" s="181" t="b">
        <f>COUNTIF(Discontinued!$A$1:$A$150,A458)&gt;0</f>
        <v>0</v>
      </c>
    </row>
    <row r="459" spans="1:21" s="8" customFormat="1" ht="11.25" x14ac:dyDescent="0.2">
      <c r="A459" s="152">
        <v>10001713</v>
      </c>
      <c r="B459" s="231" t="s">
        <v>237</v>
      </c>
      <c r="C459" s="12" t="s">
        <v>238</v>
      </c>
      <c r="D459" s="11" t="s">
        <v>634</v>
      </c>
      <c r="E459" s="12" t="s">
        <v>773</v>
      </c>
      <c r="F459" s="13">
        <v>8</v>
      </c>
      <c r="G459" s="121">
        <f>Overview!$B$27</f>
        <v>16</v>
      </c>
      <c r="H459" s="114">
        <f t="shared" si="107"/>
        <v>16</v>
      </c>
      <c r="I459" s="114">
        <f>Overview!$E$27</f>
        <v>0</v>
      </c>
      <c r="J459" s="115">
        <f t="shared" si="102"/>
        <v>0</v>
      </c>
      <c r="K459" s="116">
        <f>Overview!$H$27</f>
        <v>0</v>
      </c>
      <c r="L459" s="117" t="e">
        <f t="shared" si="103"/>
        <v>#DIV/0!</v>
      </c>
      <c r="M459" s="179" t="s">
        <v>4369</v>
      </c>
      <c r="N459" s="179" t="s">
        <v>969</v>
      </c>
      <c r="O459" s="141">
        <f t="shared" si="106"/>
        <v>0</v>
      </c>
      <c r="P459" s="181" t="b">
        <f>COUNTIF('Facility Data'!$A$1:$A$1500,"*"&amp;A459&amp;"*")&gt;0</f>
        <v>1</v>
      </c>
      <c r="Q459" s="181" t="b">
        <f>COUNTIF('Account Data'!$A$1:$A$1000,"*"&amp;A459&amp;"*")&gt;0</f>
        <v>1</v>
      </c>
      <c r="R459" s="182" t="b">
        <f t="shared" si="104"/>
        <v>1</v>
      </c>
      <c r="S459" s="182" t="b">
        <f t="shared" si="105"/>
        <v>1</v>
      </c>
      <c r="T459" s="181" t="b">
        <f>COUNTIF('New Items'!$A$1:$A$175,A459)&gt;0</f>
        <v>0</v>
      </c>
      <c r="U459" s="181" t="b">
        <f>COUNTIF(Discontinued!$A$1:$A$150,A459)&gt;0</f>
        <v>0</v>
      </c>
    </row>
    <row r="460" spans="1:21" s="8" customFormat="1" ht="11.25" x14ac:dyDescent="0.2">
      <c r="A460" s="152">
        <v>10001712</v>
      </c>
      <c r="B460" s="231" t="s">
        <v>239</v>
      </c>
      <c r="C460" s="12" t="s">
        <v>240</v>
      </c>
      <c r="D460" s="11" t="s">
        <v>635</v>
      </c>
      <c r="E460" s="12" t="s">
        <v>773</v>
      </c>
      <c r="F460" s="13">
        <v>8</v>
      </c>
      <c r="G460" s="121">
        <f>Overview!$B$27</f>
        <v>16</v>
      </c>
      <c r="H460" s="114">
        <f t="shared" si="107"/>
        <v>16</v>
      </c>
      <c r="I460" s="114">
        <f>Overview!$E$27</f>
        <v>0</v>
      </c>
      <c r="J460" s="115">
        <f t="shared" si="102"/>
        <v>0</v>
      </c>
      <c r="K460" s="116">
        <f>Overview!$H$27</f>
        <v>0</v>
      </c>
      <c r="L460" s="117" t="e">
        <f t="shared" si="103"/>
        <v>#DIV/0!</v>
      </c>
      <c r="M460" s="179" t="s">
        <v>4369</v>
      </c>
      <c r="N460" s="179" t="s">
        <v>969</v>
      </c>
      <c r="O460" s="141">
        <f>I460</f>
        <v>0</v>
      </c>
      <c r="P460" s="181" t="b">
        <f>COUNTIF('Facility Data'!$A$1:$A$1500,"*"&amp;A460&amp;"*")&gt;0</f>
        <v>1</v>
      </c>
      <c r="Q460" s="181" t="b">
        <f>COUNTIF('Account Data'!$A$1:$A$1000,"*"&amp;A460&amp;"*")&gt;0</f>
        <v>1</v>
      </c>
      <c r="R460" s="182" t="b">
        <f t="shared" si="104"/>
        <v>1</v>
      </c>
      <c r="S460" s="182" t="b">
        <f t="shared" si="105"/>
        <v>1</v>
      </c>
      <c r="T460" s="181" t="b">
        <f>COUNTIF('New Items'!$A$1:$A$175,A460)&gt;0</f>
        <v>0</v>
      </c>
      <c r="U460" s="181" t="b">
        <f>COUNTIF(Discontinued!$A$1:$A$150,A460)&gt;0</f>
        <v>0</v>
      </c>
    </row>
    <row r="461" spans="1:21" s="8" customFormat="1" ht="11.25" x14ac:dyDescent="0.2">
      <c r="A461" s="152">
        <v>10002707</v>
      </c>
      <c r="B461" s="231" t="s">
        <v>2695</v>
      </c>
      <c r="C461" s="12" t="s">
        <v>2696</v>
      </c>
      <c r="D461" s="11" t="s">
        <v>1061</v>
      </c>
      <c r="E461" s="12" t="s">
        <v>773</v>
      </c>
      <c r="F461" s="13">
        <v>8</v>
      </c>
      <c r="G461" s="121">
        <f>Overview!$B$27</f>
        <v>16</v>
      </c>
      <c r="H461" s="114">
        <f t="shared" si="107"/>
        <v>16</v>
      </c>
      <c r="I461" s="114">
        <f>Overview!$E$27</f>
        <v>0</v>
      </c>
      <c r="J461" s="115">
        <f t="shared" si="102"/>
        <v>0</v>
      </c>
      <c r="K461" s="116">
        <f>Overview!$H$27</f>
        <v>0</v>
      </c>
      <c r="L461" s="117" t="e">
        <f t="shared" si="103"/>
        <v>#DIV/0!</v>
      </c>
      <c r="M461" s="179" t="s">
        <v>4369</v>
      </c>
      <c r="N461" s="179" t="s">
        <v>969</v>
      </c>
      <c r="O461" s="141">
        <f t="shared" si="106"/>
        <v>0</v>
      </c>
      <c r="P461" s="181" t="b">
        <f>COUNTIF('Facility Data'!$A$1:$A$1500,"*"&amp;A461&amp;"*")&gt;0</f>
        <v>0</v>
      </c>
      <c r="Q461" s="181" t="b">
        <f>COUNTIF('Account Data'!$A$1:$A$1000,"*"&amp;A461&amp;"*")&gt;0</f>
        <v>0</v>
      </c>
      <c r="R461" s="182" t="b">
        <f t="shared" si="104"/>
        <v>0</v>
      </c>
      <c r="S461" s="182" t="b">
        <f t="shared" si="105"/>
        <v>0</v>
      </c>
      <c r="T461" s="181" t="b">
        <f>COUNTIF('New Items'!$A$1:$A$175,A461)&gt;0</f>
        <v>0</v>
      </c>
      <c r="U461" s="181" t="b">
        <f>COUNTIF(Discontinued!$A$1:$A$150,A461)&gt;0</f>
        <v>0</v>
      </c>
    </row>
    <row r="462" spans="1:21" s="8" customFormat="1" ht="11.25" x14ac:dyDescent="0.2">
      <c r="A462" s="152">
        <v>10087793</v>
      </c>
      <c r="B462" s="231" t="s">
        <v>241</v>
      </c>
      <c r="C462" s="12" t="s">
        <v>242</v>
      </c>
      <c r="D462" s="11" t="s">
        <v>651</v>
      </c>
      <c r="E462" s="12" t="s">
        <v>773</v>
      </c>
      <c r="F462" s="13">
        <v>8</v>
      </c>
      <c r="G462" s="121">
        <f>Overview!$B$27</f>
        <v>16</v>
      </c>
      <c r="H462" s="114">
        <f t="shared" si="107"/>
        <v>16</v>
      </c>
      <c r="I462" s="114">
        <f>Overview!$E$27</f>
        <v>0</v>
      </c>
      <c r="J462" s="115">
        <f t="shared" si="102"/>
        <v>0</v>
      </c>
      <c r="K462" s="116">
        <f>Overview!$H$27</f>
        <v>0</v>
      </c>
      <c r="L462" s="117" t="e">
        <f t="shared" si="103"/>
        <v>#DIV/0!</v>
      </c>
      <c r="M462" s="179" t="s">
        <v>4369</v>
      </c>
      <c r="N462" s="179" t="s">
        <v>969</v>
      </c>
      <c r="O462" s="141">
        <f>I462</f>
        <v>0</v>
      </c>
      <c r="P462" s="181" t="b">
        <f>COUNTIF('Facility Data'!$A$1:$A$1500,"*"&amp;A462&amp;"*")&gt;0</f>
        <v>0</v>
      </c>
      <c r="Q462" s="181" t="b">
        <f>COUNTIF('Account Data'!$A$1:$A$1000,"*"&amp;A462&amp;"*")&gt;0</f>
        <v>1</v>
      </c>
      <c r="R462" s="182" t="b">
        <f t="shared" si="104"/>
        <v>0</v>
      </c>
      <c r="S462" s="182" t="b">
        <f t="shared" si="105"/>
        <v>1</v>
      </c>
      <c r="T462" s="181" t="b">
        <f>COUNTIF('New Items'!$A$1:$A$175,A462)&gt;0</f>
        <v>0</v>
      </c>
      <c r="U462" s="181" t="b">
        <f>COUNTIF(Discontinued!$A$1:$A$150,A462)&gt;0</f>
        <v>0</v>
      </c>
    </row>
    <row r="463" spans="1:21" s="8" customFormat="1" ht="11.25" x14ac:dyDescent="0.2">
      <c r="A463" s="152">
        <v>10087801</v>
      </c>
      <c r="B463" s="231" t="s">
        <v>2697</v>
      </c>
      <c r="C463" s="12" t="s">
        <v>2698</v>
      </c>
      <c r="D463" s="11" t="s">
        <v>1294</v>
      </c>
      <c r="E463" s="12" t="s">
        <v>773</v>
      </c>
      <c r="F463" s="13">
        <v>8</v>
      </c>
      <c r="G463" s="121">
        <f>Overview!$B$27</f>
        <v>16</v>
      </c>
      <c r="H463" s="114">
        <f t="shared" si="107"/>
        <v>16</v>
      </c>
      <c r="I463" s="114">
        <f>Overview!$E$27</f>
        <v>0</v>
      </c>
      <c r="J463" s="115">
        <f t="shared" si="102"/>
        <v>0</v>
      </c>
      <c r="K463" s="116">
        <f>Overview!$H$27</f>
        <v>0</v>
      </c>
      <c r="L463" s="117" t="e">
        <f t="shared" si="103"/>
        <v>#DIV/0!</v>
      </c>
      <c r="M463" s="179" t="s">
        <v>4369</v>
      </c>
      <c r="N463" s="179" t="s">
        <v>969</v>
      </c>
      <c r="O463" s="141">
        <f t="shared" si="106"/>
        <v>0</v>
      </c>
      <c r="P463" s="181" t="b">
        <f>COUNTIF('Facility Data'!$A$1:$A$1500,"*"&amp;A463&amp;"*")&gt;0</f>
        <v>0</v>
      </c>
      <c r="Q463" s="181" t="b">
        <f>COUNTIF('Account Data'!$A$1:$A$1000,"*"&amp;A463&amp;"*")&gt;0</f>
        <v>0</v>
      </c>
      <c r="R463" s="182" t="b">
        <f t="shared" si="104"/>
        <v>0</v>
      </c>
      <c r="S463" s="182" t="b">
        <f t="shared" si="105"/>
        <v>0</v>
      </c>
      <c r="T463" s="181" t="b">
        <f>COUNTIF('New Items'!$A$1:$A$175,A463)&gt;0</f>
        <v>0</v>
      </c>
      <c r="U463" s="181" t="b">
        <f>COUNTIF(Discontinued!$A$1:$A$150,A463)&gt;0</f>
        <v>0</v>
      </c>
    </row>
    <row r="464" spans="1:21" s="8" customFormat="1" ht="11.25" x14ac:dyDescent="0.2">
      <c r="A464" s="152">
        <v>10021981</v>
      </c>
      <c r="B464" s="231" t="s">
        <v>3274</v>
      </c>
      <c r="C464" s="12" t="s">
        <v>935</v>
      </c>
      <c r="D464" s="11" t="s">
        <v>922</v>
      </c>
      <c r="E464" s="12" t="s">
        <v>773</v>
      </c>
      <c r="F464" s="13">
        <v>8</v>
      </c>
      <c r="G464" s="121">
        <f>Overview!$B$27</f>
        <v>16</v>
      </c>
      <c r="H464" s="114">
        <f t="shared" si="107"/>
        <v>16</v>
      </c>
      <c r="I464" s="114">
        <f>Overview!$E$27</f>
        <v>0</v>
      </c>
      <c r="J464" s="115">
        <f t="shared" si="102"/>
        <v>0</v>
      </c>
      <c r="K464" s="116">
        <f>Overview!$H$27</f>
        <v>0</v>
      </c>
      <c r="L464" s="117" t="e">
        <f t="shared" si="103"/>
        <v>#DIV/0!</v>
      </c>
      <c r="M464" s="179" t="s">
        <v>921</v>
      </c>
      <c r="N464" s="179" t="s">
        <v>969</v>
      </c>
      <c r="O464" s="141">
        <f>I464</f>
        <v>0</v>
      </c>
      <c r="P464" s="181" t="b">
        <f>COUNTIF('Facility Data'!$A$1:$A$1500,"*"&amp;A464&amp;"*")&gt;0</f>
        <v>0</v>
      </c>
      <c r="Q464" s="181" t="b">
        <f>COUNTIF('Account Data'!$A$1:$A$1000,"*"&amp;A464&amp;"*")&gt;0</f>
        <v>1</v>
      </c>
      <c r="R464" s="182" t="b">
        <f t="shared" si="104"/>
        <v>0</v>
      </c>
      <c r="S464" s="182" t="b">
        <f t="shared" si="105"/>
        <v>1</v>
      </c>
      <c r="T464" s="181" t="b">
        <f>COUNTIF('New Items'!$A$1:$A$175,A464)&gt;0</f>
        <v>0</v>
      </c>
      <c r="U464" s="181" t="b">
        <f>COUNTIF(Discontinued!$A$1:$A$150,A464)&gt;0</f>
        <v>0</v>
      </c>
    </row>
    <row r="465" spans="1:21" s="8" customFormat="1" ht="11.25" x14ac:dyDescent="0.2">
      <c r="A465" s="152">
        <v>10021980</v>
      </c>
      <c r="B465" s="231" t="s">
        <v>1598</v>
      </c>
      <c r="C465" s="12" t="s">
        <v>1599</v>
      </c>
      <c r="D465" s="11" t="s">
        <v>925</v>
      </c>
      <c r="E465" s="12" t="s">
        <v>773</v>
      </c>
      <c r="F465" s="13">
        <v>8</v>
      </c>
      <c r="G465" s="121">
        <f>Overview!$B$27</f>
        <v>16</v>
      </c>
      <c r="H465" s="114">
        <f t="shared" si="107"/>
        <v>16</v>
      </c>
      <c r="I465" s="114">
        <f>Overview!$E$27</f>
        <v>0</v>
      </c>
      <c r="J465" s="115">
        <f t="shared" si="102"/>
        <v>0</v>
      </c>
      <c r="K465" s="116">
        <f>Overview!$H$27</f>
        <v>0</v>
      </c>
      <c r="L465" s="117" t="e">
        <f t="shared" si="103"/>
        <v>#DIV/0!</v>
      </c>
      <c r="M465" s="179" t="s">
        <v>921</v>
      </c>
      <c r="N465" s="179" t="s">
        <v>969</v>
      </c>
      <c r="O465" s="141">
        <f t="shared" si="106"/>
        <v>0</v>
      </c>
      <c r="P465" s="181" t="b">
        <f>COUNTIF('Facility Data'!$A$1:$A$1500,"*"&amp;A465&amp;"*")&gt;0</f>
        <v>0</v>
      </c>
      <c r="Q465" s="181" t="b">
        <f>COUNTIF('Account Data'!$A$1:$A$1000,"*"&amp;A465&amp;"*")&gt;0</f>
        <v>0</v>
      </c>
      <c r="R465" s="182" t="b">
        <f t="shared" si="104"/>
        <v>0</v>
      </c>
      <c r="S465" s="182" t="b">
        <f t="shared" si="105"/>
        <v>0</v>
      </c>
      <c r="T465" s="181" t="b">
        <f>COUNTIF('New Items'!$A$1:$A$175,A465)&gt;0</f>
        <v>0</v>
      </c>
      <c r="U465" s="181" t="b">
        <f>COUNTIF(Discontinued!$A$1:$A$150,A465)&gt;0</f>
        <v>0</v>
      </c>
    </row>
    <row r="466" spans="1:21" s="8" customFormat="1" ht="11.25" x14ac:dyDescent="0.2">
      <c r="A466" s="152">
        <v>10021983</v>
      </c>
      <c r="B466" s="231" t="s">
        <v>3275</v>
      </c>
      <c r="C466" s="12" t="s">
        <v>936</v>
      </c>
      <c r="D466" s="11" t="s">
        <v>923</v>
      </c>
      <c r="E466" s="12" t="s">
        <v>773</v>
      </c>
      <c r="F466" s="13">
        <v>8</v>
      </c>
      <c r="G466" s="121">
        <f>Overview!$B$27</f>
        <v>16</v>
      </c>
      <c r="H466" s="114">
        <f t="shared" si="107"/>
        <v>16</v>
      </c>
      <c r="I466" s="114">
        <f>Overview!$E$27</f>
        <v>0</v>
      </c>
      <c r="J466" s="115">
        <f t="shared" si="102"/>
        <v>0</v>
      </c>
      <c r="K466" s="116">
        <f>Overview!$H$27</f>
        <v>0</v>
      </c>
      <c r="L466" s="117" t="e">
        <f t="shared" si="103"/>
        <v>#DIV/0!</v>
      </c>
      <c r="M466" s="179" t="s">
        <v>921</v>
      </c>
      <c r="N466" s="179" t="s">
        <v>969</v>
      </c>
      <c r="O466" s="141">
        <f t="shared" si="106"/>
        <v>0</v>
      </c>
      <c r="P466" s="181" t="b">
        <f>COUNTIF('Facility Data'!$A$1:$A$1500,"*"&amp;A466&amp;"*")&gt;0</f>
        <v>0</v>
      </c>
      <c r="Q466" s="181" t="b">
        <f>COUNTIF('Account Data'!$A$1:$A$1000,"*"&amp;A466&amp;"*")&gt;0</f>
        <v>0</v>
      </c>
      <c r="R466" s="182" t="b">
        <f t="shared" si="104"/>
        <v>0</v>
      </c>
      <c r="S466" s="182" t="b">
        <f t="shared" si="105"/>
        <v>0</v>
      </c>
      <c r="T466" s="181" t="b">
        <f>COUNTIF('New Items'!$A$1:$A$175,A466)&gt;0</f>
        <v>0</v>
      </c>
      <c r="U466" s="181" t="b">
        <f>COUNTIF(Discontinued!$A$1:$A$150,A466)&gt;0</f>
        <v>0</v>
      </c>
    </row>
    <row r="467" spans="1:21" s="8" customFormat="1" ht="11.25" x14ac:dyDescent="0.2">
      <c r="A467" s="152">
        <v>10021984</v>
      </c>
      <c r="B467" s="231" t="s">
        <v>3276</v>
      </c>
      <c r="C467" s="12" t="s">
        <v>937</v>
      </c>
      <c r="D467" s="11" t="s">
        <v>924</v>
      </c>
      <c r="E467" s="12" t="s">
        <v>773</v>
      </c>
      <c r="F467" s="13">
        <v>8</v>
      </c>
      <c r="G467" s="121">
        <f>Overview!$B$27</f>
        <v>16</v>
      </c>
      <c r="H467" s="114">
        <f t="shared" si="107"/>
        <v>16</v>
      </c>
      <c r="I467" s="114">
        <f>Overview!$E$27</f>
        <v>0</v>
      </c>
      <c r="J467" s="115">
        <f t="shared" si="102"/>
        <v>0</v>
      </c>
      <c r="K467" s="116">
        <f>Overview!$H$27</f>
        <v>0</v>
      </c>
      <c r="L467" s="117" t="e">
        <f t="shared" si="103"/>
        <v>#DIV/0!</v>
      </c>
      <c r="M467" s="179" t="s">
        <v>921</v>
      </c>
      <c r="N467" s="179" t="s">
        <v>969</v>
      </c>
      <c r="O467" s="141">
        <f t="shared" si="106"/>
        <v>0</v>
      </c>
      <c r="P467" s="181" t="b">
        <f>COUNTIF('Facility Data'!$A$1:$A$1500,"*"&amp;A467&amp;"*")&gt;0</f>
        <v>0</v>
      </c>
      <c r="Q467" s="181" t="b">
        <f>COUNTIF('Account Data'!$A$1:$A$1000,"*"&amp;A467&amp;"*")&gt;0</f>
        <v>0</v>
      </c>
      <c r="R467" s="182" t="b">
        <f t="shared" ref="R467:R497" si="108">IF(OR(P467=TRUE,T467=TRUE),TRUE,FALSE)</f>
        <v>0</v>
      </c>
      <c r="S467" s="182" t="b">
        <f t="shared" si="105"/>
        <v>0</v>
      </c>
      <c r="T467" s="181" t="b">
        <f>COUNTIF('New Items'!$A$1:$A$175,A467)&gt;0</f>
        <v>0</v>
      </c>
      <c r="U467" s="181" t="b">
        <f>COUNTIF(Discontinued!$A$1:$A$150,A467)&gt;0</f>
        <v>0</v>
      </c>
    </row>
    <row r="468" spans="1:21" s="8" customFormat="1" ht="11.25" x14ac:dyDescent="0.2">
      <c r="A468" s="152">
        <v>10001487</v>
      </c>
      <c r="B468" s="231" t="s">
        <v>243</v>
      </c>
      <c r="C468" s="12" t="s">
        <v>244</v>
      </c>
      <c r="D468" s="11" t="s">
        <v>652</v>
      </c>
      <c r="E468" s="12" t="s">
        <v>773</v>
      </c>
      <c r="F468" s="13">
        <v>8</v>
      </c>
      <c r="G468" s="121">
        <f>Overview!$B$27</f>
        <v>16</v>
      </c>
      <c r="H468" s="114">
        <f t="shared" si="107"/>
        <v>16</v>
      </c>
      <c r="I468" s="114">
        <f>Overview!$E$27</f>
        <v>0</v>
      </c>
      <c r="J468" s="115">
        <f t="shared" si="102"/>
        <v>0</v>
      </c>
      <c r="K468" s="116">
        <f>Overview!$H$27</f>
        <v>0</v>
      </c>
      <c r="L468" s="117" t="e">
        <f t="shared" si="103"/>
        <v>#DIV/0!</v>
      </c>
      <c r="M468" s="179"/>
      <c r="N468" s="179" t="s">
        <v>969</v>
      </c>
      <c r="O468" s="141">
        <f>I468</f>
        <v>0</v>
      </c>
      <c r="P468" s="181" t="b">
        <f>COUNTIF('Facility Data'!$A$1:$A$1500,"*"&amp;A468&amp;"*")&gt;0</f>
        <v>1</v>
      </c>
      <c r="Q468" s="181" t="b">
        <f>COUNTIF('Account Data'!$A$1:$A$1000,"*"&amp;A468&amp;"*")&gt;0</f>
        <v>1</v>
      </c>
      <c r="R468" s="182" t="b">
        <f t="shared" si="108"/>
        <v>1</v>
      </c>
      <c r="S468" s="182" t="b">
        <f t="shared" si="105"/>
        <v>1</v>
      </c>
      <c r="T468" s="181" t="b">
        <f>COUNTIF('New Items'!$A$1:$A$175,A468)&gt;0</f>
        <v>0</v>
      </c>
      <c r="U468" s="181" t="b">
        <f>COUNTIF(Discontinued!$A$1:$A$150,A468)&gt;0</f>
        <v>0</v>
      </c>
    </row>
    <row r="469" spans="1:21" s="8" customFormat="1" ht="11.25" x14ac:dyDescent="0.2">
      <c r="A469" s="152">
        <v>10078450</v>
      </c>
      <c r="B469" s="231" t="s">
        <v>2826</v>
      </c>
      <c r="C469" s="12" t="s">
        <v>244</v>
      </c>
      <c r="D469" s="11" t="s">
        <v>2827</v>
      </c>
      <c r="E469" s="12" t="s">
        <v>773</v>
      </c>
      <c r="F469" s="13">
        <v>8</v>
      </c>
      <c r="G469" s="121">
        <f>Overview!$B$27</f>
        <v>16</v>
      </c>
      <c r="H469" s="114">
        <f t="shared" si="107"/>
        <v>16</v>
      </c>
      <c r="I469" s="114">
        <f>Overview!$E$27</f>
        <v>0</v>
      </c>
      <c r="J469" s="115">
        <f t="shared" si="102"/>
        <v>0</v>
      </c>
      <c r="K469" s="116">
        <f>Overview!$H$27</f>
        <v>0</v>
      </c>
      <c r="L469" s="117" t="e">
        <f t="shared" si="103"/>
        <v>#DIV/0!</v>
      </c>
      <c r="M469" s="179"/>
      <c r="N469" s="179" t="s">
        <v>969</v>
      </c>
      <c r="O469" s="141">
        <f t="shared" si="106"/>
        <v>0</v>
      </c>
      <c r="P469" s="181" t="b">
        <f>COUNTIF('Facility Data'!$A$1:$A$1500,"*"&amp;A469&amp;"*")&gt;0</f>
        <v>0</v>
      </c>
      <c r="Q469" s="181" t="b">
        <f>COUNTIF('Account Data'!$A$1:$A$1000,"*"&amp;A469&amp;"*")&gt;0</f>
        <v>0</v>
      </c>
      <c r="R469" s="182" t="b">
        <f t="shared" si="108"/>
        <v>0</v>
      </c>
      <c r="S469" s="182" t="b">
        <f t="shared" si="105"/>
        <v>0</v>
      </c>
      <c r="T469" s="181" t="b">
        <f>COUNTIF('New Items'!$A$1:$A$175,A469)&gt;0</f>
        <v>0</v>
      </c>
      <c r="U469" s="181" t="b">
        <f>COUNTIF(Discontinued!$A$1:$A$150,A469)&gt;0</f>
        <v>0</v>
      </c>
    </row>
    <row r="470" spans="1:21" s="8" customFormat="1" ht="11.25" x14ac:dyDescent="0.2">
      <c r="A470" s="152">
        <v>10001488</v>
      </c>
      <c r="B470" s="231" t="s">
        <v>4814</v>
      </c>
      <c r="C470" s="12" t="s">
        <v>246</v>
      </c>
      <c r="D470" s="11" t="s">
        <v>4737</v>
      </c>
      <c r="E470" s="12" t="s">
        <v>773</v>
      </c>
      <c r="F470" s="13">
        <v>8</v>
      </c>
      <c r="G470" s="121">
        <f>Overview!$B$27</f>
        <v>16</v>
      </c>
      <c r="H470" s="114">
        <f t="shared" si="107"/>
        <v>16</v>
      </c>
      <c r="I470" s="114">
        <f>Overview!$E$27</f>
        <v>0</v>
      </c>
      <c r="J470" s="115">
        <f t="shared" si="102"/>
        <v>0</v>
      </c>
      <c r="K470" s="116">
        <f>Overview!$H$27</f>
        <v>0</v>
      </c>
      <c r="L470" s="117" t="e">
        <f t="shared" si="103"/>
        <v>#DIV/0!</v>
      </c>
      <c r="M470" s="179"/>
      <c r="N470" s="179" t="s">
        <v>969</v>
      </c>
      <c r="O470" s="141">
        <f t="shared" si="106"/>
        <v>0</v>
      </c>
      <c r="P470" s="181" t="b">
        <f>COUNTIF('Facility Data'!$A$1:$A$1500,"*"&amp;A470&amp;"*")&gt;0</f>
        <v>1</v>
      </c>
      <c r="Q470" s="181" t="b">
        <f>COUNTIF('Account Data'!$A$1:$A$1000,"*"&amp;A470&amp;"*")&gt;0</f>
        <v>1</v>
      </c>
      <c r="R470" s="182" t="b">
        <f t="shared" si="108"/>
        <v>1</v>
      </c>
      <c r="S470" s="182" t="b">
        <f t="shared" si="105"/>
        <v>1</v>
      </c>
      <c r="T470" s="181" t="b">
        <f>COUNTIF('New Items'!$A$1:$A$175,A470)&gt;0</f>
        <v>0</v>
      </c>
      <c r="U470" s="181" t="b">
        <f>COUNTIF(Discontinued!$A$1:$A$150,A470)&gt;0</f>
        <v>0</v>
      </c>
    </row>
    <row r="471" spans="1:21" s="8" customFormat="1" ht="11.25" x14ac:dyDescent="0.2">
      <c r="A471" s="152">
        <v>10126466</v>
      </c>
      <c r="B471" s="231" t="s">
        <v>3959</v>
      </c>
      <c r="C471" s="12" t="s">
        <v>3960</v>
      </c>
      <c r="D471" s="11" t="s">
        <v>3773</v>
      </c>
      <c r="E471" s="12" t="s">
        <v>773</v>
      </c>
      <c r="F471" s="13">
        <v>8</v>
      </c>
      <c r="G471" s="121">
        <f>Overview!$B$27</f>
        <v>16</v>
      </c>
      <c r="H471" s="114">
        <f>G471-I471</f>
        <v>16</v>
      </c>
      <c r="I471" s="114">
        <f>Overview!$E$27</f>
        <v>0</v>
      </c>
      <c r="J471" s="115">
        <f>I471/F471</f>
        <v>0</v>
      </c>
      <c r="K471" s="116">
        <f>Overview!$H$27</f>
        <v>0</v>
      </c>
      <c r="L471" s="117" t="e">
        <f>(K471-J471)/K471</f>
        <v>#DIV/0!</v>
      </c>
      <c r="M471" s="179"/>
      <c r="N471" s="179" t="s">
        <v>969</v>
      </c>
      <c r="O471" s="141">
        <f>I471</f>
        <v>0</v>
      </c>
      <c r="P471" s="181" t="b">
        <f>COUNTIF('Facility Data'!$A$1:$A$1500,"*"&amp;A471&amp;"*")&gt;0</f>
        <v>1</v>
      </c>
      <c r="Q471" s="181" t="b">
        <f>COUNTIF('Account Data'!$A$1:$A$1000,"*"&amp;A471&amp;"*")&gt;0</f>
        <v>0</v>
      </c>
      <c r="R471" s="182" t="b">
        <f t="shared" si="108"/>
        <v>1</v>
      </c>
      <c r="S471" s="182" t="b">
        <f t="shared" si="105"/>
        <v>0</v>
      </c>
      <c r="T471" s="181" t="b">
        <f>COUNTIF('New Items'!$A$1:$A$175,A471)&gt;0</f>
        <v>0</v>
      </c>
      <c r="U471" s="181" t="b">
        <f>COUNTIF(Discontinued!$A$1:$A$150,A471)&gt;0</f>
        <v>0</v>
      </c>
    </row>
    <row r="472" spans="1:21" s="8" customFormat="1" ht="11.25" x14ac:dyDescent="0.2">
      <c r="A472" s="152">
        <v>10105906</v>
      </c>
      <c r="B472" s="231" t="s">
        <v>4047</v>
      </c>
      <c r="C472" s="12" t="s">
        <v>795</v>
      </c>
      <c r="D472" s="11" t="s">
        <v>796</v>
      </c>
      <c r="E472" s="12" t="s">
        <v>773</v>
      </c>
      <c r="F472" s="13">
        <v>8</v>
      </c>
      <c r="G472" s="121">
        <f>Overview!$B$27</f>
        <v>16</v>
      </c>
      <c r="H472" s="114">
        <f t="shared" si="107"/>
        <v>16</v>
      </c>
      <c r="I472" s="114">
        <f>Overview!$E$27</f>
        <v>0</v>
      </c>
      <c r="J472" s="115">
        <f t="shared" si="102"/>
        <v>0</v>
      </c>
      <c r="K472" s="116">
        <f>Overview!$H$27</f>
        <v>0</v>
      </c>
      <c r="L472" s="117" t="e">
        <f t="shared" si="103"/>
        <v>#DIV/0!</v>
      </c>
      <c r="M472" s="179"/>
      <c r="N472" s="179" t="s">
        <v>969</v>
      </c>
      <c r="O472" s="141">
        <f t="shared" si="106"/>
        <v>0</v>
      </c>
      <c r="P472" s="181" t="b">
        <f>COUNTIF('Facility Data'!$A$1:$A$1500,"*"&amp;A472&amp;"*")&gt;0</f>
        <v>1</v>
      </c>
      <c r="Q472" s="181" t="b">
        <f>COUNTIF('Account Data'!$A$1:$A$1000,"*"&amp;A472&amp;"*")&gt;0</f>
        <v>1</v>
      </c>
      <c r="R472" s="182" t="b">
        <f t="shared" si="108"/>
        <v>1</v>
      </c>
      <c r="S472" s="182" t="b">
        <f t="shared" si="105"/>
        <v>1</v>
      </c>
      <c r="T472" s="181" t="b">
        <f>COUNTIF('New Items'!$A$1:$A$175,A472)&gt;0</f>
        <v>0</v>
      </c>
      <c r="U472" s="181" t="b">
        <f>COUNTIF(Discontinued!$A$1:$A$150,A472)&gt;0</f>
        <v>0</v>
      </c>
    </row>
    <row r="473" spans="1:21" s="8" customFormat="1" ht="11.25" x14ac:dyDescent="0.2">
      <c r="A473" s="152">
        <v>10105907</v>
      </c>
      <c r="B473" s="231" t="s">
        <v>1104</v>
      </c>
      <c r="C473" s="118" t="s">
        <v>1105</v>
      </c>
      <c r="D473" s="119" t="s">
        <v>1058</v>
      </c>
      <c r="E473" s="12" t="s">
        <v>773</v>
      </c>
      <c r="F473" s="13">
        <v>8</v>
      </c>
      <c r="G473" s="121">
        <f>Overview!$B$27</f>
        <v>16</v>
      </c>
      <c r="H473" s="114">
        <f t="shared" si="107"/>
        <v>16</v>
      </c>
      <c r="I473" s="114">
        <f>Overview!$E$27</f>
        <v>0</v>
      </c>
      <c r="J473" s="115">
        <f t="shared" si="102"/>
        <v>0</v>
      </c>
      <c r="K473" s="116">
        <f>Overview!$H$27</f>
        <v>0</v>
      </c>
      <c r="L473" s="117" t="e">
        <f t="shared" si="103"/>
        <v>#DIV/0!</v>
      </c>
      <c r="M473" s="179"/>
      <c r="N473" s="179" t="s">
        <v>969</v>
      </c>
      <c r="O473" s="141">
        <f t="shared" si="106"/>
        <v>0</v>
      </c>
      <c r="P473" s="181" t="b">
        <f>COUNTIF('Facility Data'!$A$1:$A$1500,"*"&amp;A473&amp;"*")&gt;0</f>
        <v>1</v>
      </c>
      <c r="Q473" s="181" t="b">
        <f>COUNTIF('Account Data'!$A$1:$A$1000,"*"&amp;A473&amp;"*")&gt;0</f>
        <v>0</v>
      </c>
      <c r="R473" s="182" t="b">
        <f t="shared" si="108"/>
        <v>1</v>
      </c>
      <c r="S473" s="182" t="b">
        <f t="shared" ref="S473:S556" si="109">IF(OR(Q473=TRUE,T473=TRUE),TRUE,FALSE)</f>
        <v>0</v>
      </c>
      <c r="T473" s="181" t="b">
        <f>COUNTIF('New Items'!$A$1:$A$175,A473)&gt;0</f>
        <v>0</v>
      </c>
      <c r="U473" s="181" t="b">
        <f>COUNTIF(Discontinued!$A$1:$A$150,A473)&gt;0</f>
        <v>0</v>
      </c>
    </row>
    <row r="474" spans="1:21" s="8" customFormat="1" ht="11.25" x14ac:dyDescent="0.2">
      <c r="A474" s="152">
        <v>10001595</v>
      </c>
      <c r="B474" s="231" t="s">
        <v>247</v>
      </c>
      <c r="C474" s="12" t="s">
        <v>248</v>
      </c>
      <c r="D474" s="11" t="s">
        <v>653</v>
      </c>
      <c r="E474" s="12" t="s">
        <v>773</v>
      </c>
      <c r="F474" s="13">
        <v>8</v>
      </c>
      <c r="G474" s="121">
        <f>Overview!$B$27</f>
        <v>16</v>
      </c>
      <c r="H474" s="114">
        <f t="shared" si="107"/>
        <v>16</v>
      </c>
      <c r="I474" s="114">
        <f>Overview!$E$27</f>
        <v>0</v>
      </c>
      <c r="J474" s="115">
        <f t="shared" si="102"/>
        <v>0</v>
      </c>
      <c r="K474" s="116">
        <f>Overview!$H$27</f>
        <v>0</v>
      </c>
      <c r="L474" s="117" t="e">
        <f t="shared" si="103"/>
        <v>#DIV/0!</v>
      </c>
      <c r="M474" s="179"/>
      <c r="N474" s="179" t="s">
        <v>969</v>
      </c>
      <c r="O474" s="141">
        <f t="shared" si="106"/>
        <v>0</v>
      </c>
      <c r="P474" s="181" t="b">
        <f>COUNTIF('Facility Data'!$A$1:$A$1500,"*"&amp;A474&amp;"*")&gt;0</f>
        <v>1</v>
      </c>
      <c r="Q474" s="181" t="b">
        <f>COUNTIF('Account Data'!$A$1:$A$1000,"*"&amp;A474&amp;"*")&gt;0</f>
        <v>1</v>
      </c>
      <c r="R474" s="182" t="b">
        <f t="shared" si="108"/>
        <v>1</v>
      </c>
      <c r="S474" s="182" t="b">
        <f t="shared" si="109"/>
        <v>1</v>
      </c>
      <c r="T474" s="181" t="b">
        <f>COUNTIF('New Items'!$A$1:$A$175,A474)&gt;0</f>
        <v>0</v>
      </c>
      <c r="U474" s="181" t="b">
        <f>COUNTIF(Discontinued!$A$1:$A$150,A474)&gt;0</f>
        <v>0</v>
      </c>
    </row>
    <row r="475" spans="1:21" s="8" customFormat="1" ht="11.25" x14ac:dyDescent="0.2">
      <c r="A475" s="152">
        <v>10001596</v>
      </c>
      <c r="B475" s="231" t="s">
        <v>4815</v>
      </c>
      <c r="C475" s="12" t="s">
        <v>250</v>
      </c>
      <c r="D475" s="11" t="s">
        <v>4760</v>
      </c>
      <c r="E475" s="12" t="s">
        <v>773</v>
      </c>
      <c r="F475" s="13">
        <v>8</v>
      </c>
      <c r="G475" s="121">
        <f>Overview!$B$27</f>
        <v>16</v>
      </c>
      <c r="H475" s="114">
        <f t="shared" si="107"/>
        <v>16</v>
      </c>
      <c r="I475" s="114">
        <f>Overview!$E$27</f>
        <v>0</v>
      </c>
      <c r="J475" s="115">
        <f t="shared" si="102"/>
        <v>0</v>
      </c>
      <c r="K475" s="116">
        <f>Overview!$H$27</f>
        <v>0</v>
      </c>
      <c r="L475" s="117" t="e">
        <f t="shared" si="103"/>
        <v>#DIV/0!</v>
      </c>
      <c r="M475" s="179"/>
      <c r="N475" s="179" t="s">
        <v>969</v>
      </c>
      <c r="O475" s="141">
        <f t="shared" si="106"/>
        <v>0</v>
      </c>
      <c r="P475" s="181" t="b">
        <f>COUNTIF('Facility Data'!$A$1:$A$1500,"*"&amp;A475&amp;"*")&gt;0</f>
        <v>1</v>
      </c>
      <c r="Q475" s="181" t="b">
        <f>COUNTIF('Account Data'!$A$1:$A$1000,"*"&amp;A475&amp;"*")&gt;0</f>
        <v>1</v>
      </c>
      <c r="R475" s="182" t="b">
        <f t="shared" si="108"/>
        <v>1</v>
      </c>
      <c r="S475" s="182" t="b">
        <f t="shared" si="109"/>
        <v>1</v>
      </c>
      <c r="T475" s="181" t="b">
        <f>COUNTIF('New Items'!$A$1:$A$175,A475)&gt;0</f>
        <v>0</v>
      </c>
      <c r="U475" s="181" t="b">
        <f>COUNTIF(Discontinued!$A$1:$A$150,A475)&gt;0</f>
        <v>0</v>
      </c>
    </row>
    <row r="476" spans="1:21" s="8" customFormat="1" ht="11.25" x14ac:dyDescent="0.2">
      <c r="A476" s="152">
        <v>10081257</v>
      </c>
      <c r="B476" s="10" t="s">
        <v>251</v>
      </c>
      <c r="C476" s="12" t="s">
        <v>252</v>
      </c>
      <c r="D476" s="11" t="s">
        <v>654</v>
      </c>
      <c r="E476" s="12" t="s">
        <v>773</v>
      </c>
      <c r="F476" s="13">
        <v>8</v>
      </c>
      <c r="G476" s="121">
        <f>Overview!$B$27</f>
        <v>16</v>
      </c>
      <c r="H476" s="114">
        <f t="shared" si="107"/>
        <v>16</v>
      </c>
      <c r="I476" s="114">
        <f>Overview!$E$27</f>
        <v>0</v>
      </c>
      <c r="J476" s="115">
        <f t="shared" si="102"/>
        <v>0</v>
      </c>
      <c r="K476" s="116">
        <f>Overview!$H$27</f>
        <v>0</v>
      </c>
      <c r="L476" s="117" t="e">
        <f t="shared" si="103"/>
        <v>#DIV/0!</v>
      </c>
      <c r="M476" s="179"/>
      <c r="N476" s="179" t="s">
        <v>969</v>
      </c>
      <c r="O476" s="141">
        <f t="shared" si="106"/>
        <v>0</v>
      </c>
      <c r="P476" s="181" t="b">
        <f>COUNTIF('Facility Data'!$A$1:$A$1500,"*"&amp;A476&amp;"*")&gt;0</f>
        <v>0</v>
      </c>
      <c r="Q476" s="181" t="b">
        <f>COUNTIF('Account Data'!$A$1:$A$1000,"*"&amp;A476&amp;"*")&gt;0</f>
        <v>1</v>
      </c>
      <c r="R476" s="182" t="b">
        <f t="shared" si="108"/>
        <v>0</v>
      </c>
      <c r="S476" s="182" t="b">
        <f t="shared" si="109"/>
        <v>1</v>
      </c>
      <c r="T476" s="181" t="b">
        <f>COUNTIF('New Items'!$A$1:$A$175,A476)&gt;0</f>
        <v>0</v>
      </c>
      <c r="U476" s="181" t="b">
        <f>COUNTIF(Discontinued!$A$1:$A$150,A476)&gt;0</f>
        <v>0</v>
      </c>
    </row>
    <row r="477" spans="1:21" s="8" customFormat="1" ht="11.25" x14ac:dyDescent="0.2">
      <c r="A477" s="152">
        <v>10006263</v>
      </c>
      <c r="B477" s="10" t="s">
        <v>2830</v>
      </c>
      <c r="C477" s="12" t="s">
        <v>2831</v>
      </c>
      <c r="D477" s="11" t="s">
        <v>675</v>
      </c>
      <c r="E477" s="12" t="s">
        <v>773</v>
      </c>
      <c r="F477" s="13">
        <v>8</v>
      </c>
      <c r="G477" s="22">
        <f>Overview!$B$27</f>
        <v>16</v>
      </c>
      <c r="H477" s="114">
        <f t="shared" si="107"/>
        <v>16</v>
      </c>
      <c r="I477" s="114">
        <f>Overview!$E$27</f>
        <v>0</v>
      </c>
      <c r="J477" s="115">
        <f t="shared" si="102"/>
        <v>0</v>
      </c>
      <c r="K477" s="116">
        <f>Overview!$H$27</f>
        <v>0</v>
      </c>
      <c r="L477" s="117" t="e">
        <f t="shared" si="103"/>
        <v>#DIV/0!</v>
      </c>
      <c r="M477" s="179"/>
      <c r="N477" s="179" t="s">
        <v>969</v>
      </c>
      <c r="O477" s="141">
        <f t="shared" si="106"/>
        <v>0</v>
      </c>
      <c r="P477" s="181" t="b">
        <f>COUNTIF('Facility Data'!$A$1:$A$1500,"*"&amp;A477&amp;"*")&gt;0</f>
        <v>0</v>
      </c>
      <c r="Q477" s="181" t="b">
        <f>COUNTIF('Account Data'!$A$1:$A$1000,"*"&amp;A477&amp;"*")&gt;0</f>
        <v>0</v>
      </c>
      <c r="R477" s="182" t="b">
        <f t="shared" si="108"/>
        <v>0</v>
      </c>
      <c r="S477" s="182" t="b">
        <f t="shared" si="109"/>
        <v>0</v>
      </c>
      <c r="T477" s="181" t="b">
        <f>COUNTIF('New Items'!$A$1:$A$175,A477)&gt;0</f>
        <v>0</v>
      </c>
      <c r="U477" s="181" t="b">
        <f>COUNTIF(Discontinued!$A$1:$A$150,A477)&gt;0</f>
        <v>0</v>
      </c>
    </row>
    <row r="478" spans="1:21" s="8" customFormat="1" ht="11.25" x14ac:dyDescent="0.2">
      <c r="A478" s="152">
        <v>10000098</v>
      </c>
      <c r="B478" s="10" t="s">
        <v>1306</v>
      </c>
      <c r="C478" s="12" t="s">
        <v>1307</v>
      </c>
      <c r="D478" s="11" t="s">
        <v>4116</v>
      </c>
      <c r="E478" s="12" t="s">
        <v>773</v>
      </c>
      <c r="F478" s="13">
        <v>8</v>
      </c>
      <c r="G478" s="22">
        <f>Overview!$B$27</f>
        <v>16</v>
      </c>
      <c r="H478" s="114">
        <f t="shared" si="107"/>
        <v>16</v>
      </c>
      <c r="I478" s="114">
        <f>Overview!$E$27</f>
        <v>0</v>
      </c>
      <c r="J478" s="115">
        <f t="shared" si="102"/>
        <v>0</v>
      </c>
      <c r="K478" s="116">
        <f>Overview!$H$27</f>
        <v>0</v>
      </c>
      <c r="L478" s="117" t="e">
        <f t="shared" si="103"/>
        <v>#DIV/0!</v>
      </c>
      <c r="M478" s="179" t="s">
        <v>953</v>
      </c>
      <c r="N478" s="179" t="s">
        <v>969</v>
      </c>
      <c r="O478" s="141">
        <f t="shared" si="106"/>
        <v>0</v>
      </c>
      <c r="P478" s="181" t="b">
        <f>COUNTIF('Facility Data'!$A$1:$A$1500,"*"&amp;A478&amp;"*")&gt;0</f>
        <v>0</v>
      </c>
      <c r="Q478" s="181" t="b">
        <f>COUNTIF('Account Data'!$A$1:$A$1000,"*"&amp;A478&amp;"*")&gt;0</f>
        <v>0</v>
      </c>
      <c r="R478" s="182" t="b">
        <f t="shared" si="108"/>
        <v>0</v>
      </c>
      <c r="S478" s="182" t="b">
        <f t="shared" si="109"/>
        <v>0</v>
      </c>
      <c r="T478" s="181" t="b">
        <f>COUNTIF('New Items'!$A$1:$A$175,A478)&gt;0</f>
        <v>0</v>
      </c>
      <c r="U478" s="181" t="b">
        <f>COUNTIF(Discontinued!$A$1:$A$150,A478)&gt;0</f>
        <v>0</v>
      </c>
    </row>
    <row r="479" spans="1:21" s="8" customFormat="1" ht="11.25" x14ac:dyDescent="0.2">
      <c r="A479" s="152">
        <v>10001535</v>
      </c>
      <c r="B479" s="10" t="s">
        <v>4816</v>
      </c>
      <c r="C479" s="12" t="s">
        <v>1309</v>
      </c>
      <c r="D479" s="11" t="s">
        <v>4780</v>
      </c>
      <c r="E479" s="12" t="s">
        <v>773</v>
      </c>
      <c r="F479" s="13">
        <v>8</v>
      </c>
      <c r="G479" s="22">
        <f>Overview!$B$27</f>
        <v>16</v>
      </c>
      <c r="H479" s="114">
        <f t="shared" si="107"/>
        <v>16</v>
      </c>
      <c r="I479" s="114">
        <f>Overview!$E$27</f>
        <v>0</v>
      </c>
      <c r="J479" s="115">
        <f t="shared" si="102"/>
        <v>0</v>
      </c>
      <c r="K479" s="116">
        <f>Overview!$H$27</f>
        <v>0</v>
      </c>
      <c r="L479" s="117" t="e">
        <f t="shared" si="103"/>
        <v>#DIV/0!</v>
      </c>
      <c r="M479" s="179" t="s">
        <v>953</v>
      </c>
      <c r="N479" s="179" t="s">
        <v>969</v>
      </c>
      <c r="O479" s="141">
        <f t="shared" si="106"/>
        <v>0</v>
      </c>
      <c r="P479" s="181" t="b">
        <f>COUNTIF('Facility Data'!$A$1:$A$1500,"*"&amp;A479&amp;"*")&gt;0</f>
        <v>0</v>
      </c>
      <c r="Q479" s="181" t="b">
        <f>COUNTIF('Account Data'!$A$1:$A$1000,"*"&amp;A479&amp;"*")&gt;0</f>
        <v>0</v>
      </c>
      <c r="R479" s="182" t="b">
        <f t="shared" si="108"/>
        <v>0</v>
      </c>
      <c r="S479" s="182" t="b">
        <f t="shared" si="109"/>
        <v>0</v>
      </c>
      <c r="T479" s="181" t="b">
        <f>COUNTIF('New Items'!$A$1:$A$175,A479)&gt;0</f>
        <v>0</v>
      </c>
      <c r="U479" s="181" t="b">
        <f>COUNTIF(Discontinued!$A$1:$A$150,A479)&gt;0</f>
        <v>0</v>
      </c>
    </row>
    <row r="480" spans="1:21" s="8" customFormat="1" ht="11.25" x14ac:dyDescent="0.2">
      <c r="A480" s="152">
        <v>10001442</v>
      </c>
      <c r="B480" s="10" t="s">
        <v>2760</v>
      </c>
      <c r="C480" s="12" t="s">
        <v>2761</v>
      </c>
      <c r="D480" s="11" t="s">
        <v>1697</v>
      </c>
      <c r="E480" s="12" t="s">
        <v>773</v>
      </c>
      <c r="F480" s="13">
        <v>8</v>
      </c>
      <c r="G480" s="22">
        <f>Overview!$B$27</f>
        <v>16</v>
      </c>
      <c r="H480" s="114">
        <f>G480-I480</f>
        <v>16</v>
      </c>
      <c r="I480" s="114">
        <f>Overview!$E$27</f>
        <v>0</v>
      </c>
      <c r="J480" s="115">
        <f>I480/F480</f>
        <v>0</v>
      </c>
      <c r="K480" s="116">
        <f>Overview!$H$27</f>
        <v>0</v>
      </c>
      <c r="L480" s="117" t="e">
        <f>(K480-J480)/K480</f>
        <v>#DIV/0!</v>
      </c>
      <c r="M480" s="179" t="s">
        <v>944</v>
      </c>
      <c r="N480" s="179" t="s">
        <v>969</v>
      </c>
      <c r="O480" s="141">
        <f>I480</f>
        <v>0</v>
      </c>
      <c r="P480" s="181" t="b">
        <f>COUNTIF('Facility Data'!$A$1:$A$1500,"*"&amp;A480&amp;"*")&gt;0</f>
        <v>0</v>
      </c>
      <c r="Q480" s="181" t="b">
        <f>COUNTIF('Account Data'!$A$1:$A$1000,"*"&amp;A480&amp;"*")&gt;0</f>
        <v>0</v>
      </c>
      <c r="R480" s="182" t="b">
        <f t="shared" si="108"/>
        <v>0</v>
      </c>
      <c r="S480" s="182" t="b">
        <f>IF(OR(Q480=TRUE,T480=TRUE),TRUE,FALSE)</f>
        <v>0</v>
      </c>
      <c r="T480" s="181" t="b">
        <f>COUNTIF('New Items'!$A$1:$A$175,A480)&gt;0</f>
        <v>0</v>
      </c>
      <c r="U480" s="181" t="b">
        <f>COUNTIF(Discontinued!$A$1:$A$150,A480)&gt;0</f>
        <v>0</v>
      </c>
    </row>
    <row r="481" spans="1:21" s="8" customFormat="1" ht="11.25" x14ac:dyDescent="0.2">
      <c r="A481" s="152">
        <v>10002268</v>
      </c>
      <c r="B481" s="10" t="s">
        <v>2762</v>
      </c>
      <c r="C481" s="12" t="s">
        <v>2763</v>
      </c>
      <c r="D481" s="11" t="s">
        <v>2767</v>
      </c>
      <c r="E481" s="12" t="s">
        <v>773</v>
      </c>
      <c r="F481" s="13">
        <v>8</v>
      </c>
      <c r="G481" s="22">
        <f>Overview!$B$27</f>
        <v>16</v>
      </c>
      <c r="H481" s="114">
        <f>G481-I481</f>
        <v>16</v>
      </c>
      <c r="I481" s="114">
        <f>Overview!$E$27</f>
        <v>0</v>
      </c>
      <c r="J481" s="115">
        <f>I481/F481</f>
        <v>0</v>
      </c>
      <c r="K481" s="116">
        <f>Overview!$H$27</f>
        <v>0</v>
      </c>
      <c r="L481" s="117" t="e">
        <f>(K481-J481)/K481</f>
        <v>#DIV/0!</v>
      </c>
      <c r="M481" s="179" t="s">
        <v>3500</v>
      </c>
      <c r="N481" s="179" t="s">
        <v>969</v>
      </c>
      <c r="O481" s="141">
        <f>I481</f>
        <v>0</v>
      </c>
      <c r="P481" s="181" t="b">
        <f>COUNTIF('Facility Data'!$A$1:$A$1500,"*"&amp;A481&amp;"*")&gt;0</f>
        <v>0</v>
      </c>
      <c r="Q481" s="181" t="b">
        <f>COUNTIF('Account Data'!$A$1:$A$1000,"*"&amp;A481&amp;"*")&gt;0</f>
        <v>0</v>
      </c>
      <c r="R481" s="182" t="b">
        <f t="shared" si="108"/>
        <v>0</v>
      </c>
      <c r="S481" s="182" t="b">
        <f>IF(OR(Q481=TRUE,T481=TRUE),TRUE,FALSE)</f>
        <v>0</v>
      </c>
      <c r="T481" s="181" t="b">
        <f>COUNTIF('New Items'!$A$1:$A$175,A481)&gt;0</f>
        <v>0</v>
      </c>
      <c r="U481" s="181" t="b">
        <f>COUNTIF(Discontinued!$A$1:$A$150,A481)&gt;0</f>
        <v>0</v>
      </c>
    </row>
    <row r="482" spans="1:21" s="8" customFormat="1" ht="11.25" x14ac:dyDescent="0.2">
      <c r="A482" s="152">
        <v>10001435</v>
      </c>
      <c r="B482" s="10" t="s">
        <v>253</v>
      </c>
      <c r="C482" s="12" t="s">
        <v>254</v>
      </c>
      <c r="D482" s="11" t="s">
        <v>636</v>
      </c>
      <c r="E482" s="12" t="s">
        <v>773</v>
      </c>
      <c r="F482" s="13">
        <v>8</v>
      </c>
      <c r="G482" s="22">
        <f>Overview!$B$27</f>
        <v>16</v>
      </c>
      <c r="H482" s="114">
        <f t="shared" si="107"/>
        <v>16</v>
      </c>
      <c r="I482" s="114">
        <f>Overview!$E$27</f>
        <v>0</v>
      </c>
      <c r="J482" s="115">
        <f t="shared" si="102"/>
        <v>0</v>
      </c>
      <c r="K482" s="116">
        <f>Overview!$H$27</f>
        <v>0</v>
      </c>
      <c r="L482" s="117" t="e">
        <f t="shared" si="103"/>
        <v>#DIV/0!</v>
      </c>
      <c r="M482" s="179" t="s">
        <v>4370</v>
      </c>
      <c r="N482" s="179" t="s">
        <v>969</v>
      </c>
      <c r="O482" s="141">
        <f t="shared" si="106"/>
        <v>0</v>
      </c>
      <c r="P482" s="181" t="b">
        <f>COUNTIF('Facility Data'!$A$1:$A$1500,"*"&amp;A482&amp;"*")&gt;0</f>
        <v>1</v>
      </c>
      <c r="Q482" s="181" t="b">
        <f>COUNTIF('Account Data'!$A$1:$A$1000,"*"&amp;A482&amp;"*")&gt;0</f>
        <v>1</v>
      </c>
      <c r="R482" s="182" t="b">
        <f t="shared" si="108"/>
        <v>1</v>
      </c>
      <c r="S482" s="182" t="b">
        <f t="shared" si="109"/>
        <v>1</v>
      </c>
      <c r="T482" s="181" t="b">
        <f>COUNTIF('New Items'!$A$1:$A$175,A482)&gt;0</f>
        <v>0</v>
      </c>
      <c r="U482" s="181" t="b">
        <f>COUNTIF(Discontinued!$A$1:$A$150,A482)&gt;0</f>
        <v>0</v>
      </c>
    </row>
    <row r="483" spans="1:21" s="8" customFormat="1" ht="11.25" x14ac:dyDescent="0.2">
      <c r="A483" s="152">
        <v>10001436</v>
      </c>
      <c r="B483" s="10" t="s">
        <v>4817</v>
      </c>
      <c r="C483" s="12" t="s">
        <v>256</v>
      </c>
      <c r="D483" s="11" t="s">
        <v>4762</v>
      </c>
      <c r="E483" s="12" t="s">
        <v>773</v>
      </c>
      <c r="F483" s="13">
        <v>8</v>
      </c>
      <c r="G483" s="22">
        <f>Overview!$B$27</f>
        <v>16</v>
      </c>
      <c r="H483" s="114">
        <f t="shared" si="107"/>
        <v>16</v>
      </c>
      <c r="I483" s="114">
        <f>Overview!$E$27</f>
        <v>0</v>
      </c>
      <c r="J483" s="115">
        <f t="shared" si="102"/>
        <v>0</v>
      </c>
      <c r="K483" s="116">
        <f>Overview!$H$27</f>
        <v>0</v>
      </c>
      <c r="L483" s="117" t="e">
        <f t="shared" si="103"/>
        <v>#DIV/0!</v>
      </c>
      <c r="M483" s="179" t="s">
        <v>4370</v>
      </c>
      <c r="N483" s="179" t="s">
        <v>969</v>
      </c>
      <c r="O483" s="141">
        <f t="shared" si="106"/>
        <v>0</v>
      </c>
      <c r="P483" s="181" t="b">
        <f>COUNTIF('Facility Data'!$A$1:$A$1500,"*"&amp;A483&amp;"*")&gt;0</f>
        <v>0</v>
      </c>
      <c r="Q483" s="181" t="b">
        <f>COUNTIF('Account Data'!$A$1:$A$1000,"*"&amp;A483&amp;"*")&gt;0</f>
        <v>1</v>
      </c>
      <c r="R483" s="182" t="b">
        <f t="shared" si="108"/>
        <v>0</v>
      </c>
      <c r="S483" s="182" t="b">
        <f t="shared" si="109"/>
        <v>1</v>
      </c>
      <c r="T483" s="181" t="b">
        <f>COUNTIF('New Items'!$A$1:$A$175,A483)&gt;0</f>
        <v>0</v>
      </c>
      <c r="U483" s="181" t="b">
        <f>COUNTIF(Discontinued!$A$1:$A$150,A483)&gt;0</f>
        <v>0</v>
      </c>
    </row>
    <row r="484" spans="1:21" s="8" customFormat="1" ht="11.25" x14ac:dyDescent="0.2">
      <c r="A484" s="152">
        <v>10000096</v>
      </c>
      <c r="B484" s="10" t="s">
        <v>257</v>
      </c>
      <c r="C484" s="12" t="s">
        <v>258</v>
      </c>
      <c r="D484" s="11" t="s">
        <v>637</v>
      </c>
      <c r="E484" s="12" t="s">
        <v>773</v>
      </c>
      <c r="F484" s="13">
        <v>8</v>
      </c>
      <c r="G484" s="22">
        <f>Overview!$B$27</f>
        <v>16</v>
      </c>
      <c r="H484" s="114">
        <f t="shared" si="107"/>
        <v>16</v>
      </c>
      <c r="I484" s="114">
        <f>Overview!$E$27</f>
        <v>0</v>
      </c>
      <c r="J484" s="115">
        <f t="shared" si="102"/>
        <v>0</v>
      </c>
      <c r="K484" s="116">
        <f>Overview!$H$27</f>
        <v>0</v>
      </c>
      <c r="L484" s="117" t="e">
        <f t="shared" si="103"/>
        <v>#DIV/0!</v>
      </c>
      <c r="M484" s="179" t="s">
        <v>4370</v>
      </c>
      <c r="N484" s="179" t="s">
        <v>969</v>
      </c>
      <c r="O484" s="141">
        <f>I484</f>
        <v>0</v>
      </c>
      <c r="P484" s="181" t="b">
        <f>COUNTIF('Facility Data'!$A$1:$A$1500,"*"&amp;A484&amp;"*")&gt;0</f>
        <v>0</v>
      </c>
      <c r="Q484" s="181" t="b">
        <f>COUNTIF('Account Data'!$A$1:$A$1000,"*"&amp;A484&amp;"*")&gt;0</f>
        <v>1</v>
      </c>
      <c r="R484" s="182" t="b">
        <f t="shared" si="108"/>
        <v>0</v>
      </c>
      <c r="S484" s="182" t="b">
        <f t="shared" si="109"/>
        <v>1</v>
      </c>
      <c r="T484" s="181" t="b">
        <f>COUNTIF('New Items'!$A$1:$A$175,A484)&gt;0</f>
        <v>0</v>
      </c>
      <c r="U484" s="181" t="b">
        <f>COUNTIF(Discontinued!$A$1:$A$150,A484)&gt;0</f>
        <v>0</v>
      </c>
    </row>
    <row r="485" spans="1:21" s="8" customFormat="1" ht="11.25" x14ac:dyDescent="0.2">
      <c r="A485" s="152">
        <v>10001493</v>
      </c>
      <c r="B485" s="10" t="s">
        <v>2693</v>
      </c>
      <c r="C485" s="12" t="s">
        <v>2694</v>
      </c>
      <c r="D485" s="11" t="s">
        <v>1698</v>
      </c>
      <c r="E485" s="12" t="s">
        <v>773</v>
      </c>
      <c r="F485" s="13">
        <v>8</v>
      </c>
      <c r="G485" s="22">
        <f>Overview!$B$27</f>
        <v>16</v>
      </c>
      <c r="H485" s="114">
        <f t="shared" si="107"/>
        <v>16</v>
      </c>
      <c r="I485" s="114">
        <f>Overview!$E$27</f>
        <v>0</v>
      </c>
      <c r="J485" s="115">
        <f t="shared" si="102"/>
        <v>0</v>
      </c>
      <c r="K485" s="116">
        <f>Overview!$H$27</f>
        <v>0</v>
      </c>
      <c r="L485" s="117" t="e">
        <f t="shared" si="103"/>
        <v>#DIV/0!</v>
      </c>
      <c r="M485" s="179" t="s">
        <v>4370</v>
      </c>
      <c r="N485" s="179" t="s">
        <v>969</v>
      </c>
      <c r="O485" s="141">
        <f t="shared" si="106"/>
        <v>0</v>
      </c>
      <c r="P485" s="181" t="b">
        <f>COUNTIF('Facility Data'!$A$1:$A$1500,"*"&amp;A485&amp;"*")&gt;0</f>
        <v>0</v>
      </c>
      <c r="Q485" s="181" t="b">
        <f>COUNTIF('Account Data'!$A$1:$A$1000,"*"&amp;A485&amp;"*")&gt;0</f>
        <v>0</v>
      </c>
      <c r="R485" s="182" t="b">
        <f t="shared" si="108"/>
        <v>0</v>
      </c>
      <c r="S485" s="182" t="b">
        <f t="shared" si="109"/>
        <v>0</v>
      </c>
      <c r="T485" s="181" t="b">
        <f>COUNTIF('New Items'!$A$1:$A$175,A485)&gt;0</f>
        <v>0</v>
      </c>
      <c r="U485" s="181" t="b">
        <f>COUNTIF(Discontinued!$A$1:$A$150,A485)&gt;0</f>
        <v>0</v>
      </c>
    </row>
    <row r="486" spans="1:21" s="8" customFormat="1" ht="11.25" x14ac:dyDescent="0.2">
      <c r="A486" s="152">
        <v>10001440</v>
      </c>
      <c r="B486" s="10" t="s">
        <v>259</v>
      </c>
      <c r="C486" s="12" t="s">
        <v>260</v>
      </c>
      <c r="D486" s="11" t="s">
        <v>655</v>
      </c>
      <c r="E486" s="12" t="s">
        <v>773</v>
      </c>
      <c r="F486" s="13">
        <v>8</v>
      </c>
      <c r="G486" s="22">
        <f>Overview!$B$27</f>
        <v>16</v>
      </c>
      <c r="H486" s="114">
        <f t="shared" si="107"/>
        <v>16</v>
      </c>
      <c r="I486" s="114">
        <f>Overview!$E$27</f>
        <v>0</v>
      </c>
      <c r="J486" s="115">
        <f t="shared" si="102"/>
        <v>0</v>
      </c>
      <c r="K486" s="116">
        <f>Overview!$H$27</f>
        <v>0</v>
      </c>
      <c r="L486" s="117" t="e">
        <f t="shared" si="103"/>
        <v>#DIV/0!</v>
      </c>
      <c r="M486" s="179"/>
      <c r="N486" s="179" t="s">
        <v>969</v>
      </c>
      <c r="O486" s="141">
        <f>I486</f>
        <v>0</v>
      </c>
      <c r="P486" s="181" t="b">
        <f>COUNTIF('Facility Data'!$A$1:$A$1500,"*"&amp;A486&amp;"*")&gt;0</f>
        <v>1</v>
      </c>
      <c r="Q486" s="181" t="b">
        <f>COUNTIF('Account Data'!$A$1:$A$1000,"*"&amp;A486&amp;"*")&gt;0</f>
        <v>0</v>
      </c>
      <c r="R486" s="182" t="b">
        <f t="shared" si="108"/>
        <v>1</v>
      </c>
      <c r="S486" s="182" t="b">
        <f t="shared" si="109"/>
        <v>0</v>
      </c>
      <c r="T486" s="181" t="b">
        <f>COUNTIF('New Items'!$A$1:$A$175,A486)&gt;0</f>
        <v>0</v>
      </c>
      <c r="U486" s="181" t="b">
        <f>COUNTIF(Discontinued!$A$1:$A$150,A486)&gt;0</f>
        <v>0</v>
      </c>
    </row>
    <row r="487" spans="1:21" s="8" customFormat="1" ht="11.25" customHeight="1" x14ac:dyDescent="0.2">
      <c r="A487" s="153">
        <v>10023918</v>
      </c>
      <c r="B487" s="10" t="s">
        <v>261</v>
      </c>
      <c r="C487" s="12" t="s">
        <v>262</v>
      </c>
      <c r="D487" s="11" t="s">
        <v>656</v>
      </c>
      <c r="E487" s="12" t="s">
        <v>773</v>
      </c>
      <c r="F487" s="13">
        <v>8</v>
      </c>
      <c r="G487" s="22">
        <f>Overview!$B$27</f>
        <v>16</v>
      </c>
      <c r="H487" s="114">
        <f t="shared" si="107"/>
        <v>16</v>
      </c>
      <c r="I487" s="114">
        <f>Overview!$E$27</f>
        <v>0</v>
      </c>
      <c r="J487" s="115">
        <f t="shared" si="102"/>
        <v>0</v>
      </c>
      <c r="K487" s="116">
        <f>Overview!$H$27</f>
        <v>0</v>
      </c>
      <c r="L487" s="117" t="e">
        <f t="shared" si="103"/>
        <v>#DIV/0!</v>
      </c>
      <c r="M487" s="179" t="s">
        <v>952</v>
      </c>
      <c r="N487" s="179" t="s">
        <v>3158</v>
      </c>
      <c r="O487" s="141">
        <f>I487</f>
        <v>0</v>
      </c>
      <c r="P487" s="181" t="b">
        <f>COUNTIF('Facility Data'!$A$1:$A$1500,"*"&amp;A487&amp;"*")&gt;0</f>
        <v>0</v>
      </c>
      <c r="Q487" s="181" t="b">
        <f>COUNTIF('Account Data'!$A$1:$A$1000,"*"&amp;A487&amp;"*")&gt;0</f>
        <v>0</v>
      </c>
      <c r="R487" s="182" t="b">
        <f t="shared" si="108"/>
        <v>0</v>
      </c>
      <c r="S487" s="182" t="b">
        <f t="shared" si="109"/>
        <v>0</v>
      </c>
      <c r="T487" s="181" t="b">
        <f>COUNTIF('New Items'!$A$1:$A$175,A487)&gt;0</f>
        <v>0</v>
      </c>
      <c r="U487" s="181" t="b">
        <f>COUNTIF(Discontinued!$A$1:$A$150,A487)&gt;0</f>
        <v>0</v>
      </c>
    </row>
    <row r="488" spans="1:21" s="8" customFormat="1" ht="11.25" x14ac:dyDescent="0.2">
      <c r="A488" s="152">
        <v>10011973</v>
      </c>
      <c r="B488" s="10" t="s">
        <v>1577</v>
      </c>
      <c r="C488" s="12" t="s">
        <v>1578</v>
      </c>
      <c r="D488" s="11" t="s">
        <v>1572</v>
      </c>
      <c r="E488" s="12" t="s">
        <v>773</v>
      </c>
      <c r="F488" s="13">
        <v>8</v>
      </c>
      <c r="G488" s="22">
        <f>Overview!$B$27</f>
        <v>16</v>
      </c>
      <c r="H488" s="114">
        <f t="shared" si="107"/>
        <v>16</v>
      </c>
      <c r="I488" s="114">
        <f>Overview!$E$27</f>
        <v>0</v>
      </c>
      <c r="J488" s="115">
        <f t="shared" si="102"/>
        <v>0</v>
      </c>
      <c r="K488" s="116">
        <f>Overview!$H$27</f>
        <v>0</v>
      </c>
      <c r="L488" s="117" t="e">
        <f t="shared" si="103"/>
        <v>#DIV/0!</v>
      </c>
      <c r="M488" s="179" t="s">
        <v>2421</v>
      </c>
      <c r="N488" s="179" t="s">
        <v>969</v>
      </c>
      <c r="O488" s="141">
        <f t="shared" si="106"/>
        <v>0</v>
      </c>
      <c r="P488" s="181" t="b">
        <f>COUNTIF('Facility Data'!$A$1:$A$1500,"*"&amp;A488&amp;"*")&gt;0</f>
        <v>0</v>
      </c>
      <c r="Q488" s="181" t="b">
        <f>COUNTIF('Account Data'!$A$1:$A$1000,"*"&amp;A488&amp;"*")&gt;0</f>
        <v>0</v>
      </c>
      <c r="R488" s="182" t="b">
        <f t="shared" si="108"/>
        <v>0</v>
      </c>
      <c r="S488" s="182" t="b">
        <f t="shared" si="109"/>
        <v>0</v>
      </c>
      <c r="T488" s="181" t="b">
        <f>COUNTIF('New Items'!$A$1:$A$175,A488)&gt;0</f>
        <v>0</v>
      </c>
      <c r="U488" s="181" t="b">
        <f>COUNTIF(Discontinued!$A$1:$A$150,A488)&gt;0</f>
        <v>0</v>
      </c>
    </row>
    <row r="489" spans="1:21" s="8" customFormat="1" ht="11.25" x14ac:dyDescent="0.2">
      <c r="A489" s="152">
        <v>10027338</v>
      </c>
      <c r="B489" s="10" t="s">
        <v>2752</v>
      </c>
      <c r="C489" s="12" t="s">
        <v>2753</v>
      </c>
      <c r="D489" s="11" t="s">
        <v>2765</v>
      </c>
      <c r="E489" s="12" t="s">
        <v>773</v>
      </c>
      <c r="F489" s="13">
        <v>8</v>
      </c>
      <c r="G489" s="22">
        <f>Overview!$B$27</f>
        <v>16</v>
      </c>
      <c r="H489" s="114">
        <f>G489-I489</f>
        <v>16</v>
      </c>
      <c r="I489" s="114">
        <f>Overview!$E$27</f>
        <v>0</v>
      </c>
      <c r="J489" s="115">
        <f>I489/F489</f>
        <v>0</v>
      </c>
      <c r="K489" s="116">
        <f>Overview!$H$27</f>
        <v>0</v>
      </c>
      <c r="L489" s="117" t="e">
        <f>(K489-J489)/K489</f>
        <v>#DIV/0!</v>
      </c>
      <c r="M489" s="179" t="s">
        <v>3501</v>
      </c>
      <c r="N489" s="179" t="s">
        <v>969</v>
      </c>
      <c r="O489" s="141">
        <f>I489</f>
        <v>0</v>
      </c>
      <c r="P489" s="181" t="b">
        <f>COUNTIF('Facility Data'!$A$1:$A$1500,"*"&amp;A489&amp;"*")&gt;0</f>
        <v>0</v>
      </c>
      <c r="Q489" s="181" t="b">
        <f>COUNTIF('Account Data'!$A$1:$A$1000,"*"&amp;A489&amp;"*")&gt;0</f>
        <v>0</v>
      </c>
      <c r="R489" s="182" t="b">
        <f t="shared" si="108"/>
        <v>0</v>
      </c>
      <c r="S489" s="182" t="b">
        <f>IF(OR(Q489=TRUE,T489=TRUE),TRUE,FALSE)</f>
        <v>0</v>
      </c>
      <c r="T489" s="181" t="b">
        <f>COUNTIF('New Items'!$A$1:$A$175,A489)&gt;0</f>
        <v>0</v>
      </c>
      <c r="U489" s="181" t="b">
        <f>COUNTIF(Discontinued!$A$1:$A$150,A489)&gt;0</f>
        <v>0</v>
      </c>
    </row>
    <row r="490" spans="1:21" s="8" customFormat="1" ht="11.25" x14ac:dyDescent="0.2">
      <c r="A490" s="152">
        <v>10027339</v>
      </c>
      <c r="B490" s="10" t="s">
        <v>2754</v>
      </c>
      <c r="C490" s="12" t="s">
        <v>2755</v>
      </c>
      <c r="D490" s="11" t="s">
        <v>2766</v>
      </c>
      <c r="E490" s="12" t="s">
        <v>773</v>
      </c>
      <c r="F490" s="13">
        <v>8</v>
      </c>
      <c r="G490" s="22">
        <f>Overview!$B$27</f>
        <v>16</v>
      </c>
      <c r="H490" s="114">
        <f>G490-I490</f>
        <v>16</v>
      </c>
      <c r="I490" s="114">
        <f>Overview!$E$27</f>
        <v>0</v>
      </c>
      <c r="J490" s="115">
        <f>I490/F490</f>
        <v>0</v>
      </c>
      <c r="K490" s="116">
        <f>Overview!$H$27</f>
        <v>0</v>
      </c>
      <c r="L490" s="117" t="e">
        <f>(K490-J490)/K490</f>
        <v>#DIV/0!</v>
      </c>
      <c r="M490" s="179" t="s">
        <v>3501</v>
      </c>
      <c r="N490" s="179" t="s">
        <v>969</v>
      </c>
      <c r="O490" s="141">
        <f>I490</f>
        <v>0</v>
      </c>
      <c r="P490" s="181" t="b">
        <f>COUNTIF('Facility Data'!$A$1:$A$1500,"*"&amp;A490&amp;"*")&gt;0</f>
        <v>0</v>
      </c>
      <c r="Q490" s="181" t="b">
        <f>COUNTIF('Account Data'!$A$1:$A$1000,"*"&amp;A490&amp;"*")&gt;0</f>
        <v>0</v>
      </c>
      <c r="R490" s="182" t="b">
        <f t="shared" si="108"/>
        <v>0</v>
      </c>
      <c r="S490" s="182" t="b">
        <f>IF(OR(Q490=TRUE,T490=TRUE),TRUE,FALSE)</f>
        <v>0</v>
      </c>
      <c r="T490" s="181" t="b">
        <f>COUNTIF('New Items'!$A$1:$A$175,A490)&gt;0</f>
        <v>0</v>
      </c>
      <c r="U490" s="181" t="b">
        <f>COUNTIF(Discontinued!$A$1:$A$150,A490)&gt;0</f>
        <v>0</v>
      </c>
    </row>
    <row r="491" spans="1:21" s="8" customFormat="1" ht="11.25" x14ac:dyDescent="0.2">
      <c r="A491" s="152">
        <v>10081251</v>
      </c>
      <c r="B491" s="10" t="s">
        <v>2756</v>
      </c>
      <c r="C491" s="12" t="s">
        <v>2757</v>
      </c>
      <c r="D491" s="11" t="s">
        <v>1709</v>
      </c>
      <c r="E491" s="12" t="s">
        <v>773</v>
      </c>
      <c r="F491" s="13">
        <v>8</v>
      </c>
      <c r="G491" s="22">
        <f>Overview!$B$27</f>
        <v>16</v>
      </c>
      <c r="H491" s="114">
        <f>G491-I491</f>
        <v>16</v>
      </c>
      <c r="I491" s="114">
        <f>Overview!$E$27</f>
        <v>0</v>
      </c>
      <c r="J491" s="115">
        <f>I491/F491</f>
        <v>0</v>
      </c>
      <c r="K491" s="116">
        <f>Overview!$H$27</f>
        <v>0</v>
      </c>
      <c r="L491" s="117" t="e">
        <f>(K491-J491)/K491</f>
        <v>#DIV/0!</v>
      </c>
      <c r="M491" s="179" t="s">
        <v>2423</v>
      </c>
      <c r="N491" s="179" t="s">
        <v>969</v>
      </c>
      <c r="O491" s="141">
        <f>I491</f>
        <v>0</v>
      </c>
      <c r="P491" s="181" t="b">
        <f>COUNTIF('Facility Data'!$A$1:$A$1500,"*"&amp;A491&amp;"*")&gt;0</f>
        <v>0</v>
      </c>
      <c r="Q491" s="181" t="b">
        <f>COUNTIF('Account Data'!$A$1:$A$1000,"*"&amp;A491&amp;"*")&gt;0</f>
        <v>0</v>
      </c>
      <c r="R491" s="182" t="b">
        <f t="shared" si="108"/>
        <v>0</v>
      </c>
      <c r="S491" s="182" t="b">
        <f>IF(OR(Q491=TRUE,T491=TRUE),TRUE,FALSE)</f>
        <v>0</v>
      </c>
      <c r="T491" s="181" t="b">
        <f>COUNTIF('New Items'!$A$1:$A$175,A491)&gt;0</f>
        <v>0</v>
      </c>
      <c r="U491" s="181" t="b">
        <f>COUNTIF(Discontinued!$A$1:$A$150,A491)&gt;0</f>
        <v>0</v>
      </c>
    </row>
    <row r="492" spans="1:21" s="8" customFormat="1" ht="11.25" x14ac:dyDescent="0.2">
      <c r="A492" s="152">
        <v>10081250</v>
      </c>
      <c r="B492" s="10" t="s">
        <v>2758</v>
      </c>
      <c r="C492" s="12" t="s">
        <v>2759</v>
      </c>
      <c r="D492" s="11" t="s">
        <v>1710</v>
      </c>
      <c r="E492" s="12" t="s">
        <v>773</v>
      </c>
      <c r="F492" s="13">
        <v>8</v>
      </c>
      <c r="G492" s="22">
        <f>Overview!$B$27</f>
        <v>16</v>
      </c>
      <c r="H492" s="114">
        <f>G492-I492</f>
        <v>16</v>
      </c>
      <c r="I492" s="114">
        <f>Overview!$E$27</f>
        <v>0</v>
      </c>
      <c r="J492" s="115">
        <f>I492/F492</f>
        <v>0</v>
      </c>
      <c r="K492" s="116">
        <f>Overview!$H$27</f>
        <v>0</v>
      </c>
      <c r="L492" s="117" t="e">
        <f>(K492-J492)/K492</f>
        <v>#DIV/0!</v>
      </c>
      <c r="M492" s="179" t="s">
        <v>2423</v>
      </c>
      <c r="N492" s="179" t="s">
        <v>969</v>
      </c>
      <c r="O492" s="141">
        <f>I492</f>
        <v>0</v>
      </c>
      <c r="P492" s="181" t="b">
        <f>COUNTIF('Facility Data'!$A$1:$A$1500,"*"&amp;A492&amp;"*")&gt;0</f>
        <v>0</v>
      </c>
      <c r="Q492" s="181" t="b">
        <f>COUNTIF('Account Data'!$A$1:$A$1000,"*"&amp;A492&amp;"*")&gt;0</f>
        <v>0</v>
      </c>
      <c r="R492" s="182" t="b">
        <f t="shared" si="108"/>
        <v>0</v>
      </c>
      <c r="S492" s="182" t="b">
        <f>IF(OR(Q492=TRUE,T492=TRUE),TRUE,FALSE)</f>
        <v>0</v>
      </c>
      <c r="T492" s="181" t="b">
        <f>COUNTIF('New Items'!$A$1:$A$175,A492)&gt;0</f>
        <v>0</v>
      </c>
      <c r="U492" s="181" t="b">
        <f>COUNTIF(Discontinued!$A$1:$A$150,A492)&gt;0</f>
        <v>0</v>
      </c>
    </row>
    <row r="493" spans="1:21" s="8" customFormat="1" ht="11.25" x14ac:dyDescent="0.2">
      <c r="A493" s="152">
        <v>10001580</v>
      </c>
      <c r="B493" s="10" t="s">
        <v>2456</v>
      </c>
      <c r="C493" s="12" t="s">
        <v>2457</v>
      </c>
      <c r="D493" s="11" t="s">
        <v>1650</v>
      </c>
      <c r="E493" s="12" t="s">
        <v>773</v>
      </c>
      <c r="F493" s="13">
        <v>8</v>
      </c>
      <c r="G493" s="22">
        <f>Overview!$B$27</f>
        <v>16</v>
      </c>
      <c r="H493" s="114">
        <f t="shared" si="107"/>
        <v>16</v>
      </c>
      <c r="I493" s="114">
        <f>Overview!$E$27</f>
        <v>0</v>
      </c>
      <c r="J493" s="115">
        <f t="shared" si="102"/>
        <v>0</v>
      </c>
      <c r="K493" s="116">
        <f>Overview!$H$27</f>
        <v>0</v>
      </c>
      <c r="L493" s="117" t="e">
        <f t="shared" si="103"/>
        <v>#DIV/0!</v>
      </c>
      <c r="M493" s="179" t="s">
        <v>2422</v>
      </c>
      <c r="N493" s="179" t="s">
        <v>969</v>
      </c>
      <c r="O493" s="141">
        <f t="shared" ref="O493:O498" si="110">I493</f>
        <v>0</v>
      </c>
      <c r="P493" s="181" t="b">
        <f>COUNTIF('Facility Data'!$A$1:$A$1500,"*"&amp;A493&amp;"*")&gt;0</f>
        <v>0</v>
      </c>
      <c r="Q493" s="181" t="b">
        <f>COUNTIF('Account Data'!$A$1:$A$1000,"*"&amp;A493&amp;"*")&gt;0</f>
        <v>0</v>
      </c>
      <c r="R493" s="182" t="b">
        <f t="shared" si="108"/>
        <v>0</v>
      </c>
      <c r="S493" s="182" t="b">
        <f t="shared" si="109"/>
        <v>0</v>
      </c>
      <c r="T493" s="181" t="b">
        <f>COUNTIF('New Items'!$A$1:$A$175,A493)&gt;0</f>
        <v>0</v>
      </c>
      <c r="U493" s="181" t="b">
        <f>COUNTIF(Discontinued!$A$1:$A$150,A493)&gt;0</f>
        <v>0</v>
      </c>
    </row>
    <row r="494" spans="1:21" s="8" customFormat="1" ht="11.25" x14ac:dyDescent="0.2">
      <c r="A494" s="152">
        <v>10001577</v>
      </c>
      <c r="B494" s="10" t="s">
        <v>2458</v>
      </c>
      <c r="C494" s="12" t="s">
        <v>2459</v>
      </c>
      <c r="D494" s="11" t="s">
        <v>3269</v>
      </c>
      <c r="E494" s="12" t="s">
        <v>773</v>
      </c>
      <c r="F494" s="13">
        <v>8</v>
      </c>
      <c r="G494" s="22">
        <f>Overview!$B$27</f>
        <v>16</v>
      </c>
      <c r="H494" s="114">
        <f t="shared" si="107"/>
        <v>16</v>
      </c>
      <c r="I494" s="114">
        <f>Overview!$E$27</f>
        <v>0</v>
      </c>
      <c r="J494" s="115">
        <f t="shared" si="102"/>
        <v>0</v>
      </c>
      <c r="K494" s="116">
        <f>Overview!$H$27</f>
        <v>0</v>
      </c>
      <c r="L494" s="117" t="e">
        <f t="shared" si="103"/>
        <v>#DIV/0!</v>
      </c>
      <c r="M494" s="179" t="s">
        <v>2422</v>
      </c>
      <c r="N494" s="179" t="s">
        <v>969</v>
      </c>
      <c r="O494" s="141">
        <f t="shared" si="110"/>
        <v>0</v>
      </c>
      <c r="P494" s="181" t="b">
        <f>COUNTIF('Facility Data'!$A$1:$A$1500,"*"&amp;A494&amp;"*")&gt;0</f>
        <v>0</v>
      </c>
      <c r="Q494" s="181" t="b">
        <f>COUNTIF('Account Data'!$A$1:$A$1000,"*"&amp;A494&amp;"*")&gt;0</f>
        <v>0</v>
      </c>
      <c r="R494" s="182" t="b">
        <f t="shared" si="108"/>
        <v>0</v>
      </c>
      <c r="S494" s="182" t="b">
        <f t="shared" si="109"/>
        <v>0</v>
      </c>
      <c r="T494" s="181" t="b">
        <f>COUNTIF('New Items'!$A$1:$A$175,A494)&gt;0</f>
        <v>0</v>
      </c>
      <c r="U494" s="181" t="b">
        <f>COUNTIF(Discontinued!$A$1:$A$150,A494)&gt;0</f>
        <v>0</v>
      </c>
    </row>
    <row r="495" spans="1:21" s="8" customFormat="1" ht="11.25" x14ac:dyDescent="0.2">
      <c r="A495" s="152">
        <v>10001585</v>
      </c>
      <c r="B495" s="10" t="s">
        <v>2462</v>
      </c>
      <c r="C495" s="12" t="s">
        <v>2463</v>
      </c>
      <c r="D495" s="11" t="s">
        <v>1655</v>
      </c>
      <c r="E495" s="12" t="s">
        <v>773</v>
      </c>
      <c r="F495" s="13">
        <v>8</v>
      </c>
      <c r="G495" s="22">
        <f>Overview!$B$27</f>
        <v>16</v>
      </c>
      <c r="H495" s="114">
        <f>G495-I495</f>
        <v>16</v>
      </c>
      <c r="I495" s="114">
        <f>Overview!$E$27</f>
        <v>0</v>
      </c>
      <c r="J495" s="115">
        <f>I495/F495</f>
        <v>0</v>
      </c>
      <c r="K495" s="116">
        <f>Overview!$H$27</f>
        <v>0</v>
      </c>
      <c r="L495" s="117" t="e">
        <f>(K495-J495)/K495</f>
        <v>#DIV/0!</v>
      </c>
      <c r="M495" s="179" t="s">
        <v>2422</v>
      </c>
      <c r="N495" s="179" t="s">
        <v>969</v>
      </c>
      <c r="O495" s="141">
        <f>I495</f>
        <v>0</v>
      </c>
      <c r="P495" s="181" t="b">
        <f>COUNTIF('Facility Data'!$A$1:$A$1500,"*"&amp;A495&amp;"*")&gt;0</f>
        <v>0</v>
      </c>
      <c r="Q495" s="181" t="b">
        <f>COUNTIF('Account Data'!$A$1:$A$1000,"*"&amp;A495&amp;"*")&gt;0</f>
        <v>0</v>
      </c>
      <c r="R495" s="182" t="b">
        <f t="shared" si="108"/>
        <v>0</v>
      </c>
      <c r="S495" s="182" t="b">
        <f>IF(OR(Q495=TRUE,T495=TRUE),TRUE,FALSE)</f>
        <v>0</v>
      </c>
      <c r="T495" s="181" t="b">
        <f>COUNTIF('New Items'!$A$1:$A$175,A495)&gt;0</f>
        <v>0</v>
      </c>
      <c r="U495" s="181" t="b">
        <f>COUNTIF(Discontinued!$A$1:$A$150,A495)&gt;0</f>
        <v>0</v>
      </c>
    </row>
    <row r="496" spans="1:21" s="8" customFormat="1" ht="11.25" x14ac:dyDescent="0.2">
      <c r="A496" s="152">
        <v>10001586</v>
      </c>
      <c r="B496" s="10" t="s">
        <v>2460</v>
      </c>
      <c r="C496" s="12" t="s">
        <v>2461</v>
      </c>
      <c r="D496" s="11" t="s">
        <v>2468</v>
      </c>
      <c r="E496" s="12" t="s">
        <v>773</v>
      </c>
      <c r="F496" s="13">
        <v>8</v>
      </c>
      <c r="G496" s="22">
        <f>Overview!$B$27</f>
        <v>16</v>
      </c>
      <c r="H496" s="114">
        <f t="shared" si="107"/>
        <v>16</v>
      </c>
      <c r="I496" s="114">
        <f>Overview!$E$27</f>
        <v>0</v>
      </c>
      <c r="J496" s="115">
        <f t="shared" si="102"/>
        <v>0</v>
      </c>
      <c r="K496" s="116">
        <f>Overview!$H$27</f>
        <v>0</v>
      </c>
      <c r="L496" s="117" t="e">
        <f t="shared" si="103"/>
        <v>#DIV/0!</v>
      </c>
      <c r="M496" s="179" t="s">
        <v>2422</v>
      </c>
      <c r="N496" s="179" t="s">
        <v>969</v>
      </c>
      <c r="O496" s="141">
        <f>I496</f>
        <v>0</v>
      </c>
      <c r="P496" s="181" t="b">
        <f>COUNTIF('Facility Data'!$A$1:$A$1500,"*"&amp;A496&amp;"*")&gt;0</f>
        <v>0</v>
      </c>
      <c r="Q496" s="181" t="b">
        <f>COUNTIF('Account Data'!$A$1:$A$1000,"*"&amp;A496&amp;"*")&gt;0</f>
        <v>0</v>
      </c>
      <c r="R496" s="182" t="b">
        <f t="shared" si="108"/>
        <v>0</v>
      </c>
      <c r="S496" s="182" t="b">
        <f t="shared" si="109"/>
        <v>0</v>
      </c>
      <c r="T496" s="181" t="b">
        <f>COUNTIF('New Items'!$A$1:$A$175,A496)&gt;0</f>
        <v>0</v>
      </c>
      <c r="U496" s="181" t="b">
        <f>COUNTIF(Discontinued!$A$1:$A$150,A496)&gt;0</f>
        <v>0</v>
      </c>
    </row>
    <row r="497" spans="1:21" s="8" customFormat="1" ht="11.25" x14ac:dyDescent="0.2">
      <c r="A497" s="152">
        <v>10001587</v>
      </c>
      <c r="B497" s="10" t="s">
        <v>2464</v>
      </c>
      <c r="C497" s="12" t="s">
        <v>2465</v>
      </c>
      <c r="D497" s="11" t="s">
        <v>2469</v>
      </c>
      <c r="E497" s="12" t="s">
        <v>773</v>
      </c>
      <c r="F497" s="13">
        <v>8</v>
      </c>
      <c r="G497" s="22">
        <f>Overview!$B$27</f>
        <v>16</v>
      </c>
      <c r="H497" s="114">
        <f t="shared" si="107"/>
        <v>16</v>
      </c>
      <c r="I497" s="114">
        <f>Overview!$E$27</f>
        <v>0</v>
      </c>
      <c r="J497" s="115">
        <f t="shared" si="102"/>
        <v>0</v>
      </c>
      <c r="K497" s="116">
        <f>Overview!$H$27</f>
        <v>0</v>
      </c>
      <c r="L497" s="117" t="e">
        <f t="shared" si="103"/>
        <v>#DIV/0!</v>
      </c>
      <c r="M497" s="179" t="s">
        <v>2422</v>
      </c>
      <c r="N497" s="179" t="s">
        <v>969</v>
      </c>
      <c r="O497" s="141">
        <f>I497</f>
        <v>0</v>
      </c>
      <c r="P497" s="181" t="b">
        <f>COUNTIF('Facility Data'!$A$1:$A$1500,"*"&amp;A497&amp;"*")&gt;0</f>
        <v>0</v>
      </c>
      <c r="Q497" s="181" t="b">
        <f>COUNTIF('Account Data'!$A$1:$A$1000,"*"&amp;A497&amp;"*")&gt;0</f>
        <v>0</v>
      </c>
      <c r="R497" s="182" t="b">
        <f t="shared" si="108"/>
        <v>0</v>
      </c>
      <c r="S497" s="182" t="b">
        <f t="shared" si="109"/>
        <v>0</v>
      </c>
      <c r="T497" s="181" t="b">
        <f>COUNTIF('New Items'!$A$1:$A$175,A497)&gt;0</f>
        <v>0</v>
      </c>
      <c r="U497" s="181" t="b">
        <f>COUNTIF(Discontinued!$A$1:$A$150,A497)&gt;0</f>
        <v>0</v>
      </c>
    </row>
    <row r="498" spans="1:21" s="8" customFormat="1" ht="11.25" x14ac:dyDescent="0.2">
      <c r="A498" s="152">
        <v>10001576</v>
      </c>
      <c r="B498" s="10" t="s">
        <v>2466</v>
      </c>
      <c r="C498" s="12" t="s">
        <v>2467</v>
      </c>
      <c r="D498" s="11" t="s">
        <v>1652</v>
      </c>
      <c r="E498" s="12" t="s">
        <v>773</v>
      </c>
      <c r="F498" s="13">
        <v>8</v>
      </c>
      <c r="G498" s="22">
        <f>Overview!$B$27</f>
        <v>16</v>
      </c>
      <c r="H498" s="114">
        <f t="shared" si="107"/>
        <v>16</v>
      </c>
      <c r="I498" s="114">
        <f>Overview!$E$27</f>
        <v>0</v>
      </c>
      <c r="J498" s="115">
        <f t="shared" si="102"/>
        <v>0</v>
      </c>
      <c r="K498" s="116">
        <f>Overview!$H$27</f>
        <v>0</v>
      </c>
      <c r="L498" s="117" t="e">
        <f t="shared" si="103"/>
        <v>#DIV/0!</v>
      </c>
      <c r="M498" s="179" t="s">
        <v>2422</v>
      </c>
      <c r="N498" s="179" t="s">
        <v>969</v>
      </c>
      <c r="O498" s="141">
        <f t="shared" si="110"/>
        <v>0</v>
      </c>
      <c r="P498" s="181" t="b">
        <f>COUNTIF('Facility Data'!$A$1:$A$1500,"*"&amp;A498&amp;"*")&gt;0</f>
        <v>0</v>
      </c>
      <c r="Q498" s="181" t="b">
        <f>COUNTIF('Account Data'!$A$1:$A$1000,"*"&amp;A498&amp;"*")&gt;0</f>
        <v>0</v>
      </c>
      <c r="R498" s="182" t="b">
        <f t="shared" ref="R498:R507" si="111">IF(OR(P498=TRUE,T498=TRUE),TRUE,FALSE)</f>
        <v>0</v>
      </c>
      <c r="S498" s="182" t="b">
        <f t="shared" si="109"/>
        <v>0</v>
      </c>
      <c r="T498" s="181" t="b">
        <f>COUNTIF('New Items'!$A$1:$A$175,A498)&gt;0</f>
        <v>0</v>
      </c>
      <c r="U498" s="181" t="b">
        <f>COUNTIF(Discontinued!$A$1:$A$150,A498)&gt;0</f>
        <v>0</v>
      </c>
    </row>
    <row r="499" spans="1:21" s="8" customFormat="1" ht="11.25" x14ac:dyDescent="0.2">
      <c r="A499" s="152">
        <v>10081258</v>
      </c>
      <c r="B499" s="10" t="s">
        <v>2750</v>
      </c>
      <c r="C499" s="12" t="s">
        <v>2751</v>
      </c>
      <c r="D499" s="11" t="s">
        <v>2764</v>
      </c>
      <c r="E499" s="12" t="s">
        <v>773</v>
      </c>
      <c r="F499" s="13">
        <v>8</v>
      </c>
      <c r="G499" s="22">
        <f>Overview!$B$27</f>
        <v>16</v>
      </c>
      <c r="H499" s="114">
        <f t="shared" si="107"/>
        <v>16</v>
      </c>
      <c r="I499" s="114">
        <f>Overview!$E$27</f>
        <v>0</v>
      </c>
      <c r="J499" s="115">
        <f t="shared" si="102"/>
        <v>0</v>
      </c>
      <c r="K499" s="116">
        <f>Overview!$H$27</f>
        <v>0</v>
      </c>
      <c r="L499" s="117" t="e">
        <f t="shared" si="103"/>
        <v>#DIV/0!</v>
      </c>
      <c r="M499" s="179" t="s">
        <v>3499</v>
      </c>
      <c r="N499" s="179" t="s">
        <v>969</v>
      </c>
      <c r="O499" s="141">
        <f>I499</f>
        <v>0</v>
      </c>
      <c r="P499" s="181" t="b">
        <f>COUNTIF('Facility Data'!$A$1:$A$1500,"*"&amp;A499&amp;"*")&gt;0</f>
        <v>0</v>
      </c>
      <c r="Q499" s="181" t="b">
        <f>COUNTIF('Account Data'!$A$1:$A$1000,"*"&amp;A499&amp;"*")&gt;0</f>
        <v>0</v>
      </c>
      <c r="R499" s="182" t="b">
        <f t="shared" si="111"/>
        <v>0</v>
      </c>
      <c r="S499" s="182" t="b">
        <f t="shared" si="109"/>
        <v>0</v>
      </c>
      <c r="T499" s="181" t="b">
        <f>COUNTIF('New Items'!$A$1:$A$175,A499)&gt;0</f>
        <v>0</v>
      </c>
      <c r="U499" s="181" t="b">
        <f>COUNTIF(Discontinued!$A$1:$A$150,A499)&gt;0</f>
        <v>0</v>
      </c>
    </row>
    <row r="500" spans="1:21" s="8" customFormat="1" ht="11.25" x14ac:dyDescent="0.2">
      <c r="A500" s="152">
        <v>10001453</v>
      </c>
      <c r="B500" s="10" t="s">
        <v>265</v>
      </c>
      <c r="C500" s="12" t="s">
        <v>266</v>
      </c>
      <c r="D500" s="11" t="s">
        <v>640</v>
      </c>
      <c r="E500" s="12" t="s">
        <v>773</v>
      </c>
      <c r="F500" s="13">
        <v>8</v>
      </c>
      <c r="G500" s="22">
        <f>Overview!$B$27</f>
        <v>16</v>
      </c>
      <c r="H500" s="114">
        <f t="shared" si="107"/>
        <v>16</v>
      </c>
      <c r="I500" s="114">
        <f>Overview!$E$27</f>
        <v>0</v>
      </c>
      <c r="J500" s="115">
        <f t="shared" ref="J500:J507" si="112">I500/F500</f>
        <v>0</v>
      </c>
      <c r="K500" s="116">
        <f>Overview!$H$27</f>
        <v>0</v>
      </c>
      <c r="L500" s="117" t="e">
        <f t="shared" ref="L500:L507" si="113">(K500-J500)/K500</f>
        <v>#DIV/0!</v>
      </c>
      <c r="M500" s="179"/>
      <c r="N500" s="179" t="s">
        <v>3158</v>
      </c>
      <c r="O500" s="141">
        <f t="shared" si="106"/>
        <v>0</v>
      </c>
      <c r="P500" s="181" t="b">
        <f>COUNTIF('Facility Data'!$A$1:$A$1500,"*"&amp;A500&amp;"*")&gt;0</f>
        <v>1</v>
      </c>
      <c r="Q500" s="181" t="b">
        <f>COUNTIF('Account Data'!$A$1:$A$1000,"*"&amp;A500&amp;"*")&gt;0</f>
        <v>1</v>
      </c>
      <c r="R500" s="182" t="b">
        <f t="shared" si="111"/>
        <v>1</v>
      </c>
      <c r="S500" s="182" t="b">
        <f t="shared" si="109"/>
        <v>1</v>
      </c>
      <c r="T500" s="181" t="b">
        <f>COUNTIF('New Items'!$A$1:$A$175,A500)&gt;0</f>
        <v>0</v>
      </c>
      <c r="U500" s="181" t="b">
        <f>COUNTIF(Discontinued!$A$1:$A$150,A500)&gt;0</f>
        <v>0</v>
      </c>
    </row>
    <row r="501" spans="1:21" s="8" customFormat="1" ht="11.25" x14ac:dyDescent="0.2">
      <c r="A501" s="152">
        <v>10001470</v>
      </c>
      <c r="B501" s="10" t="s">
        <v>267</v>
      </c>
      <c r="C501" s="12" t="s">
        <v>268</v>
      </c>
      <c r="D501" s="11" t="s">
        <v>662</v>
      </c>
      <c r="E501" s="12" t="s">
        <v>773</v>
      </c>
      <c r="F501" s="13">
        <v>8</v>
      </c>
      <c r="G501" s="22">
        <f>Overview!$B$27</f>
        <v>16</v>
      </c>
      <c r="H501" s="114">
        <f t="shared" si="107"/>
        <v>16</v>
      </c>
      <c r="I501" s="114">
        <f>Overview!$E$27</f>
        <v>0</v>
      </c>
      <c r="J501" s="115">
        <f t="shared" si="112"/>
        <v>0</v>
      </c>
      <c r="K501" s="116">
        <f>Overview!$H$27</f>
        <v>0</v>
      </c>
      <c r="L501" s="117" t="e">
        <f t="shared" si="113"/>
        <v>#DIV/0!</v>
      </c>
      <c r="M501" s="179"/>
      <c r="N501" s="179" t="s">
        <v>3158</v>
      </c>
      <c r="O501" s="141">
        <f t="shared" si="106"/>
        <v>0</v>
      </c>
      <c r="P501" s="181" t="b">
        <f>COUNTIF('Facility Data'!$A$1:$A$1500,"*"&amp;A501&amp;"*")&gt;0</f>
        <v>1</v>
      </c>
      <c r="Q501" s="181" t="b">
        <f>COUNTIF('Account Data'!$A$1:$A$1000,"*"&amp;A501&amp;"*")&gt;0</f>
        <v>0</v>
      </c>
      <c r="R501" s="182" t="b">
        <f t="shared" si="111"/>
        <v>1</v>
      </c>
      <c r="S501" s="182" t="b">
        <f t="shared" si="109"/>
        <v>0</v>
      </c>
      <c r="T501" s="181" t="b">
        <f>COUNTIF('New Items'!$A$1:$A$175,A501)&gt;0</f>
        <v>0</v>
      </c>
      <c r="U501" s="181" t="b">
        <f>COUNTIF(Discontinued!$A$1:$A$150,A501)&gt;0</f>
        <v>0</v>
      </c>
    </row>
    <row r="502" spans="1:21" s="8" customFormat="1" ht="11.25" x14ac:dyDescent="0.2">
      <c r="A502" s="152">
        <v>10002245</v>
      </c>
      <c r="B502" s="10" t="s">
        <v>1310</v>
      </c>
      <c r="C502" s="12" t="s">
        <v>1311</v>
      </c>
      <c r="D502" s="11" t="s">
        <v>1299</v>
      </c>
      <c r="E502" s="12" t="s">
        <v>773</v>
      </c>
      <c r="F502" s="13">
        <v>8</v>
      </c>
      <c r="G502" s="22">
        <f>Overview!$B$27</f>
        <v>16</v>
      </c>
      <c r="H502" s="114">
        <f t="shared" si="107"/>
        <v>16</v>
      </c>
      <c r="I502" s="114">
        <f>Overview!$E$27</f>
        <v>0</v>
      </c>
      <c r="J502" s="115">
        <f t="shared" si="112"/>
        <v>0</v>
      </c>
      <c r="K502" s="116">
        <f>Overview!$H$27</f>
        <v>0</v>
      </c>
      <c r="L502" s="117" t="e">
        <f t="shared" si="113"/>
        <v>#DIV/0!</v>
      </c>
      <c r="M502" s="179"/>
      <c r="N502" s="179" t="s">
        <v>3158</v>
      </c>
      <c r="O502" s="141">
        <f t="shared" si="106"/>
        <v>0</v>
      </c>
      <c r="P502" s="181" t="b">
        <f>COUNTIF('Facility Data'!$A$1:$A$1500,"*"&amp;A502&amp;"*")&gt;0</f>
        <v>1</v>
      </c>
      <c r="Q502" s="181" t="b">
        <f>COUNTIF('Account Data'!$A$1:$A$1000,"*"&amp;A502&amp;"*")&gt;0</f>
        <v>0</v>
      </c>
      <c r="R502" s="182" t="b">
        <f t="shared" si="111"/>
        <v>1</v>
      </c>
      <c r="S502" s="182" t="b">
        <f t="shared" si="109"/>
        <v>0</v>
      </c>
      <c r="T502" s="181" t="b">
        <f>COUNTIF('New Items'!$A$1:$A$175,A502)&gt;0</f>
        <v>0</v>
      </c>
      <c r="U502" s="181" t="b">
        <f>COUNTIF(Discontinued!$A$1:$A$150,A502)&gt;0</f>
        <v>0</v>
      </c>
    </row>
    <row r="503" spans="1:21" s="8" customFormat="1" ht="11.25" x14ac:dyDescent="0.2">
      <c r="A503" s="152">
        <v>10000094</v>
      </c>
      <c r="B503" s="10" t="s">
        <v>1435</v>
      </c>
      <c r="C503" s="12" t="s">
        <v>1436</v>
      </c>
      <c r="D503" s="11" t="s">
        <v>1387</v>
      </c>
      <c r="E503" s="12" t="s">
        <v>773</v>
      </c>
      <c r="F503" s="13">
        <v>8</v>
      </c>
      <c r="G503" s="22">
        <f>Overview!$B$27</f>
        <v>16</v>
      </c>
      <c r="H503" s="114">
        <f t="shared" si="107"/>
        <v>16</v>
      </c>
      <c r="I503" s="114">
        <f>Overview!$E$27</f>
        <v>0</v>
      </c>
      <c r="J503" s="115">
        <f t="shared" si="112"/>
        <v>0</v>
      </c>
      <c r="K503" s="116">
        <f>Overview!$H$27</f>
        <v>0</v>
      </c>
      <c r="L503" s="117" t="e">
        <f t="shared" si="113"/>
        <v>#DIV/0!</v>
      </c>
      <c r="M503" s="179"/>
      <c r="N503" s="179" t="s">
        <v>3158</v>
      </c>
      <c r="O503" s="141">
        <f t="shared" si="106"/>
        <v>0</v>
      </c>
      <c r="P503" s="181" t="b">
        <f>COUNTIF('Facility Data'!$A$1:$A$1500,"*"&amp;A503&amp;"*")&gt;0</f>
        <v>1</v>
      </c>
      <c r="Q503" s="181" t="b">
        <f>COUNTIF('Account Data'!$A$1:$A$1000,"*"&amp;A503&amp;"*")&gt;0</f>
        <v>0</v>
      </c>
      <c r="R503" s="182" t="b">
        <f t="shared" si="111"/>
        <v>1</v>
      </c>
      <c r="S503" s="182" t="b">
        <f t="shared" si="109"/>
        <v>0</v>
      </c>
      <c r="T503" s="181" t="b">
        <f>COUNTIF('New Items'!$A$1:$A$175,A503)&gt;0</f>
        <v>0</v>
      </c>
      <c r="U503" s="181" t="b">
        <f>COUNTIF(Discontinued!$A$1:$A$150,A503)&gt;0</f>
        <v>0</v>
      </c>
    </row>
    <row r="504" spans="1:21" s="8" customFormat="1" ht="11.25" x14ac:dyDescent="0.2">
      <c r="A504" s="152">
        <v>10001471</v>
      </c>
      <c r="B504" s="10" t="s">
        <v>1312</v>
      </c>
      <c r="C504" s="12" t="s">
        <v>1313</v>
      </c>
      <c r="D504" s="11" t="s">
        <v>639</v>
      </c>
      <c r="E504" s="12" t="s">
        <v>773</v>
      </c>
      <c r="F504" s="13">
        <v>8</v>
      </c>
      <c r="G504" s="22">
        <f>Overview!$B$27</f>
        <v>16</v>
      </c>
      <c r="H504" s="114">
        <f t="shared" si="107"/>
        <v>16</v>
      </c>
      <c r="I504" s="114">
        <f>Overview!$E$27</f>
        <v>0</v>
      </c>
      <c r="J504" s="115">
        <f t="shared" si="112"/>
        <v>0</v>
      </c>
      <c r="K504" s="116">
        <f>Overview!$H$27</f>
        <v>0</v>
      </c>
      <c r="L504" s="117" t="e">
        <f t="shared" si="113"/>
        <v>#DIV/0!</v>
      </c>
      <c r="M504" s="179" t="s">
        <v>930</v>
      </c>
      <c r="N504" s="179" t="s">
        <v>3158</v>
      </c>
      <c r="O504" s="141">
        <f t="shared" si="106"/>
        <v>0</v>
      </c>
      <c r="P504" s="181" t="b">
        <f>COUNTIF('Facility Data'!$A$1:$A$1500,"*"&amp;A504&amp;"*")&gt;0</f>
        <v>1</v>
      </c>
      <c r="Q504" s="181" t="b">
        <f>COUNTIF('Account Data'!$A$1:$A$1000,"*"&amp;A504&amp;"*")&gt;0</f>
        <v>0</v>
      </c>
      <c r="R504" s="182" t="b">
        <f t="shared" si="111"/>
        <v>1</v>
      </c>
      <c r="S504" s="182" t="b">
        <f t="shared" si="109"/>
        <v>0</v>
      </c>
      <c r="T504" s="181" t="b">
        <f>COUNTIF('New Items'!$A$1:$A$175,A504)&gt;0</f>
        <v>0</v>
      </c>
      <c r="U504" s="181" t="b">
        <f>COUNTIF(Discontinued!$A$1:$A$150,A504)&gt;0</f>
        <v>0</v>
      </c>
    </row>
    <row r="505" spans="1:21" s="8" customFormat="1" ht="11.25" x14ac:dyDescent="0.2">
      <c r="A505" s="152">
        <v>10001426</v>
      </c>
      <c r="B505" s="10" t="s">
        <v>271</v>
      </c>
      <c r="C505" s="12" t="s">
        <v>272</v>
      </c>
      <c r="D505" s="11" t="s">
        <v>658</v>
      </c>
      <c r="E505" s="12" t="s">
        <v>773</v>
      </c>
      <c r="F505" s="13">
        <v>8</v>
      </c>
      <c r="G505" s="22">
        <f>Overview!$B$27</f>
        <v>16</v>
      </c>
      <c r="H505" s="114">
        <f t="shared" si="107"/>
        <v>16</v>
      </c>
      <c r="I505" s="114">
        <f>Overview!$E$27</f>
        <v>0</v>
      </c>
      <c r="J505" s="115">
        <f t="shared" si="112"/>
        <v>0</v>
      </c>
      <c r="K505" s="116">
        <f>Overview!$H$27</f>
        <v>0</v>
      </c>
      <c r="L505" s="117" t="e">
        <f t="shared" si="113"/>
        <v>#DIV/0!</v>
      </c>
      <c r="M505" s="179"/>
      <c r="N505" s="179" t="s">
        <v>3158</v>
      </c>
      <c r="O505" s="141">
        <f t="shared" si="106"/>
        <v>0</v>
      </c>
      <c r="P505" s="181" t="b">
        <f>COUNTIF('Facility Data'!$A$1:$A$1500,"*"&amp;A505&amp;"*")&gt;0</f>
        <v>0</v>
      </c>
      <c r="Q505" s="181" t="b">
        <f>COUNTIF('Account Data'!$A$1:$A$1000,"*"&amp;A505&amp;"*")&gt;0</f>
        <v>0</v>
      </c>
      <c r="R505" s="182" t="b">
        <f t="shared" si="111"/>
        <v>0</v>
      </c>
      <c r="S505" s="182" t="b">
        <f t="shared" si="109"/>
        <v>0</v>
      </c>
      <c r="T505" s="181" t="b">
        <f>COUNTIF('New Items'!$A$1:$A$175,A505)&gt;0</f>
        <v>0</v>
      </c>
      <c r="U505" s="181" t="b">
        <f>COUNTIF(Discontinued!$A$1:$A$150,A505)&gt;0</f>
        <v>0</v>
      </c>
    </row>
    <row r="506" spans="1:21" s="8" customFormat="1" ht="11.25" x14ac:dyDescent="0.2">
      <c r="A506" s="152">
        <v>10001606</v>
      </c>
      <c r="B506" s="10" t="s">
        <v>273</v>
      </c>
      <c r="C506" s="12" t="s">
        <v>274</v>
      </c>
      <c r="D506" s="11" t="s">
        <v>659</v>
      </c>
      <c r="E506" s="12" t="s">
        <v>773</v>
      </c>
      <c r="F506" s="13">
        <v>8</v>
      </c>
      <c r="G506" s="22">
        <f>Overview!$B$27</f>
        <v>16</v>
      </c>
      <c r="H506" s="114">
        <f>G506-I506</f>
        <v>16</v>
      </c>
      <c r="I506" s="114">
        <f>Overview!$E$27</f>
        <v>0</v>
      </c>
      <c r="J506" s="115">
        <f t="shared" si="112"/>
        <v>0</v>
      </c>
      <c r="K506" s="116">
        <f>Overview!$H$27</f>
        <v>0</v>
      </c>
      <c r="L506" s="117" t="e">
        <f t="shared" si="113"/>
        <v>#DIV/0!</v>
      </c>
      <c r="M506" s="179"/>
      <c r="N506" s="179" t="s">
        <v>3158</v>
      </c>
      <c r="O506" s="141">
        <f t="shared" si="106"/>
        <v>0</v>
      </c>
      <c r="P506" s="181" t="b">
        <f>COUNTIF('Facility Data'!$A$1:$A$1500,"*"&amp;A506&amp;"*")&gt;0</f>
        <v>0</v>
      </c>
      <c r="Q506" s="181" t="b">
        <f>COUNTIF('Account Data'!$A$1:$A$1000,"*"&amp;A506&amp;"*")&gt;0</f>
        <v>0</v>
      </c>
      <c r="R506" s="182" t="b">
        <f t="shared" si="111"/>
        <v>0</v>
      </c>
      <c r="S506" s="182" t="b">
        <f t="shared" si="109"/>
        <v>0</v>
      </c>
      <c r="T506" s="181" t="b">
        <f>COUNTIF('New Items'!$A$1:$A$175,A506)&gt;0</f>
        <v>0</v>
      </c>
      <c r="U506" s="181" t="b">
        <f>COUNTIF(Discontinued!$A$1:$A$150,A506)&gt;0</f>
        <v>0</v>
      </c>
    </row>
    <row r="507" spans="1:21" s="8" customFormat="1" ht="12" thickBot="1" x14ac:dyDescent="0.25">
      <c r="A507" s="152">
        <v>10001424</v>
      </c>
      <c r="B507" s="10" t="s">
        <v>275</v>
      </c>
      <c r="C507" s="12" t="s">
        <v>276</v>
      </c>
      <c r="D507" s="11" t="s">
        <v>660</v>
      </c>
      <c r="E507" s="12" t="s">
        <v>773</v>
      </c>
      <c r="F507" s="13">
        <v>8</v>
      </c>
      <c r="G507" s="22">
        <f>Overview!$B$27</f>
        <v>16</v>
      </c>
      <c r="H507" s="114">
        <f>G507-I507</f>
        <v>16</v>
      </c>
      <c r="I507" s="114">
        <f>Overview!$E$27</f>
        <v>0</v>
      </c>
      <c r="J507" s="115">
        <f t="shared" si="112"/>
        <v>0</v>
      </c>
      <c r="K507" s="116">
        <f>Overview!$H$27</f>
        <v>0</v>
      </c>
      <c r="L507" s="117" t="e">
        <f t="shared" si="113"/>
        <v>#DIV/0!</v>
      </c>
      <c r="M507" s="179"/>
      <c r="N507" s="179" t="s">
        <v>3158</v>
      </c>
      <c r="O507" s="141">
        <f t="shared" si="106"/>
        <v>0</v>
      </c>
      <c r="P507" s="181" t="b">
        <f>COUNTIF('Facility Data'!$A$1:$A$1500,"*"&amp;A507&amp;"*")&gt;0</f>
        <v>1</v>
      </c>
      <c r="Q507" s="181" t="b">
        <f>COUNTIF('Account Data'!$A$1:$A$1000,"*"&amp;A507&amp;"*")&gt;0</f>
        <v>1</v>
      </c>
      <c r="R507" s="182" t="b">
        <f t="shared" si="111"/>
        <v>1</v>
      </c>
      <c r="S507" s="182" t="b">
        <f t="shared" si="109"/>
        <v>1</v>
      </c>
      <c r="T507" s="181" t="b">
        <f>COUNTIF('New Items'!$A$1:$A$175,A507)&gt;0</f>
        <v>0</v>
      </c>
      <c r="U507" s="181" t="b">
        <f>COUNTIF(Discontinued!$A$1:$A$150,A507)&gt;0</f>
        <v>0</v>
      </c>
    </row>
    <row r="508" spans="1:21" s="8" customFormat="1" ht="13.5" thickBot="1" x14ac:dyDescent="0.25">
      <c r="A508" s="300" t="s">
        <v>286</v>
      </c>
      <c r="B508" s="301"/>
      <c r="C508" s="301"/>
      <c r="D508" s="301"/>
      <c r="E508" s="301"/>
      <c r="F508" s="301"/>
      <c r="G508" s="301"/>
      <c r="H508" s="301"/>
      <c r="I508" s="301"/>
      <c r="J508" s="301"/>
      <c r="K508" s="301"/>
      <c r="L508" s="302"/>
      <c r="M508" s="179" t="s">
        <v>4361</v>
      </c>
      <c r="N508" s="179" t="s">
        <v>970</v>
      </c>
      <c r="O508" s="141">
        <f>AVERAGE(O509:O519)</f>
        <v>0</v>
      </c>
      <c r="P508" s="181" t="b">
        <f>COUNTIF(P509:P519,TRUE)&gt;0</f>
        <v>1</v>
      </c>
      <c r="Q508" s="181" t="b">
        <f>COUNTIF(Q509:Q519,TRUE)&gt;0</f>
        <v>1</v>
      </c>
      <c r="R508" s="181" t="b">
        <f>COUNTIF(R509:R519,TRUE)&gt;0</f>
        <v>1</v>
      </c>
      <c r="S508" s="181" t="b">
        <f>COUNTIF(S509:S519,TRUE)&gt;0</f>
        <v>1</v>
      </c>
      <c r="T508" s="181" t="b">
        <f>COUNTIF(T509:T519,TRUE)&gt;0</f>
        <v>0</v>
      </c>
      <c r="U508" s="181"/>
    </row>
    <row r="509" spans="1:21" s="8" customFormat="1" ht="11.25" x14ac:dyDescent="0.2">
      <c r="A509" s="152">
        <v>10001467</v>
      </c>
      <c r="B509" s="10" t="s">
        <v>269</v>
      </c>
      <c r="C509" s="12" t="s">
        <v>270</v>
      </c>
      <c r="D509" s="11" t="s">
        <v>648</v>
      </c>
      <c r="E509" s="12" t="s">
        <v>773</v>
      </c>
      <c r="F509" s="13">
        <v>8</v>
      </c>
      <c r="G509" s="22">
        <f>Overview!$B$28</f>
        <v>16</v>
      </c>
      <c r="H509" s="114">
        <f t="shared" ref="H509:H519" si="114">G509-I509</f>
        <v>16</v>
      </c>
      <c r="I509" s="114">
        <f>Overview!$E$28</f>
        <v>0</v>
      </c>
      <c r="J509" s="115">
        <f t="shared" ref="J509:J519" si="115">I509/F509</f>
        <v>0</v>
      </c>
      <c r="K509" s="116">
        <f>Overview!$H$28</f>
        <v>0</v>
      </c>
      <c r="L509" s="117" t="e">
        <f t="shared" ref="L509:L519" si="116">(K509-J509)/K509</f>
        <v>#DIV/0!</v>
      </c>
      <c r="M509" s="179"/>
      <c r="N509" s="179" t="s">
        <v>970</v>
      </c>
      <c r="O509" s="141">
        <f>I509</f>
        <v>0</v>
      </c>
      <c r="P509" s="181" t="b">
        <f>COUNTIF('Facility Data'!$A$1:$A$1500,"*"&amp;A509&amp;"*")&gt;0</f>
        <v>0</v>
      </c>
      <c r="Q509" s="181" t="b">
        <f>COUNTIF('Account Data'!$A$1:$A$1000,"*"&amp;A509&amp;"*")&gt;0</f>
        <v>1</v>
      </c>
      <c r="R509" s="182" t="b">
        <f t="shared" ref="R509:R519" si="117">IF(OR(P509=TRUE,T509=TRUE),TRUE,FALSE)</f>
        <v>0</v>
      </c>
      <c r="S509" s="182" t="b">
        <f t="shared" si="109"/>
        <v>1</v>
      </c>
      <c r="T509" s="181" t="b">
        <f>COUNTIF('New Items'!$A$1:$A$175,A509)&gt;0</f>
        <v>0</v>
      </c>
      <c r="U509" s="181" t="b">
        <f>COUNTIF(Discontinued!$A$1:$A$150,A509)&gt;0</f>
        <v>0</v>
      </c>
    </row>
    <row r="510" spans="1:21" s="8" customFormat="1" ht="11.25" x14ac:dyDescent="0.2">
      <c r="A510" s="152">
        <v>10001468</v>
      </c>
      <c r="B510" s="10" t="s">
        <v>1304</v>
      </c>
      <c r="C510" s="12" t="s">
        <v>1305</v>
      </c>
      <c r="D510" s="11" t="s">
        <v>649</v>
      </c>
      <c r="E510" s="12" t="s">
        <v>773</v>
      </c>
      <c r="F510" s="13">
        <v>8</v>
      </c>
      <c r="G510" s="22">
        <f>Overview!$B$28</f>
        <v>16</v>
      </c>
      <c r="H510" s="114">
        <f t="shared" si="114"/>
        <v>16</v>
      </c>
      <c r="I510" s="114">
        <f>Overview!$E$28</f>
        <v>0</v>
      </c>
      <c r="J510" s="115">
        <f t="shared" si="115"/>
        <v>0</v>
      </c>
      <c r="K510" s="116">
        <f>Overview!$H$28</f>
        <v>0</v>
      </c>
      <c r="L510" s="117" t="e">
        <f t="shared" si="116"/>
        <v>#DIV/0!</v>
      </c>
      <c r="M510" s="179"/>
      <c r="N510" s="179" t="s">
        <v>970</v>
      </c>
      <c r="O510" s="141">
        <f t="shared" ref="O510:O519" si="118">I510</f>
        <v>0</v>
      </c>
      <c r="P510" s="181" t="b">
        <f>COUNTIF('Facility Data'!$A$1:$A$1500,"*"&amp;A510&amp;"*")&gt;0</f>
        <v>0</v>
      </c>
      <c r="Q510" s="181" t="b">
        <f>COUNTIF('Account Data'!$A$1:$A$1000,"*"&amp;A510&amp;"*")&gt;0</f>
        <v>0</v>
      </c>
      <c r="R510" s="182" t="b">
        <f t="shared" si="117"/>
        <v>0</v>
      </c>
      <c r="S510" s="182" t="b">
        <f t="shared" si="109"/>
        <v>0</v>
      </c>
      <c r="T510" s="181" t="b">
        <f>COUNTIF('New Items'!$A$1:$A$175,A510)&gt;0</f>
        <v>0</v>
      </c>
      <c r="U510" s="181" t="b">
        <f>COUNTIF(Discontinued!$A$1:$A$150,A510)&gt;0</f>
        <v>0</v>
      </c>
    </row>
    <row r="511" spans="1:21" s="8" customFormat="1" ht="11.25" customHeight="1" x14ac:dyDescent="0.2">
      <c r="A511" s="153">
        <v>10023918</v>
      </c>
      <c r="B511" s="10" t="s">
        <v>261</v>
      </c>
      <c r="C511" s="12" t="s">
        <v>262</v>
      </c>
      <c r="D511" s="11" t="s">
        <v>656</v>
      </c>
      <c r="E511" s="12" t="s">
        <v>773</v>
      </c>
      <c r="F511" s="13">
        <v>8</v>
      </c>
      <c r="G511" s="22">
        <f>Overview!$B$28</f>
        <v>16</v>
      </c>
      <c r="H511" s="114">
        <f t="shared" si="114"/>
        <v>16</v>
      </c>
      <c r="I511" s="114">
        <f>Overview!$E$28</f>
        <v>0</v>
      </c>
      <c r="J511" s="115">
        <f t="shared" si="115"/>
        <v>0</v>
      </c>
      <c r="K511" s="116">
        <f>Overview!$H$28</f>
        <v>0</v>
      </c>
      <c r="L511" s="117" t="e">
        <f t="shared" si="116"/>
        <v>#DIV/0!</v>
      </c>
      <c r="M511" s="179" t="s">
        <v>952</v>
      </c>
      <c r="N511" s="179" t="s">
        <v>970</v>
      </c>
      <c r="O511" s="141">
        <f t="shared" si="118"/>
        <v>0</v>
      </c>
      <c r="P511" s="181" t="b">
        <f>COUNTIF('Facility Data'!$A$1:$A$1500,"*"&amp;A511&amp;"*")&gt;0</f>
        <v>0</v>
      </c>
      <c r="Q511" s="181" t="b">
        <f>COUNTIF('Account Data'!$A$1:$A$1000,"*"&amp;A511&amp;"*")&gt;0</f>
        <v>0</v>
      </c>
      <c r="R511" s="182" t="b">
        <f t="shared" si="117"/>
        <v>0</v>
      </c>
      <c r="S511" s="182" t="b">
        <f t="shared" si="109"/>
        <v>0</v>
      </c>
      <c r="T511" s="181" t="b">
        <f>COUNTIF('New Items'!$A$1:$A$175,A511)&gt;0</f>
        <v>0</v>
      </c>
      <c r="U511" s="181" t="b">
        <f>COUNTIF(Discontinued!$A$1:$A$150,A511)&gt;0</f>
        <v>0</v>
      </c>
    </row>
    <row r="512" spans="1:21" s="8" customFormat="1" ht="11.25" x14ac:dyDescent="0.2">
      <c r="A512" s="152">
        <v>10001453</v>
      </c>
      <c r="B512" s="10" t="s">
        <v>265</v>
      </c>
      <c r="C512" s="12" t="s">
        <v>266</v>
      </c>
      <c r="D512" s="11" t="s">
        <v>640</v>
      </c>
      <c r="E512" s="12" t="s">
        <v>773</v>
      </c>
      <c r="F512" s="13">
        <v>8</v>
      </c>
      <c r="G512" s="22">
        <f>Overview!$B$28</f>
        <v>16</v>
      </c>
      <c r="H512" s="114">
        <f t="shared" si="114"/>
        <v>16</v>
      </c>
      <c r="I512" s="114">
        <f>Overview!$E$28</f>
        <v>0</v>
      </c>
      <c r="J512" s="115">
        <f t="shared" si="115"/>
        <v>0</v>
      </c>
      <c r="K512" s="116">
        <f>Overview!$H$28</f>
        <v>0</v>
      </c>
      <c r="L512" s="117" t="e">
        <f t="shared" si="116"/>
        <v>#DIV/0!</v>
      </c>
      <c r="M512" s="179"/>
      <c r="N512" s="179" t="s">
        <v>970</v>
      </c>
      <c r="O512" s="141">
        <f t="shared" si="118"/>
        <v>0</v>
      </c>
      <c r="P512" s="181" t="b">
        <f>COUNTIF('Facility Data'!$A$1:$A$1500,"*"&amp;A512&amp;"*")&gt;0</f>
        <v>1</v>
      </c>
      <c r="Q512" s="181" t="b">
        <f>COUNTIF('Account Data'!$A$1:$A$1000,"*"&amp;A512&amp;"*")&gt;0</f>
        <v>1</v>
      </c>
      <c r="R512" s="182" t="b">
        <f t="shared" si="117"/>
        <v>1</v>
      </c>
      <c r="S512" s="182" t="b">
        <f t="shared" si="109"/>
        <v>1</v>
      </c>
      <c r="T512" s="181" t="b">
        <f>COUNTIF('New Items'!$A$1:$A$175,A512)&gt;0</f>
        <v>0</v>
      </c>
      <c r="U512" s="181" t="b">
        <f>COUNTIF(Discontinued!$A$1:$A$150,A512)&gt;0</f>
        <v>0</v>
      </c>
    </row>
    <row r="513" spans="1:21" s="8" customFormat="1" ht="11.25" x14ac:dyDescent="0.2">
      <c r="A513" s="152">
        <v>10001470</v>
      </c>
      <c r="B513" s="10" t="s">
        <v>267</v>
      </c>
      <c r="C513" s="12" t="s">
        <v>268</v>
      </c>
      <c r="D513" s="11" t="s">
        <v>662</v>
      </c>
      <c r="E513" s="12" t="s">
        <v>773</v>
      </c>
      <c r="F513" s="13">
        <v>8</v>
      </c>
      <c r="G513" s="22">
        <f>Overview!$B$28</f>
        <v>16</v>
      </c>
      <c r="H513" s="114">
        <f t="shared" si="114"/>
        <v>16</v>
      </c>
      <c r="I513" s="114">
        <f>Overview!$E$28</f>
        <v>0</v>
      </c>
      <c r="J513" s="115">
        <f t="shared" si="115"/>
        <v>0</v>
      </c>
      <c r="K513" s="116">
        <f>Overview!$H$28</f>
        <v>0</v>
      </c>
      <c r="L513" s="117" t="e">
        <f t="shared" si="116"/>
        <v>#DIV/0!</v>
      </c>
      <c r="M513" s="179"/>
      <c r="N513" s="179" t="s">
        <v>970</v>
      </c>
      <c r="O513" s="141">
        <f t="shared" si="118"/>
        <v>0</v>
      </c>
      <c r="P513" s="181" t="b">
        <f>COUNTIF('Facility Data'!$A$1:$A$1500,"*"&amp;A513&amp;"*")&gt;0</f>
        <v>1</v>
      </c>
      <c r="Q513" s="181" t="b">
        <f>COUNTIF('Account Data'!$A$1:$A$1000,"*"&amp;A513&amp;"*")&gt;0</f>
        <v>0</v>
      </c>
      <c r="R513" s="182" t="b">
        <f t="shared" si="117"/>
        <v>1</v>
      </c>
      <c r="S513" s="182" t="b">
        <f t="shared" si="109"/>
        <v>0</v>
      </c>
      <c r="T513" s="181" t="b">
        <f>COUNTIF('New Items'!$A$1:$A$175,A513)&gt;0</f>
        <v>0</v>
      </c>
      <c r="U513" s="181" t="b">
        <f>COUNTIF(Discontinued!$A$1:$A$150,A513)&gt;0</f>
        <v>0</v>
      </c>
    </row>
    <row r="514" spans="1:21" s="8" customFormat="1" ht="11.25" x14ac:dyDescent="0.2">
      <c r="A514" s="152">
        <v>10002245</v>
      </c>
      <c r="B514" s="10" t="s">
        <v>1310</v>
      </c>
      <c r="C514" s="12" t="s">
        <v>1311</v>
      </c>
      <c r="D514" s="11" t="s">
        <v>1299</v>
      </c>
      <c r="E514" s="12" t="s">
        <v>773</v>
      </c>
      <c r="F514" s="13">
        <v>8</v>
      </c>
      <c r="G514" s="22">
        <f>Overview!$B$28</f>
        <v>16</v>
      </c>
      <c r="H514" s="114">
        <f t="shared" si="114"/>
        <v>16</v>
      </c>
      <c r="I514" s="114">
        <f>Overview!$E$28</f>
        <v>0</v>
      </c>
      <c r="J514" s="115">
        <f t="shared" si="115"/>
        <v>0</v>
      </c>
      <c r="K514" s="116">
        <f>Overview!$H$28</f>
        <v>0</v>
      </c>
      <c r="L514" s="117" t="e">
        <f t="shared" si="116"/>
        <v>#DIV/0!</v>
      </c>
      <c r="M514" s="179"/>
      <c r="N514" s="179" t="s">
        <v>970</v>
      </c>
      <c r="O514" s="141">
        <f t="shared" si="118"/>
        <v>0</v>
      </c>
      <c r="P514" s="181" t="b">
        <f>COUNTIF('Facility Data'!$A$1:$A$1500,"*"&amp;A514&amp;"*")&gt;0</f>
        <v>1</v>
      </c>
      <c r="Q514" s="181" t="b">
        <f>COUNTIF('Account Data'!$A$1:$A$1000,"*"&amp;A514&amp;"*")&gt;0</f>
        <v>0</v>
      </c>
      <c r="R514" s="182" t="b">
        <f t="shared" si="117"/>
        <v>1</v>
      </c>
      <c r="S514" s="182" t="b">
        <f t="shared" si="109"/>
        <v>0</v>
      </c>
      <c r="T514" s="181" t="b">
        <f>COUNTIF('New Items'!$A$1:$A$175,A514)&gt;0</f>
        <v>0</v>
      </c>
      <c r="U514" s="181" t="b">
        <f>COUNTIF(Discontinued!$A$1:$A$150,A514)&gt;0</f>
        <v>0</v>
      </c>
    </row>
    <row r="515" spans="1:21" s="8" customFormat="1" ht="11.25" x14ac:dyDescent="0.2">
      <c r="A515" s="152">
        <v>10000094</v>
      </c>
      <c r="B515" s="10" t="s">
        <v>1435</v>
      </c>
      <c r="C515" s="12" t="s">
        <v>1436</v>
      </c>
      <c r="D515" s="11" t="s">
        <v>1387</v>
      </c>
      <c r="E515" s="12" t="s">
        <v>773</v>
      </c>
      <c r="F515" s="13">
        <v>8</v>
      </c>
      <c r="G515" s="22">
        <f>Overview!$B$28</f>
        <v>16</v>
      </c>
      <c r="H515" s="114">
        <f t="shared" si="114"/>
        <v>16</v>
      </c>
      <c r="I515" s="114">
        <f>Overview!$E$28</f>
        <v>0</v>
      </c>
      <c r="J515" s="115">
        <f t="shared" si="115"/>
        <v>0</v>
      </c>
      <c r="K515" s="116">
        <f>Overview!$H$28</f>
        <v>0</v>
      </c>
      <c r="L515" s="117" t="e">
        <f t="shared" si="116"/>
        <v>#DIV/0!</v>
      </c>
      <c r="M515" s="179"/>
      <c r="N515" s="179" t="s">
        <v>970</v>
      </c>
      <c r="O515" s="141">
        <f t="shared" si="118"/>
        <v>0</v>
      </c>
      <c r="P515" s="181" t="b">
        <f>COUNTIF('Facility Data'!$A$1:$A$1500,"*"&amp;A515&amp;"*")&gt;0</f>
        <v>1</v>
      </c>
      <c r="Q515" s="181" t="b">
        <f>COUNTIF('Account Data'!$A$1:$A$1000,"*"&amp;A515&amp;"*")&gt;0</f>
        <v>0</v>
      </c>
      <c r="R515" s="182" t="b">
        <f t="shared" si="117"/>
        <v>1</v>
      </c>
      <c r="S515" s="182" t="b">
        <f t="shared" si="109"/>
        <v>0</v>
      </c>
      <c r="T515" s="181" t="b">
        <f>COUNTIF('New Items'!$A$1:$A$175,A515)&gt;0</f>
        <v>0</v>
      </c>
      <c r="U515" s="181" t="b">
        <f>COUNTIF(Discontinued!$A$1:$A$150,A515)&gt;0</f>
        <v>0</v>
      </c>
    </row>
    <row r="516" spans="1:21" s="8" customFormat="1" ht="11.25" x14ac:dyDescent="0.2">
      <c r="A516" s="152">
        <v>10001471</v>
      </c>
      <c r="B516" s="10" t="s">
        <v>1312</v>
      </c>
      <c r="C516" s="12" t="s">
        <v>1313</v>
      </c>
      <c r="D516" s="11" t="s">
        <v>639</v>
      </c>
      <c r="E516" s="12" t="s">
        <v>773</v>
      </c>
      <c r="F516" s="13">
        <v>8</v>
      </c>
      <c r="G516" s="22">
        <f>Overview!$B$28</f>
        <v>16</v>
      </c>
      <c r="H516" s="114">
        <f t="shared" si="114"/>
        <v>16</v>
      </c>
      <c r="I516" s="114">
        <f>Overview!$E$28</f>
        <v>0</v>
      </c>
      <c r="J516" s="115">
        <f t="shared" si="115"/>
        <v>0</v>
      </c>
      <c r="K516" s="116">
        <f>Overview!$H$28</f>
        <v>0</v>
      </c>
      <c r="L516" s="117" t="e">
        <f t="shared" si="116"/>
        <v>#DIV/0!</v>
      </c>
      <c r="M516" s="179" t="s">
        <v>930</v>
      </c>
      <c r="N516" s="179" t="s">
        <v>970</v>
      </c>
      <c r="O516" s="141">
        <f t="shared" si="118"/>
        <v>0</v>
      </c>
      <c r="P516" s="181" t="b">
        <f>COUNTIF('Facility Data'!$A$1:$A$1500,"*"&amp;A516&amp;"*")&gt;0</f>
        <v>1</v>
      </c>
      <c r="Q516" s="181" t="b">
        <f>COUNTIF('Account Data'!$A$1:$A$1000,"*"&amp;A516&amp;"*")&gt;0</f>
        <v>0</v>
      </c>
      <c r="R516" s="182" t="b">
        <f t="shared" si="117"/>
        <v>1</v>
      </c>
      <c r="S516" s="182" t="b">
        <f t="shared" si="109"/>
        <v>0</v>
      </c>
      <c r="T516" s="181" t="b">
        <f>COUNTIF('New Items'!$A$1:$A$175,A516)&gt;0</f>
        <v>0</v>
      </c>
      <c r="U516" s="181" t="b">
        <f>COUNTIF(Discontinued!$A$1:$A$150,A516)&gt;0</f>
        <v>0</v>
      </c>
    </row>
    <row r="517" spans="1:21" s="8" customFormat="1" ht="11.25" x14ac:dyDescent="0.2">
      <c r="A517" s="152">
        <v>10001426</v>
      </c>
      <c r="B517" s="10" t="s">
        <v>271</v>
      </c>
      <c r="C517" s="12" t="s">
        <v>272</v>
      </c>
      <c r="D517" s="11" t="s">
        <v>658</v>
      </c>
      <c r="E517" s="12" t="s">
        <v>773</v>
      </c>
      <c r="F517" s="13">
        <v>8</v>
      </c>
      <c r="G517" s="22">
        <f>Overview!$B$28</f>
        <v>16</v>
      </c>
      <c r="H517" s="114">
        <f t="shared" si="114"/>
        <v>16</v>
      </c>
      <c r="I517" s="114">
        <f>Overview!$E$28</f>
        <v>0</v>
      </c>
      <c r="J517" s="115">
        <f t="shared" si="115"/>
        <v>0</v>
      </c>
      <c r="K517" s="116">
        <f>Overview!$H$28</f>
        <v>0</v>
      </c>
      <c r="L517" s="117" t="e">
        <f t="shared" si="116"/>
        <v>#DIV/0!</v>
      </c>
      <c r="M517" s="179"/>
      <c r="N517" s="179" t="s">
        <v>970</v>
      </c>
      <c r="O517" s="141">
        <f t="shared" si="118"/>
        <v>0</v>
      </c>
      <c r="P517" s="181" t="b">
        <f>COUNTIF('Facility Data'!$A$1:$A$1500,"*"&amp;A517&amp;"*")&gt;0</f>
        <v>0</v>
      </c>
      <c r="Q517" s="181" t="b">
        <f>COUNTIF('Account Data'!$A$1:$A$1000,"*"&amp;A517&amp;"*")&gt;0</f>
        <v>0</v>
      </c>
      <c r="R517" s="182" t="b">
        <f t="shared" si="117"/>
        <v>0</v>
      </c>
      <c r="S517" s="182" t="b">
        <f t="shared" si="109"/>
        <v>0</v>
      </c>
      <c r="T517" s="181" t="b">
        <f>COUNTIF('New Items'!$A$1:$A$175,A517)&gt;0</f>
        <v>0</v>
      </c>
      <c r="U517" s="181" t="b">
        <f>COUNTIF(Discontinued!$A$1:$A$150,A517)&gt;0</f>
        <v>0</v>
      </c>
    </row>
    <row r="518" spans="1:21" s="8" customFormat="1" ht="11.25" x14ac:dyDescent="0.2">
      <c r="A518" s="152">
        <v>10001606</v>
      </c>
      <c r="B518" s="10" t="s">
        <v>273</v>
      </c>
      <c r="C518" s="12" t="s">
        <v>274</v>
      </c>
      <c r="D518" s="11" t="s">
        <v>659</v>
      </c>
      <c r="E518" s="12" t="s">
        <v>773</v>
      </c>
      <c r="F518" s="13">
        <v>8</v>
      </c>
      <c r="G518" s="22">
        <f>Overview!$B$28</f>
        <v>16</v>
      </c>
      <c r="H518" s="114">
        <f t="shared" si="114"/>
        <v>16</v>
      </c>
      <c r="I518" s="114">
        <f>Overview!$E$28</f>
        <v>0</v>
      </c>
      <c r="J518" s="115">
        <f t="shared" si="115"/>
        <v>0</v>
      </c>
      <c r="K518" s="116">
        <f>Overview!$H$28</f>
        <v>0</v>
      </c>
      <c r="L518" s="117" t="e">
        <f t="shared" si="116"/>
        <v>#DIV/0!</v>
      </c>
      <c r="M518" s="179"/>
      <c r="N518" s="179" t="s">
        <v>970</v>
      </c>
      <c r="O518" s="141">
        <f t="shared" si="118"/>
        <v>0</v>
      </c>
      <c r="P518" s="181" t="b">
        <f>COUNTIF('Facility Data'!$A$1:$A$1500,"*"&amp;A518&amp;"*")&gt;0</f>
        <v>0</v>
      </c>
      <c r="Q518" s="181" t="b">
        <f>COUNTIF('Account Data'!$A$1:$A$1000,"*"&amp;A518&amp;"*")&gt;0</f>
        <v>0</v>
      </c>
      <c r="R518" s="182" t="b">
        <f t="shared" si="117"/>
        <v>0</v>
      </c>
      <c r="S518" s="182" t="b">
        <f t="shared" si="109"/>
        <v>0</v>
      </c>
      <c r="T518" s="181" t="b">
        <f>COUNTIF('New Items'!$A$1:$A$175,A518)&gt;0</f>
        <v>0</v>
      </c>
      <c r="U518" s="181" t="b">
        <f>COUNTIF(Discontinued!$A$1:$A$150,A518)&gt;0</f>
        <v>0</v>
      </c>
    </row>
    <row r="519" spans="1:21" s="8" customFormat="1" ht="12" thickBot="1" x14ac:dyDescent="0.25">
      <c r="A519" s="152">
        <v>10001424</v>
      </c>
      <c r="B519" s="10" t="s">
        <v>275</v>
      </c>
      <c r="C519" s="12" t="s">
        <v>276</v>
      </c>
      <c r="D519" s="11" t="s">
        <v>660</v>
      </c>
      <c r="E519" s="12" t="s">
        <v>773</v>
      </c>
      <c r="F519" s="13">
        <v>8</v>
      </c>
      <c r="G519" s="22">
        <f>Overview!$B$28</f>
        <v>16</v>
      </c>
      <c r="H519" s="114">
        <f t="shared" si="114"/>
        <v>16</v>
      </c>
      <c r="I519" s="114">
        <f>Overview!$E$28</f>
        <v>0</v>
      </c>
      <c r="J519" s="115">
        <f t="shared" si="115"/>
        <v>0</v>
      </c>
      <c r="K519" s="116">
        <f>Overview!$H$28</f>
        <v>0</v>
      </c>
      <c r="L519" s="117" t="e">
        <f t="shared" si="116"/>
        <v>#DIV/0!</v>
      </c>
      <c r="M519" s="179"/>
      <c r="N519" s="179" t="s">
        <v>970</v>
      </c>
      <c r="O519" s="141">
        <f t="shared" si="118"/>
        <v>0</v>
      </c>
      <c r="P519" s="181" t="b">
        <f>COUNTIF('Facility Data'!$A$1:$A$1500,"*"&amp;A519&amp;"*")&gt;0</f>
        <v>1</v>
      </c>
      <c r="Q519" s="181" t="b">
        <f>COUNTIF('Account Data'!$A$1:$A$1000,"*"&amp;A519&amp;"*")&gt;0</f>
        <v>1</v>
      </c>
      <c r="R519" s="182" t="b">
        <f t="shared" si="117"/>
        <v>1</v>
      </c>
      <c r="S519" s="182" t="b">
        <f t="shared" si="109"/>
        <v>1</v>
      </c>
      <c r="T519" s="181" t="b">
        <f>COUNTIF('New Items'!$A$1:$A$175,A519)&gt;0</f>
        <v>0</v>
      </c>
      <c r="U519" s="181" t="b">
        <f>COUNTIF(Discontinued!$A$1:$A$150,A519)&gt;0</f>
        <v>0</v>
      </c>
    </row>
    <row r="520" spans="1:21" s="8" customFormat="1" ht="13.5" thickBot="1" x14ac:dyDescent="0.25">
      <c r="A520" s="300" t="s">
        <v>3998</v>
      </c>
      <c r="B520" s="301"/>
      <c r="C520" s="301"/>
      <c r="D520" s="301"/>
      <c r="E520" s="301"/>
      <c r="F520" s="301"/>
      <c r="G520" s="301"/>
      <c r="H520" s="301"/>
      <c r="I520" s="301"/>
      <c r="J520" s="301"/>
      <c r="K520" s="301"/>
      <c r="L520" s="302"/>
      <c r="M520" s="179" t="s">
        <v>4361</v>
      </c>
      <c r="N520" s="179" t="s">
        <v>3999</v>
      </c>
      <c r="O520" s="141">
        <f>AVERAGE(O521:O541)</f>
        <v>0</v>
      </c>
      <c r="P520" s="181" t="b">
        <f>COUNTIF(P521:P541,TRUE)&gt;0</f>
        <v>1</v>
      </c>
      <c r="Q520" s="181" t="b">
        <f>COUNTIF(Q521:Q541,TRUE)&gt;0</f>
        <v>1</v>
      </c>
      <c r="R520" s="181" t="b">
        <f>COUNTIF(R521:R541,TRUE)&gt;0</f>
        <v>1</v>
      </c>
      <c r="S520" s="181" t="b">
        <f>COUNTIF(S521:S541,TRUE)&gt;0</f>
        <v>1</v>
      </c>
      <c r="T520" s="181" t="b">
        <f>COUNTIF(T521:T541,TRUE)&gt;0</f>
        <v>0</v>
      </c>
      <c r="U520" s="181"/>
    </row>
    <row r="521" spans="1:21" s="8" customFormat="1" ht="11.25" x14ac:dyDescent="0.2">
      <c r="A521" s="152">
        <v>10083794</v>
      </c>
      <c r="B521" s="10" t="s">
        <v>1579</v>
      </c>
      <c r="C521" s="12" t="s">
        <v>4000</v>
      </c>
      <c r="D521" s="11" t="s">
        <v>643</v>
      </c>
      <c r="E521" s="118" t="s">
        <v>773</v>
      </c>
      <c r="F521" s="120">
        <v>8</v>
      </c>
      <c r="G521" s="121">
        <f>Overview!$B$29</f>
        <v>16</v>
      </c>
      <c r="H521" s="114">
        <f t="shared" ref="H521:H541" si="119">G521-I521</f>
        <v>16</v>
      </c>
      <c r="I521" s="114">
        <f>Overview!$E$29</f>
        <v>0</v>
      </c>
      <c r="J521" s="115">
        <f t="shared" ref="J521:J541" si="120">I521/F521</f>
        <v>0</v>
      </c>
      <c r="K521" s="116">
        <f>Overview!$H$29</f>
        <v>0</v>
      </c>
      <c r="L521" s="117" t="e">
        <f t="shared" ref="L521:L541" si="121">(K521-J521)/K521</f>
        <v>#DIV/0!</v>
      </c>
      <c r="M521" s="179"/>
      <c r="N521" s="179" t="s">
        <v>3999</v>
      </c>
      <c r="O521" s="141">
        <f t="shared" ref="O521:O526" si="122">I521</f>
        <v>0</v>
      </c>
      <c r="P521" s="181" t="b">
        <f>COUNTIF('Facility Data'!$A$1:$A$1500,"*"&amp;A521&amp;"*")&gt;0</f>
        <v>0</v>
      </c>
      <c r="Q521" s="181" t="b">
        <f>COUNTIF('Account Data'!$A$1:$A$1000,"*"&amp;A521&amp;"*")&gt;0</f>
        <v>0</v>
      </c>
      <c r="R521" s="182" t="b">
        <f t="shared" ref="R521:R541" si="123">IF(OR(P521=TRUE,T521=TRUE),TRUE,FALSE)</f>
        <v>0</v>
      </c>
      <c r="S521" s="182" t="b">
        <f t="shared" ref="S521:S526" si="124">IF(OR(Q521=TRUE,T521=TRUE),TRUE,FALSE)</f>
        <v>0</v>
      </c>
      <c r="T521" s="181" t="b">
        <f>COUNTIF('New Items'!$A$1:$A$175,A521)&gt;0</f>
        <v>0</v>
      </c>
      <c r="U521" s="181" t="b">
        <f>COUNTIF(Discontinued!$A$1:$A$150,A521)&gt;0</f>
        <v>0</v>
      </c>
    </row>
    <row r="522" spans="1:21" s="8" customFormat="1" ht="11.25" x14ac:dyDescent="0.2">
      <c r="A522" s="152">
        <v>10083961</v>
      </c>
      <c r="B522" s="10" t="s">
        <v>1580</v>
      </c>
      <c r="C522" s="12" t="s">
        <v>4001</v>
      </c>
      <c r="D522" s="11" t="s">
        <v>633</v>
      </c>
      <c r="E522" s="118" t="s">
        <v>773</v>
      </c>
      <c r="F522" s="120">
        <v>8</v>
      </c>
      <c r="G522" s="121">
        <f>Overview!$B$29</f>
        <v>16</v>
      </c>
      <c r="H522" s="114">
        <f t="shared" ref="H522:H532" si="125">G522-I522</f>
        <v>16</v>
      </c>
      <c r="I522" s="114">
        <f>Overview!$E$29</f>
        <v>0</v>
      </c>
      <c r="J522" s="115">
        <f t="shared" ref="J522:J532" si="126">I522/F522</f>
        <v>0</v>
      </c>
      <c r="K522" s="116">
        <f>Overview!$H$29</f>
        <v>0</v>
      </c>
      <c r="L522" s="117" t="e">
        <f t="shared" ref="L522:L532" si="127">(K522-J522)/K522</f>
        <v>#DIV/0!</v>
      </c>
      <c r="M522" s="179"/>
      <c r="N522" s="179" t="s">
        <v>3999</v>
      </c>
      <c r="O522" s="141">
        <f t="shared" si="122"/>
        <v>0</v>
      </c>
      <c r="P522" s="181" t="b">
        <f>COUNTIF('Facility Data'!$A$1:$A$1500,"*"&amp;A522&amp;"*")&gt;0</f>
        <v>0</v>
      </c>
      <c r="Q522" s="181" t="b">
        <f>COUNTIF('Account Data'!$A$1:$A$1000,"*"&amp;A522&amp;"*")&gt;0</f>
        <v>0</v>
      </c>
      <c r="R522" s="182" t="b">
        <f t="shared" si="123"/>
        <v>0</v>
      </c>
      <c r="S522" s="182" t="b">
        <f t="shared" si="124"/>
        <v>0</v>
      </c>
      <c r="T522" s="181" t="b">
        <f>COUNTIF('New Items'!$A$1:$A$175,A522)&gt;0</f>
        <v>0</v>
      </c>
      <c r="U522" s="181" t="b">
        <f>COUNTIF(Discontinued!$A$1:$A$150,A522)&gt;0</f>
        <v>0</v>
      </c>
    </row>
    <row r="523" spans="1:21" s="8" customFormat="1" ht="11.25" x14ac:dyDescent="0.2">
      <c r="A523" s="152">
        <v>10088173</v>
      </c>
      <c r="B523" s="10" t="s">
        <v>1582</v>
      </c>
      <c r="C523" s="12" t="s">
        <v>4003</v>
      </c>
      <c r="D523" s="11" t="s">
        <v>650</v>
      </c>
      <c r="E523" s="118" t="s">
        <v>773</v>
      </c>
      <c r="F523" s="120">
        <v>8</v>
      </c>
      <c r="G523" s="121">
        <f>Overview!$B$29</f>
        <v>16</v>
      </c>
      <c r="H523" s="114">
        <f t="shared" si="125"/>
        <v>16</v>
      </c>
      <c r="I523" s="114">
        <f>Overview!$E$29</f>
        <v>0</v>
      </c>
      <c r="J523" s="115">
        <f t="shared" si="126"/>
        <v>0</v>
      </c>
      <c r="K523" s="116">
        <f>Overview!$H$29</f>
        <v>0</v>
      </c>
      <c r="L523" s="117" t="e">
        <f t="shared" si="127"/>
        <v>#DIV/0!</v>
      </c>
      <c r="M523" s="179" t="s">
        <v>4369</v>
      </c>
      <c r="N523" s="179" t="s">
        <v>3999</v>
      </c>
      <c r="O523" s="141">
        <f t="shared" si="122"/>
        <v>0</v>
      </c>
      <c r="P523" s="181" t="b">
        <f>COUNTIF('Facility Data'!$A$1:$A$1500,"*"&amp;A523&amp;"*")&gt;0</f>
        <v>1</v>
      </c>
      <c r="Q523" s="181" t="b">
        <f>COUNTIF('Account Data'!$A$1:$A$1000,"*"&amp;A523&amp;"*")&gt;0</f>
        <v>0</v>
      </c>
      <c r="R523" s="182" t="b">
        <f t="shared" si="123"/>
        <v>1</v>
      </c>
      <c r="S523" s="182" t="b">
        <f t="shared" si="124"/>
        <v>0</v>
      </c>
      <c r="T523" s="181" t="b">
        <f>COUNTIF('New Items'!$A$1:$A$175,A523)&gt;0</f>
        <v>0</v>
      </c>
      <c r="U523" s="181" t="b">
        <f>COUNTIF(Discontinued!$A$1:$A$150,A523)&gt;0</f>
        <v>0</v>
      </c>
    </row>
    <row r="524" spans="1:21" s="8" customFormat="1" ht="11.25" x14ac:dyDescent="0.2">
      <c r="A524" s="152">
        <v>10133232</v>
      </c>
      <c r="B524" s="10" t="s">
        <v>4023</v>
      </c>
      <c r="C524" s="12" t="s">
        <v>4022</v>
      </c>
      <c r="D524" s="11" t="s">
        <v>1054</v>
      </c>
      <c r="E524" s="118" t="s">
        <v>773</v>
      </c>
      <c r="F524" s="120">
        <v>8</v>
      </c>
      <c r="G524" s="121">
        <f>Overview!$B$29</f>
        <v>16</v>
      </c>
      <c r="H524" s="114">
        <f>G524-I524</f>
        <v>16</v>
      </c>
      <c r="I524" s="114">
        <f>Overview!$E$29</f>
        <v>0</v>
      </c>
      <c r="J524" s="115">
        <f>I524/F524</f>
        <v>0</v>
      </c>
      <c r="K524" s="116">
        <f>Overview!$H$29</f>
        <v>0</v>
      </c>
      <c r="L524" s="117" t="e">
        <f>(K524-J524)/K524</f>
        <v>#DIV/0!</v>
      </c>
      <c r="M524" s="179" t="s">
        <v>4369</v>
      </c>
      <c r="N524" s="179" t="s">
        <v>3999</v>
      </c>
      <c r="O524" s="141">
        <f t="shared" si="122"/>
        <v>0</v>
      </c>
      <c r="P524" s="181" t="b">
        <f>COUNTIF('Facility Data'!$A$1:$A$1500,"*"&amp;A524&amp;"*")&gt;0</f>
        <v>1</v>
      </c>
      <c r="Q524" s="181" t="b">
        <f>COUNTIF('Account Data'!$A$1:$A$1000,"*"&amp;A524&amp;"*")&gt;0</f>
        <v>0</v>
      </c>
      <c r="R524" s="182" t="b">
        <f t="shared" si="123"/>
        <v>1</v>
      </c>
      <c r="S524" s="182" t="b">
        <f t="shared" si="124"/>
        <v>0</v>
      </c>
      <c r="T524" s="181" t="b">
        <f>COUNTIF('New Items'!$A$1:$A$175,A524)&gt;0</f>
        <v>0</v>
      </c>
      <c r="U524" s="181" t="b">
        <f>COUNTIF(Discontinued!$A$1:$A$150,A524)&gt;0</f>
        <v>0</v>
      </c>
    </row>
    <row r="525" spans="1:21" s="8" customFormat="1" ht="11.25" x14ac:dyDescent="0.2">
      <c r="A525" s="152">
        <v>10026324</v>
      </c>
      <c r="B525" s="10" t="s">
        <v>1583</v>
      </c>
      <c r="C525" s="12" t="s">
        <v>4004</v>
      </c>
      <c r="D525" s="11" t="s">
        <v>634</v>
      </c>
      <c r="E525" s="118" t="s">
        <v>773</v>
      </c>
      <c r="F525" s="120">
        <v>8</v>
      </c>
      <c r="G525" s="121">
        <f>Overview!$B$29</f>
        <v>16</v>
      </c>
      <c r="H525" s="114">
        <f t="shared" si="125"/>
        <v>16</v>
      </c>
      <c r="I525" s="114">
        <f>Overview!$E$29</f>
        <v>0</v>
      </c>
      <c r="J525" s="115">
        <f t="shared" si="126"/>
        <v>0</v>
      </c>
      <c r="K525" s="116">
        <f>Overview!$H$29</f>
        <v>0</v>
      </c>
      <c r="L525" s="117" t="e">
        <f t="shared" si="127"/>
        <v>#DIV/0!</v>
      </c>
      <c r="M525" s="179" t="s">
        <v>4369</v>
      </c>
      <c r="N525" s="179" t="s">
        <v>3999</v>
      </c>
      <c r="O525" s="141">
        <f t="shared" si="122"/>
        <v>0</v>
      </c>
      <c r="P525" s="181" t="b">
        <f>COUNTIF('Facility Data'!$A$1:$A$1500,"*"&amp;A525&amp;"*")&gt;0</f>
        <v>1</v>
      </c>
      <c r="Q525" s="181" t="b">
        <f>COUNTIF('Account Data'!$A$1:$A$1000,"*"&amp;A525&amp;"*")&gt;0</f>
        <v>0</v>
      </c>
      <c r="R525" s="182" t="b">
        <f t="shared" si="123"/>
        <v>1</v>
      </c>
      <c r="S525" s="182" t="b">
        <f t="shared" si="124"/>
        <v>0</v>
      </c>
      <c r="T525" s="181" t="b">
        <f>COUNTIF('New Items'!$A$1:$A$175,A525)&gt;0</f>
        <v>0</v>
      </c>
      <c r="U525" s="181" t="b">
        <f>COUNTIF(Discontinued!$A$1:$A$150,A525)&gt;0</f>
        <v>0</v>
      </c>
    </row>
    <row r="526" spans="1:21" s="8" customFormat="1" ht="11.25" x14ac:dyDescent="0.2">
      <c r="A526" s="152">
        <v>10026326</v>
      </c>
      <c r="B526" s="10" t="s">
        <v>1584</v>
      </c>
      <c r="C526" s="12" t="s">
        <v>4005</v>
      </c>
      <c r="D526" s="11" t="s">
        <v>635</v>
      </c>
      <c r="E526" s="118" t="s">
        <v>773</v>
      </c>
      <c r="F526" s="120">
        <v>8</v>
      </c>
      <c r="G526" s="121">
        <f>Overview!$B$29</f>
        <v>16</v>
      </c>
      <c r="H526" s="114">
        <f t="shared" si="125"/>
        <v>16</v>
      </c>
      <c r="I526" s="114">
        <f>Overview!$E$29</f>
        <v>0</v>
      </c>
      <c r="J526" s="115">
        <f t="shared" si="126"/>
        <v>0</v>
      </c>
      <c r="K526" s="116">
        <f>Overview!$H$29</f>
        <v>0</v>
      </c>
      <c r="L526" s="117" t="e">
        <f t="shared" si="127"/>
        <v>#DIV/0!</v>
      </c>
      <c r="M526" s="179" t="s">
        <v>4369</v>
      </c>
      <c r="N526" s="179" t="s">
        <v>3999</v>
      </c>
      <c r="O526" s="141">
        <f t="shared" si="122"/>
        <v>0</v>
      </c>
      <c r="P526" s="181" t="b">
        <f>COUNTIF('Facility Data'!$A$1:$A$1500,"*"&amp;A526&amp;"*")&gt;0</f>
        <v>1</v>
      </c>
      <c r="Q526" s="181" t="b">
        <f>COUNTIF('Account Data'!$A$1:$A$1000,"*"&amp;A526&amp;"*")&gt;0</f>
        <v>0</v>
      </c>
      <c r="R526" s="182" t="b">
        <f t="shared" si="123"/>
        <v>1</v>
      </c>
      <c r="S526" s="182" t="b">
        <f t="shared" si="124"/>
        <v>0</v>
      </c>
      <c r="T526" s="181" t="b">
        <f>COUNTIF('New Items'!$A$1:$A$175,A526)&gt;0</f>
        <v>0</v>
      </c>
      <c r="U526" s="181" t="b">
        <f>COUNTIF(Discontinued!$A$1:$A$150,A526)&gt;0</f>
        <v>0</v>
      </c>
    </row>
    <row r="527" spans="1:21" s="8" customFormat="1" ht="11.25" x14ac:dyDescent="0.2">
      <c r="A527" s="152">
        <v>10063204</v>
      </c>
      <c r="B527" s="10" t="s">
        <v>1585</v>
      </c>
      <c r="C527" s="12" t="s">
        <v>4006</v>
      </c>
      <c r="D527" s="11" t="s">
        <v>1061</v>
      </c>
      <c r="E527" s="118" t="s">
        <v>773</v>
      </c>
      <c r="F527" s="120">
        <v>8</v>
      </c>
      <c r="G527" s="121">
        <f>Overview!$B$29</f>
        <v>16</v>
      </c>
      <c r="H527" s="114">
        <f t="shared" si="125"/>
        <v>16</v>
      </c>
      <c r="I527" s="114">
        <f>Overview!$E$29</f>
        <v>0</v>
      </c>
      <c r="J527" s="115">
        <f t="shared" si="126"/>
        <v>0</v>
      </c>
      <c r="K527" s="116">
        <f>Overview!$H$29</f>
        <v>0</v>
      </c>
      <c r="L527" s="117" t="e">
        <f t="shared" si="127"/>
        <v>#DIV/0!</v>
      </c>
      <c r="M527" s="179" t="s">
        <v>4369</v>
      </c>
      <c r="N527" s="179" t="s">
        <v>3999</v>
      </c>
      <c r="O527" s="141">
        <f t="shared" ref="O527:O532" si="128">I527</f>
        <v>0</v>
      </c>
      <c r="P527" s="181" t="b">
        <f>COUNTIF('Facility Data'!$A$1:$A$1500,"*"&amp;A527&amp;"*")&gt;0</f>
        <v>0</v>
      </c>
      <c r="Q527" s="181" t="b">
        <f>COUNTIF('Account Data'!$A$1:$A$1000,"*"&amp;A527&amp;"*")&gt;0</f>
        <v>0</v>
      </c>
      <c r="R527" s="182" t="b">
        <f t="shared" si="123"/>
        <v>0</v>
      </c>
      <c r="S527" s="182" t="b">
        <f t="shared" ref="S527:S535" si="129">IF(OR(Q527=TRUE,T527=TRUE),TRUE,FALSE)</f>
        <v>0</v>
      </c>
      <c r="T527" s="181" t="b">
        <f>COUNTIF('New Items'!$A$1:$A$175,A527)&gt;0</f>
        <v>0</v>
      </c>
      <c r="U527" s="181" t="b">
        <f>COUNTIF(Discontinued!$A$1:$A$150,A527)&gt;0</f>
        <v>0</v>
      </c>
    </row>
    <row r="528" spans="1:21" s="8" customFormat="1" ht="11.25" x14ac:dyDescent="0.2">
      <c r="A528" s="152">
        <v>10133230</v>
      </c>
      <c r="B528" s="10" t="s">
        <v>4020</v>
      </c>
      <c r="C528" s="12" t="s">
        <v>4021</v>
      </c>
      <c r="D528" s="11" t="s">
        <v>1070</v>
      </c>
      <c r="E528" s="118" t="s">
        <v>773</v>
      </c>
      <c r="F528" s="120">
        <v>8</v>
      </c>
      <c r="G528" s="121">
        <f>Overview!$B$29</f>
        <v>16</v>
      </c>
      <c r="H528" s="114">
        <f>G528-I528</f>
        <v>16</v>
      </c>
      <c r="I528" s="114">
        <f>Overview!$E$29</f>
        <v>0</v>
      </c>
      <c r="J528" s="115">
        <f>I528/F528</f>
        <v>0</v>
      </c>
      <c r="K528" s="116">
        <f>Overview!$H$29</f>
        <v>0</v>
      </c>
      <c r="L528" s="117" t="e">
        <f>(K528-J528)/K528</f>
        <v>#DIV/0!</v>
      </c>
      <c r="M528" s="179" t="s">
        <v>4369</v>
      </c>
      <c r="N528" s="179" t="s">
        <v>3999</v>
      </c>
      <c r="O528" s="141">
        <f t="shared" si="128"/>
        <v>0</v>
      </c>
      <c r="P528" s="181" t="b">
        <f>COUNTIF('Facility Data'!$A$1:$A$1500,"*"&amp;A528&amp;"*")&gt;0</f>
        <v>0</v>
      </c>
      <c r="Q528" s="181" t="b">
        <f>COUNTIF('Account Data'!$A$1:$A$1000,"*"&amp;A528&amp;"*")&gt;0</f>
        <v>0</v>
      </c>
      <c r="R528" s="182" t="b">
        <f t="shared" si="123"/>
        <v>0</v>
      </c>
      <c r="S528" s="182" t="b">
        <f t="shared" si="129"/>
        <v>0</v>
      </c>
      <c r="T528" s="181" t="b">
        <f>COUNTIF('New Items'!$A$1:$A$175,A528)&gt;0</f>
        <v>0</v>
      </c>
      <c r="U528" s="181" t="b">
        <f>COUNTIF(Discontinued!$A$1:$A$150,A528)&gt;0</f>
        <v>0</v>
      </c>
    </row>
    <row r="529" spans="1:21" s="8" customFormat="1" ht="11.25" x14ac:dyDescent="0.2">
      <c r="A529" s="152">
        <v>10119485</v>
      </c>
      <c r="B529" s="10" t="s">
        <v>1586</v>
      </c>
      <c r="C529" s="12" t="s">
        <v>4007</v>
      </c>
      <c r="D529" s="11" t="s">
        <v>651</v>
      </c>
      <c r="E529" s="118" t="s">
        <v>773</v>
      </c>
      <c r="F529" s="120">
        <v>8</v>
      </c>
      <c r="G529" s="121">
        <f>Overview!$B$29</f>
        <v>16</v>
      </c>
      <c r="H529" s="114">
        <f t="shared" si="125"/>
        <v>16</v>
      </c>
      <c r="I529" s="114">
        <f>Overview!$E$29</f>
        <v>0</v>
      </c>
      <c r="J529" s="115">
        <f t="shared" si="126"/>
        <v>0</v>
      </c>
      <c r="K529" s="116">
        <f>Overview!$H$29</f>
        <v>0</v>
      </c>
      <c r="L529" s="117" t="e">
        <f t="shared" si="127"/>
        <v>#DIV/0!</v>
      </c>
      <c r="M529" s="179" t="s">
        <v>4369</v>
      </c>
      <c r="N529" s="179" t="s">
        <v>3999</v>
      </c>
      <c r="O529" s="141">
        <f t="shared" si="128"/>
        <v>0</v>
      </c>
      <c r="P529" s="181" t="b">
        <f>COUNTIF('Facility Data'!$A$1:$A$1500,"*"&amp;A529&amp;"*")&gt;0</f>
        <v>0</v>
      </c>
      <c r="Q529" s="181" t="b">
        <f>COUNTIF('Account Data'!$A$1:$A$1000,"*"&amp;A529&amp;"*")&gt;0</f>
        <v>0</v>
      </c>
      <c r="R529" s="182" t="b">
        <f t="shared" si="123"/>
        <v>0</v>
      </c>
      <c r="S529" s="182" t="b">
        <f t="shared" si="129"/>
        <v>0</v>
      </c>
      <c r="T529" s="181" t="b">
        <f>COUNTIF('New Items'!$A$1:$A$175,A529)&gt;0</f>
        <v>0</v>
      </c>
      <c r="U529" s="181" t="b">
        <f>COUNTIF(Discontinued!$A$1:$A$150,A529)&gt;0</f>
        <v>0</v>
      </c>
    </row>
    <row r="530" spans="1:21" s="8" customFormat="1" ht="11.25" x14ac:dyDescent="0.2">
      <c r="A530" s="152">
        <v>10119486</v>
      </c>
      <c r="B530" s="10" t="s">
        <v>1587</v>
      </c>
      <c r="C530" s="12" t="s">
        <v>4008</v>
      </c>
      <c r="D530" s="11" t="s">
        <v>1294</v>
      </c>
      <c r="E530" s="118" t="s">
        <v>773</v>
      </c>
      <c r="F530" s="120">
        <v>8</v>
      </c>
      <c r="G530" s="121">
        <f>Overview!$B$29</f>
        <v>16</v>
      </c>
      <c r="H530" s="114">
        <f t="shared" si="125"/>
        <v>16</v>
      </c>
      <c r="I530" s="114">
        <f>Overview!$E$29</f>
        <v>0</v>
      </c>
      <c r="J530" s="115">
        <f t="shared" si="126"/>
        <v>0</v>
      </c>
      <c r="K530" s="116">
        <f>Overview!$H$29</f>
        <v>0</v>
      </c>
      <c r="L530" s="117" t="e">
        <f t="shared" si="127"/>
        <v>#DIV/0!</v>
      </c>
      <c r="M530" s="179" t="s">
        <v>4369</v>
      </c>
      <c r="N530" s="179" t="s">
        <v>3999</v>
      </c>
      <c r="O530" s="141">
        <f t="shared" si="128"/>
        <v>0</v>
      </c>
      <c r="P530" s="181" t="b">
        <f>COUNTIF('Facility Data'!$A$1:$A$1500,"*"&amp;A530&amp;"*")&gt;0</f>
        <v>0</v>
      </c>
      <c r="Q530" s="181" t="b">
        <f>COUNTIF('Account Data'!$A$1:$A$1000,"*"&amp;A530&amp;"*")&gt;0</f>
        <v>0</v>
      </c>
      <c r="R530" s="182" t="b">
        <f t="shared" si="123"/>
        <v>0</v>
      </c>
      <c r="S530" s="182" t="b">
        <f t="shared" si="129"/>
        <v>0</v>
      </c>
      <c r="T530" s="181" t="b">
        <f>COUNTIF('New Items'!$A$1:$A$175,A530)&gt;0</f>
        <v>0</v>
      </c>
      <c r="U530" s="181" t="b">
        <f>COUNTIF(Discontinued!$A$1:$A$150,A530)&gt;0</f>
        <v>0</v>
      </c>
    </row>
    <row r="531" spans="1:21" s="8" customFormat="1" ht="11.25" x14ac:dyDescent="0.2">
      <c r="A531" s="152">
        <v>10033321</v>
      </c>
      <c r="B531" s="10" t="s">
        <v>1581</v>
      </c>
      <c r="C531" s="12" t="s">
        <v>4002</v>
      </c>
      <c r="D531" s="11" t="s">
        <v>648</v>
      </c>
      <c r="E531" s="118" t="s">
        <v>773</v>
      </c>
      <c r="F531" s="120">
        <v>8</v>
      </c>
      <c r="G531" s="121">
        <f>Overview!$B$29</f>
        <v>16</v>
      </c>
      <c r="H531" s="114">
        <f>G531-I531</f>
        <v>16</v>
      </c>
      <c r="I531" s="114">
        <f>Overview!$E$29</f>
        <v>0</v>
      </c>
      <c r="J531" s="115">
        <f>I531/F531</f>
        <v>0</v>
      </c>
      <c r="K531" s="116">
        <f>Overview!$H$29</f>
        <v>0</v>
      </c>
      <c r="L531" s="117" t="e">
        <f>(K531-J531)/K531</f>
        <v>#DIV/0!</v>
      </c>
      <c r="M531" s="179"/>
      <c r="N531" s="179" t="s">
        <v>3999</v>
      </c>
      <c r="O531" s="141">
        <f t="shared" si="128"/>
        <v>0</v>
      </c>
      <c r="P531" s="181" t="b">
        <f>COUNTIF('Facility Data'!$A$1:$A$1500,"*"&amp;A531&amp;"*")&gt;0</f>
        <v>0</v>
      </c>
      <c r="Q531" s="181" t="b">
        <f>COUNTIF('Account Data'!$A$1:$A$1000,"*"&amp;A531&amp;"*")&gt;0</f>
        <v>0</v>
      </c>
      <c r="R531" s="182" t="b">
        <f t="shared" si="123"/>
        <v>0</v>
      </c>
      <c r="S531" s="182" t="b">
        <f t="shared" si="129"/>
        <v>0</v>
      </c>
      <c r="T531" s="181" t="b">
        <f>COUNTIF('New Items'!$A$1:$A$175,A531)&gt;0</f>
        <v>0</v>
      </c>
      <c r="U531" s="181" t="b">
        <f>COUNTIF(Discontinued!$A$1:$A$150,A531)&gt;0</f>
        <v>0</v>
      </c>
    </row>
    <row r="532" spans="1:21" s="8" customFormat="1" ht="11.25" x14ac:dyDescent="0.2">
      <c r="A532" s="152">
        <v>10023922</v>
      </c>
      <c r="B532" s="10" t="s">
        <v>277</v>
      </c>
      <c r="C532" s="12" t="s">
        <v>4009</v>
      </c>
      <c r="D532" s="11" t="s">
        <v>656</v>
      </c>
      <c r="E532" s="118" t="s">
        <v>773</v>
      </c>
      <c r="F532" s="120">
        <v>8</v>
      </c>
      <c r="G532" s="121">
        <f>Overview!$B$29</f>
        <v>16</v>
      </c>
      <c r="H532" s="114">
        <f t="shared" si="125"/>
        <v>16</v>
      </c>
      <c r="I532" s="114">
        <f>Overview!$E$29</f>
        <v>0</v>
      </c>
      <c r="J532" s="115">
        <f t="shared" si="126"/>
        <v>0</v>
      </c>
      <c r="K532" s="116">
        <f>Overview!$H$29</f>
        <v>0</v>
      </c>
      <c r="L532" s="117" t="e">
        <f t="shared" si="127"/>
        <v>#DIV/0!</v>
      </c>
      <c r="M532" s="179"/>
      <c r="N532" s="179" t="s">
        <v>3999</v>
      </c>
      <c r="O532" s="141">
        <f t="shared" si="128"/>
        <v>0</v>
      </c>
      <c r="P532" s="181" t="b">
        <f>COUNTIF('Facility Data'!$A$1:$A$1500,"*"&amp;A532&amp;"*")&gt;0</f>
        <v>1</v>
      </c>
      <c r="Q532" s="181" t="b">
        <f>COUNTIF('Account Data'!$A$1:$A$1000,"*"&amp;A532&amp;"*")&gt;0</f>
        <v>1</v>
      </c>
      <c r="R532" s="182" t="b">
        <f t="shared" si="123"/>
        <v>1</v>
      </c>
      <c r="S532" s="182" t="b">
        <f t="shared" si="129"/>
        <v>1</v>
      </c>
      <c r="T532" s="181" t="b">
        <f>COUNTIF('New Items'!$A$1:$A$175,A532)&gt;0</f>
        <v>0</v>
      </c>
      <c r="U532" s="181" t="b">
        <f>COUNTIF(Discontinued!$A$1:$A$150,A532)&gt;0</f>
        <v>0</v>
      </c>
    </row>
    <row r="533" spans="1:21" s="8" customFormat="1" ht="11.25" x14ac:dyDescent="0.2">
      <c r="A533" s="152">
        <v>10026329</v>
      </c>
      <c r="B533" s="10" t="s">
        <v>1588</v>
      </c>
      <c r="C533" s="12" t="s">
        <v>4010</v>
      </c>
      <c r="D533" s="11" t="s">
        <v>1572</v>
      </c>
      <c r="E533" s="118" t="s">
        <v>773</v>
      </c>
      <c r="F533" s="120">
        <v>8</v>
      </c>
      <c r="G533" s="121">
        <f>Overview!$B$29</f>
        <v>16</v>
      </c>
      <c r="H533" s="114">
        <f t="shared" si="119"/>
        <v>16</v>
      </c>
      <c r="I533" s="114">
        <f>Overview!$E$29</f>
        <v>0</v>
      </c>
      <c r="J533" s="115">
        <f t="shared" si="120"/>
        <v>0</v>
      </c>
      <c r="K533" s="116">
        <f>Overview!$H$29</f>
        <v>0</v>
      </c>
      <c r="L533" s="117" t="e">
        <f t="shared" si="121"/>
        <v>#DIV/0!</v>
      </c>
      <c r="M533" s="179"/>
      <c r="N533" s="179" t="s">
        <v>3999</v>
      </c>
      <c r="O533" s="141">
        <f t="shared" ref="O533:O541" si="130">I533</f>
        <v>0</v>
      </c>
      <c r="P533" s="181" t="b">
        <f>COUNTIF('Facility Data'!$A$1:$A$1500,"*"&amp;A533&amp;"*")&gt;0</f>
        <v>0</v>
      </c>
      <c r="Q533" s="181" t="b">
        <f>COUNTIF('Account Data'!$A$1:$A$1000,"*"&amp;A533&amp;"*")&gt;0</f>
        <v>0</v>
      </c>
      <c r="R533" s="182" t="b">
        <f t="shared" si="123"/>
        <v>0</v>
      </c>
      <c r="S533" s="182" t="b">
        <f t="shared" si="129"/>
        <v>0</v>
      </c>
      <c r="T533" s="181" t="b">
        <f>COUNTIF('New Items'!$A$1:$A$175,A533)&gt;0</f>
        <v>0</v>
      </c>
      <c r="U533" s="181" t="b">
        <f>COUNTIF(Discontinued!$A$1:$A$150,A533)&gt;0</f>
        <v>0</v>
      </c>
    </row>
    <row r="534" spans="1:21" s="8" customFormat="1" ht="11.25" x14ac:dyDescent="0.2">
      <c r="A534" s="152">
        <v>10001602</v>
      </c>
      <c r="B534" s="10" t="s">
        <v>278</v>
      </c>
      <c r="C534" s="12" t="s">
        <v>4012</v>
      </c>
      <c r="D534" s="11" t="s">
        <v>640</v>
      </c>
      <c r="E534" s="118" t="s">
        <v>773</v>
      </c>
      <c r="F534" s="120">
        <v>8</v>
      </c>
      <c r="G534" s="121">
        <f>Overview!$B$29</f>
        <v>16</v>
      </c>
      <c r="H534" s="114">
        <f t="shared" si="119"/>
        <v>16</v>
      </c>
      <c r="I534" s="114">
        <f>Overview!$E$29</f>
        <v>0</v>
      </c>
      <c r="J534" s="115">
        <f t="shared" si="120"/>
        <v>0</v>
      </c>
      <c r="K534" s="116">
        <f>Overview!$H$29</f>
        <v>0</v>
      </c>
      <c r="L534" s="117" t="e">
        <f t="shared" si="121"/>
        <v>#DIV/0!</v>
      </c>
      <c r="M534" s="179"/>
      <c r="N534" s="179" t="s">
        <v>3999</v>
      </c>
      <c r="O534" s="141">
        <f t="shared" si="130"/>
        <v>0</v>
      </c>
      <c r="P534" s="181" t="b">
        <f>COUNTIF('Facility Data'!$A$1:$A$1500,"*"&amp;A534&amp;"*")&gt;0</f>
        <v>0</v>
      </c>
      <c r="Q534" s="181" t="b">
        <f>COUNTIF('Account Data'!$A$1:$A$1000,"*"&amp;A534&amp;"*")&gt;0</f>
        <v>1</v>
      </c>
      <c r="R534" s="182" t="b">
        <f t="shared" si="123"/>
        <v>0</v>
      </c>
      <c r="S534" s="182" t="b">
        <f t="shared" si="129"/>
        <v>1</v>
      </c>
      <c r="T534" s="181" t="b">
        <f>COUNTIF('New Items'!$A$1:$A$175,A534)&gt;0</f>
        <v>0</v>
      </c>
      <c r="U534" s="181" t="b">
        <f>COUNTIF(Discontinued!$A$1:$A$150,A534)&gt;0</f>
        <v>0</v>
      </c>
    </row>
    <row r="535" spans="1:21" s="8" customFormat="1" ht="11.25" x14ac:dyDescent="0.2">
      <c r="A535" s="152">
        <v>10089515</v>
      </c>
      <c r="B535" s="10" t="s">
        <v>1590</v>
      </c>
      <c r="C535" s="12" t="s">
        <v>4013</v>
      </c>
      <c r="D535" s="11" t="s">
        <v>1299</v>
      </c>
      <c r="E535" s="118" t="s">
        <v>773</v>
      </c>
      <c r="F535" s="120">
        <v>8</v>
      </c>
      <c r="G535" s="121">
        <f>Overview!$B$29</f>
        <v>16</v>
      </c>
      <c r="H535" s="114">
        <f t="shared" si="119"/>
        <v>16</v>
      </c>
      <c r="I535" s="114">
        <f>Overview!$E$29</f>
        <v>0</v>
      </c>
      <c r="J535" s="115">
        <f t="shared" si="120"/>
        <v>0</v>
      </c>
      <c r="K535" s="116">
        <f>Overview!$H$29</f>
        <v>0</v>
      </c>
      <c r="L535" s="117" t="e">
        <f t="shared" si="121"/>
        <v>#DIV/0!</v>
      </c>
      <c r="M535" s="179"/>
      <c r="N535" s="179" t="s">
        <v>3999</v>
      </c>
      <c r="O535" s="141">
        <f t="shared" si="130"/>
        <v>0</v>
      </c>
      <c r="P535" s="181" t="b">
        <f>COUNTIF('Facility Data'!$A$1:$A$1500,"*"&amp;A535&amp;"*")&gt;0</f>
        <v>0</v>
      </c>
      <c r="Q535" s="181" t="b">
        <f>COUNTIF('Account Data'!$A$1:$A$1000,"*"&amp;A535&amp;"*")&gt;0</f>
        <v>0</v>
      </c>
      <c r="R535" s="182" t="b">
        <f t="shared" si="123"/>
        <v>0</v>
      </c>
      <c r="S535" s="182" t="b">
        <f t="shared" si="129"/>
        <v>0</v>
      </c>
      <c r="T535" s="181" t="b">
        <f>COUNTIF('New Items'!$A$1:$A$175,A535)&gt;0</f>
        <v>0</v>
      </c>
      <c r="U535" s="181" t="b">
        <f>COUNTIF(Discontinued!$A$1:$A$150,A535)&gt;0</f>
        <v>0</v>
      </c>
    </row>
    <row r="536" spans="1:21" s="8" customFormat="1" ht="11.25" x14ac:dyDescent="0.2">
      <c r="A536" s="152">
        <v>10105874</v>
      </c>
      <c r="B536" s="10" t="s">
        <v>1591</v>
      </c>
      <c r="C536" s="12" t="s">
        <v>4014</v>
      </c>
      <c r="D536" s="11" t="s">
        <v>1386</v>
      </c>
      <c r="E536" s="118" t="s">
        <v>773</v>
      </c>
      <c r="F536" s="120">
        <v>8</v>
      </c>
      <c r="G536" s="121">
        <f>Overview!$B$29</f>
        <v>16</v>
      </c>
      <c r="H536" s="114">
        <f t="shared" si="119"/>
        <v>16</v>
      </c>
      <c r="I536" s="114">
        <f>Overview!$E$29</f>
        <v>0</v>
      </c>
      <c r="J536" s="115">
        <f t="shared" si="120"/>
        <v>0</v>
      </c>
      <c r="K536" s="116">
        <f>Overview!$H$29</f>
        <v>0</v>
      </c>
      <c r="L536" s="117" t="e">
        <f t="shared" si="121"/>
        <v>#DIV/0!</v>
      </c>
      <c r="M536" s="179" t="s">
        <v>952</v>
      </c>
      <c r="N536" s="179" t="s">
        <v>3999</v>
      </c>
      <c r="O536" s="141">
        <f t="shared" si="130"/>
        <v>0</v>
      </c>
      <c r="P536" s="181" t="b">
        <f>COUNTIF('Facility Data'!$A$1:$A$1500,"*"&amp;A536&amp;"*")&gt;0</f>
        <v>0</v>
      </c>
      <c r="Q536" s="181" t="b">
        <f>COUNTIF('Account Data'!$A$1:$A$1000,"*"&amp;A536&amp;"*")&gt;0</f>
        <v>0</v>
      </c>
      <c r="R536" s="182" t="b">
        <f t="shared" si="123"/>
        <v>0</v>
      </c>
      <c r="S536" s="182" t="b">
        <f t="shared" ref="S536:S541" si="131">IF(OR(Q536=TRUE,T536=TRUE),TRUE,FALSE)</f>
        <v>0</v>
      </c>
      <c r="T536" s="181" t="b">
        <f>COUNTIF('New Items'!$A$1:$A$175,A536)&gt;0</f>
        <v>0</v>
      </c>
      <c r="U536" s="181" t="b">
        <f>COUNTIF(Discontinued!$A$1:$A$150,A536)&gt;0</f>
        <v>0</v>
      </c>
    </row>
    <row r="537" spans="1:21" s="8" customFormat="1" ht="11.25" x14ac:dyDescent="0.2">
      <c r="A537" s="152">
        <v>10070593</v>
      </c>
      <c r="B537" s="10" t="s">
        <v>1592</v>
      </c>
      <c r="C537" s="12" t="s">
        <v>4015</v>
      </c>
      <c r="D537" s="11" t="s">
        <v>1387</v>
      </c>
      <c r="E537" s="118" t="s">
        <v>773</v>
      </c>
      <c r="F537" s="120">
        <v>8</v>
      </c>
      <c r="G537" s="121">
        <f>Overview!$B$29</f>
        <v>16</v>
      </c>
      <c r="H537" s="114">
        <f t="shared" si="119"/>
        <v>16</v>
      </c>
      <c r="I537" s="114">
        <f>Overview!$E$29</f>
        <v>0</v>
      </c>
      <c r="J537" s="115">
        <f t="shared" si="120"/>
        <v>0</v>
      </c>
      <c r="K537" s="116">
        <f>Overview!$H$29</f>
        <v>0</v>
      </c>
      <c r="L537" s="117" t="e">
        <f t="shared" si="121"/>
        <v>#DIV/0!</v>
      </c>
      <c r="M537" s="179"/>
      <c r="N537" s="179" t="s">
        <v>3999</v>
      </c>
      <c r="O537" s="141">
        <f t="shared" si="130"/>
        <v>0</v>
      </c>
      <c r="P537" s="181" t="b">
        <f>COUNTIF('Facility Data'!$A$1:$A$1500,"*"&amp;A537&amp;"*")&gt;0</f>
        <v>0</v>
      </c>
      <c r="Q537" s="181" t="b">
        <f>COUNTIF('Account Data'!$A$1:$A$1000,"*"&amp;A537&amp;"*")&gt;0</f>
        <v>0</v>
      </c>
      <c r="R537" s="182" t="b">
        <f t="shared" si="123"/>
        <v>0</v>
      </c>
      <c r="S537" s="182" t="b">
        <f t="shared" si="131"/>
        <v>0</v>
      </c>
      <c r="T537" s="181" t="b">
        <f>COUNTIF('New Items'!$A$1:$A$175,A537)&gt;0</f>
        <v>0</v>
      </c>
      <c r="U537" s="181" t="b">
        <f>COUNTIF(Discontinued!$A$1:$A$150,A537)&gt;0</f>
        <v>0</v>
      </c>
    </row>
    <row r="538" spans="1:21" s="8" customFormat="1" ht="11.25" x14ac:dyDescent="0.2">
      <c r="A538" s="152">
        <v>10001714</v>
      </c>
      <c r="B538" s="10" t="s">
        <v>1593</v>
      </c>
      <c r="C538" s="12" t="s">
        <v>4016</v>
      </c>
      <c r="D538" s="11" t="s">
        <v>639</v>
      </c>
      <c r="E538" s="118" t="s">
        <v>773</v>
      </c>
      <c r="F538" s="120">
        <v>8</v>
      </c>
      <c r="G538" s="121">
        <f>Overview!$B$29</f>
        <v>16</v>
      </c>
      <c r="H538" s="114">
        <f t="shared" si="119"/>
        <v>16</v>
      </c>
      <c r="I538" s="114">
        <f>Overview!$E$29</f>
        <v>0</v>
      </c>
      <c r="J538" s="115">
        <f t="shared" si="120"/>
        <v>0</v>
      </c>
      <c r="K538" s="116">
        <f>Overview!$H$29</f>
        <v>0</v>
      </c>
      <c r="L538" s="117" t="e">
        <f t="shared" si="121"/>
        <v>#DIV/0!</v>
      </c>
      <c r="M538" s="179"/>
      <c r="N538" s="179" t="s">
        <v>3999</v>
      </c>
      <c r="O538" s="141">
        <f t="shared" si="130"/>
        <v>0</v>
      </c>
      <c r="P538" s="181" t="b">
        <f>COUNTIF('Facility Data'!$A$1:$A$1500,"*"&amp;A538&amp;"*")&gt;0</f>
        <v>1</v>
      </c>
      <c r="Q538" s="181" t="b">
        <f>COUNTIF('Account Data'!$A$1:$A$1000,"*"&amp;A538&amp;"*")&gt;0</f>
        <v>0</v>
      </c>
      <c r="R538" s="182" t="b">
        <f t="shared" si="123"/>
        <v>1</v>
      </c>
      <c r="S538" s="182" t="b">
        <f t="shared" si="131"/>
        <v>0</v>
      </c>
      <c r="T538" s="181" t="b">
        <f>COUNTIF('New Items'!$A$1:$A$175,A538)&gt;0</f>
        <v>0</v>
      </c>
      <c r="U538" s="181" t="b">
        <f>COUNTIF(Discontinued!$A$1:$A$150,A538)&gt;0</f>
        <v>0</v>
      </c>
    </row>
    <row r="539" spans="1:21" s="8" customFormat="1" ht="11.25" x14ac:dyDescent="0.2">
      <c r="A539" s="152">
        <v>10002348</v>
      </c>
      <c r="B539" s="10" t="s">
        <v>1594</v>
      </c>
      <c r="C539" s="12" t="s">
        <v>4017</v>
      </c>
      <c r="D539" s="11" t="s">
        <v>1596</v>
      </c>
      <c r="E539" s="118" t="s">
        <v>773</v>
      </c>
      <c r="F539" s="120">
        <v>8</v>
      </c>
      <c r="G539" s="121">
        <f>Overview!$B$29</f>
        <v>16</v>
      </c>
      <c r="H539" s="114">
        <f t="shared" si="119"/>
        <v>16</v>
      </c>
      <c r="I539" s="114">
        <f>Overview!$E$29</f>
        <v>0</v>
      </c>
      <c r="J539" s="115">
        <f t="shared" si="120"/>
        <v>0</v>
      </c>
      <c r="K539" s="116">
        <f>Overview!$H$29</f>
        <v>0</v>
      </c>
      <c r="L539" s="117" t="e">
        <f t="shared" si="121"/>
        <v>#DIV/0!</v>
      </c>
      <c r="M539" s="179" t="s">
        <v>930</v>
      </c>
      <c r="N539" s="179" t="s">
        <v>3999</v>
      </c>
      <c r="O539" s="141">
        <f t="shared" si="130"/>
        <v>0</v>
      </c>
      <c r="P539" s="181" t="b">
        <f>COUNTIF('Facility Data'!$A$1:$A$1500,"*"&amp;A539&amp;"*")&gt;0</f>
        <v>0</v>
      </c>
      <c r="Q539" s="181" t="b">
        <f>COUNTIF('Account Data'!$A$1:$A$1000,"*"&amp;A539&amp;"*")&gt;0</f>
        <v>0</v>
      </c>
      <c r="R539" s="182" t="b">
        <f t="shared" si="123"/>
        <v>0</v>
      </c>
      <c r="S539" s="182" t="b">
        <f t="shared" si="131"/>
        <v>0</v>
      </c>
      <c r="T539" s="181" t="b">
        <f>COUNTIF('New Items'!$A$1:$A$175,A539)&gt;0</f>
        <v>0</v>
      </c>
      <c r="U539" s="181" t="b">
        <f>COUNTIF(Discontinued!$A$1:$A$150,A539)&gt;0</f>
        <v>0</v>
      </c>
    </row>
    <row r="540" spans="1:21" s="8" customFormat="1" ht="11.25" x14ac:dyDescent="0.2">
      <c r="A540" s="152">
        <v>10006385</v>
      </c>
      <c r="B540" s="10" t="s">
        <v>1595</v>
      </c>
      <c r="C540" s="12" t="s">
        <v>4018</v>
      </c>
      <c r="D540" s="11" t="s">
        <v>659</v>
      </c>
      <c r="E540" s="118" t="s">
        <v>773</v>
      </c>
      <c r="F540" s="120">
        <v>8</v>
      </c>
      <c r="G540" s="121">
        <f>Overview!$B$29</f>
        <v>16</v>
      </c>
      <c r="H540" s="114">
        <f t="shared" si="119"/>
        <v>16</v>
      </c>
      <c r="I540" s="114">
        <f>Overview!$E$29</f>
        <v>0</v>
      </c>
      <c r="J540" s="115">
        <f t="shared" si="120"/>
        <v>0</v>
      </c>
      <c r="K540" s="116">
        <f>Overview!$H$29</f>
        <v>0</v>
      </c>
      <c r="L540" s="117" t="e">
        <f t="shared" si="121"/>
        <v>#DIV/0!</v>
      </c>
      <c r="M540" s="179"/>
      <c r="N540" s="179" t="s">
        <v>3999</v>
      </c>
      <c r="O540" s="141">
        <f t="shared" si="130"/>
        <v>0</v>
      </c>
      <c r="P540" s="181" t="b">
        <f>COUNTIF('Facility Data'!$A$1:$A$1500,"*"&amp;A540&amp;"*")&gt;0</f>
        <v>0</v>
      </c>
      <c r="Q540" s="181" t="b">
        <f>COUNTIF('Account Data'!$A$1:$A$1000,"*"&amp;A540&amp;"*")&gt;0</f>
        <v>0</v>
      </c>
      <c r="R540" s="182" t="b">
        <f t="shared" si="123"/>
        <v>0</v>
      </c>
      <c r="S540" s="182" t="b">
        <f t="shared" si="131"/>
        <v>0</v>
      </c>
      <c r="T540" s="181" t="b">
        <f>COUNTIF('New Items'!$A$1:$A$175,A540)&gt;0</f>
        <v>0</v>
      </c>
      <c r="U540" s="181" t="b">
        <f>COUNTIF(Discontinued!$A$1:$A$150,A540)&gt;0</f>
        <v>0</v>
      </c>
    </row>
    <row r="541" spans="1:21" s="8" customFormat="1" ht="12" thickBot="1" x14ac:dyDescent="0.25">
      <c r="A541" s="152">
        <v>10001597</v>
      </c>
      <c r="B541" s="10" t="s">
        <v>279</v>
      </c>
      <c r="C541" s="12" t="s">
        <v>4019</v>
      </c>
      <c r="D541" s="11" t="s">
        <v>660</v>
      </c>
      <c r="E541" s="118" t="s">
        <v>773</v>
      </c>
      <c r="F541" s="120">
        <v>8</v>
      </c>
      <c r="G541" s="121">
        <f>Overview!$B$29</f>
        <v>16</v>
      </c>
      <c r="H541" s="114">
        <f t="shared" si="119"/>
        <v>16</v>
      </c>
      <c r="I541" s="114">
        <f>Overview!$E$29</f>
        <v>0</v>
      </c>
      <c r="J541" s="115">
        <f t="shared" si="120"/>
        <v>0</v>
      </c>
      <c r="K541" s="116">
        <f>Overview!$H$29</f>
        <v>0</v>
      </c>
      <c r="L541" s="117" t="e">
        <f t="shared" si="121"/>
        <v>#DIV/0!</v>
      </c>
      <c r="M541" s="179"/>
      <c r="N541" s="179" t="s">
        <v>3999</v>
      </c>
      <c r="O541" s="141">
        <f t="shared" si="130"/>
        <v>0</v>
      </c>
      <c r="P541" s="181" t="b">
        <f>COUNTIF('Facility Data'!$A$1:$A$1500,"*"&amp;A541&amp;"*")&gt;0</f>
        <v>1</v>
      </c>
      <c r="Q541" s="181" t="b">
        <f>COUNTIF('Account Data'!$A$1:$A$1000,"*"&amp;A541&amp;"*")&gt;0</f>
        <v>1</v>
      </c>
      <c r="R541" s="182" t="b">
        <f t="shared" si="123"/>
        <v>1</v>
      </c>
      <c r="S541" s="182" t="b">
        <f t="shared" si="131"/>
        <v>1</v>
      </c>
      <c r="T541" s="181" t="b">
        <f>COUNTIF('New Items'!$A$1:$A$175,A541)&gt;0</f>
        <v>0</v>
      </c>
      <c r="U541" s="181" t="b">
        <f>COUNTIF(Discontinued!$A$1:$A$150,A541)&gt;0</f>
        <v>0</v>
      </c>
    </row>
    <row r="542" spans="1:21" s="8" customFormat="1" ht="13.5" thickBot="1" x14ac:dyDescent="0.25">
      <c r="A542" s="300" t="s">
        <v>1062</v>
      </c>
      <c r="B542" s="301"/>
      <c r="C542" s="301"/>
      <c r="D542" s="301"/>
      <c r="E542" s="301"/>
      <c r="F542" s="301"/>
      <c r="G542" s="301"/>
      <c r="H542" s="301"/>
      <c r="I542" s="301"/>
      <c r="J542" s="301"/>
      <c r="K542" s="301"/>
      <c r="L542" s="302"/>
      <c r="M542" s="179" t="s">
        <v>4361</v>
      </c>
      <c r="N542" s="179" t="s">
        <v>1249</v>
      </c>
      <c r="O542" s="141">
        <f>AVERAGE(O543:O549)</f>
        <v>0</v>
      </c>
      <c r="P542" s="181" t="b">
        <f>COUNTIF(P543:P549,TRUE)&gt;0</f>
        <v>0</v>
      </c>
      <c r="Q542" s="181" t="b">
        <f>COUNTIF(Q543:Q549,TRUE)&gt;0</f>
        <v>0</v>
      </c>
      <c r="R542" s="181" t="b">
        <f>COUNTIF(R543:R549,TRUE)&gt;0</f>
        <v>0</v>
      </c>
      <c r="S542" s="181" t="b">
        <f>COUNTIF(S543:S549,TRUE)&gt;0</f>
        <v>0</v>
      </c>
      <c r="T542" s="181" t="b">
        <f>COUNTIF(T543:T549,TRUE)&gt;0</f>
        <v>0</v>
      </c>
      <c r="U542" s="181"/>
    </row>
    <row r="543" spans="1:21" s="8" customFormat="1" ht="11.25" x14ac:dyDescent="0.2">
      <c r="A543" s="160">
        <v>10120952</v>
      </c>
      <c r="B543" s="231" t="s">
        <v>1065</v>
      </c>
      <c r="C543" s="118" t="s">
        <v>1084</v>
      </c>
      <c r="D543" s="119" t="s">
        <v>650</v>
      </c>
      <c r="E543" s="118" t="s">
        <v>773</v>
      </c>
      <c r="F543" s="120">
        <v>8</v>
      </c>
      <c r="G543" s="121">
        <f>Overview!$B$30</f>
        <v>16</v>
      </c>
      <c r="H543" s="114">
        <f t="shared" ref="H543:H549" si="132">G543-I543</f>
        <v>16</v>
      </c>
      <c r="I543" s="114">
        <f>Overview!$E$30</f>
        <v>0</v>
      </c>
      <c r="J543" s="115">
        <f t="shared" ref="J543:J549" si="133">I543/F543</f>
        <v>0</v>
      </c>
      <c r="K543" s="116">
        <f>Overview!$H$30</f>
        <v>0</v>
      </c>
      <c r="L543" s="117" t="e">
        <f t="shared" ref="L543:L549" si="134">(K543-J543)/K543</f>
        <v>#DIV/0!</v>
      </c>
      <c r="M543" s="179" t="s">
        <v>4369</v>
      </c>
      <c r="N543" s="179" t="s">
        <v>1249</v>
      </c>
      <c r="O543" s="141">
        <f t="shared" ref="O543:O549" si="135">I543</f>
        <v>0</v>
      </c>
      <c r="P543" s="181" t="b">
        <f>COUNTIF('Facility Data'!$A$1:$A$1500,"*"&amp;A543&amp;"*")&gt;0</f>
        <v>0</v>
      </c>
      <c r="Q543" s="181" t="b">
        <f>COUNTIF('Account Data'!$A$1:$A$1000,"*"&amp;A543&amp;"*")&gt;0</f>
        <v>0</v>
      </c>
      <c r="R543" s="182" t="b">
        <f t="shared" ref="R543:R549" si="136">IF(OR(P543=TRUE,T543=TRUE),TRUE,FALSE)</f>
        <v>0</v>
      </c>
      <c r="S543" s="182" t="b">
        <f t="shared" si="109"/>
        <v>0</v>
      </c>
      <c r="T543" s="181" t="b">
        <f>COUNTIF('New Items'!$A$1:$A$175,A543)&gt;0</f>
        <v>0</v>
      </c>
      <c r="U543" s="181" t="b">
        <f>COUNTIF(Discontinued!$A$1:$A$150,A543)&gt;0</f>
        <v>0</v>
      </c>
    </row>
    <row r="544" spans="1:21" s="8" customFormat="1" ht="11.25" x14ac:dyDescent="0.2">
      <c r="A544" s="160">
        <v>10120821</v>
      </c>
      <c r="B544" s="231" t="s">
        <v>1066</v>
      </c>
      <c r="C544" s="118" t="s">
        <v>1085</v>
      </c>
      <c r="D544" s="119" t="s">
        <v>634</v>
      </c>
      <c r="E544" s="118" t="s">
        <v>773</v>
      </c>
      <c r="F544" s="120">
        <v>8</v>
      </c>
      <c r="G544" s="121">
        <f>Overview!$B$30</f>
        <v>16</v>
      </c>
      <c r="H544" s="114">
        <f t="shared" si="132"/>
        <v>16</v>
      </c>
      <c r="I544" s="114">
        <f>Overview!$E$30</f>
        <v>0</v>
      </c>
      <c r="J544" s="115">
        <f t="shared" si="133"/>
        <v>0</v>
      </c>
      <c r="K544" s="116">
        <f>Overview!$H$30</f>
        <v>0</v>
      </c>
      <c r="L544" s="117" t="e">
        <f t="shared" si="134"/>
        <v>#DIV/0!</v>
      </c>
      <c r="M544" s="179" t="s">
        <v>4369</v>
      </c>
      <c r="N544" s="179" t="s">
        <v>1249</v>
      </c>
      <c r="O544" s="141">
        <f t="shared" si="135"/>
        <v>0</v>
      </c>
      <c r="P544" s="181" t="b">
        <f>COUNTIF('Facility Data'!$A$1:$A$1500,"*"&amp;A544&amp;"*")&gt;0</f>
        <v>0</v>
      </c>
      <c r="Q544" s="181" t="b">
        <f>COUNTIF('Account Data'!$A$1:$A$1000,"*"&amp;A544&amp;"*")&gt;0</f>
        <v>0</v>
      </c>
      <c r="R544" s="182" t="b">
        <f t="shared" si="136"/>
        <v>0</v>
      </c>
      <c r="S544" s="182" t="b">
        <f t="shared" si="109"/>
        <v>0</v>
      </c>
      <c r="T544" s="181" t="b">
        <f>COUNTIF('New Items'!$A$1:$A$175,A544)&gt;0</f>
        <v>0</v>
      </c>
      <c r="U544" s="181" t="b">
        <f>COUNTIF(Discontinued!$A$1:$A$150,A544)&gt;0</f>
        <v>0</v>
      </c>
    </row>
    <row r="545" spans="1:21" s="8" customFormat="1" ht="11.25" x14ac:dyDescent="0.2">
      <c r="A545" s="160">
        <v>10120822</v>
      </c>
      <c r="B545" s="231" t="s">
        <v>1067</v>
      </c>
      <c r="C545" s="118" t="s">
        <v>1086</v>
      </c>
      <c r="D545" s="119" t="s">
        <v>635</v>
      </c>
      <c r="E545" s="118" t="s">
        <v>773</v>
      </c>
      <c r="F545" s="120">
        <v>8</v>
      </c>
      <c r="G545" s="121">
        <f>Overview!$B$30</f>
        <v>16</v>
      </c>
      <c r="H545" s="114">
        <f t="shared" si="132"/>
        <v>16</v>
      </c>
      <c r="I545" s="114">
        <f>Overview!$E$30</f>
        <v>0</v>
      </c>
      <c r="J545" s="115">
        <f t="shared" si="133"/>
        <v>0</v>
      </c>
      <c r="K545" s="116">
        <f>Overview!$H$30</f>
        <v>0</v>
      </c>
      <c r="L545" s="117" t="e">
        <f t="shared" si="134"/>
        <v>#DIV/0!</v>
      </c>
      <c r="M545" s="179" t="s">
        <v>4369</v>
      </c>
      <c r="N545" s="179" t="s">
        <v>1249</v>
      </c>
      <c r="O545" s="141">
        <f t="shared" si="135"/>
        <v>0</v>
      </c>
      <c r="P545" s="181" t="b">
        <f>COUNTIF('Facility Data'!$A$1:$A$1500,"*"&amp;A545&amp;"*")&gt;0</f>
        <v>0</v>
      </c>
      <c r="Q545" s="181" t="b">
        <f>COUNTIF('Account Data'!$A$1:$A$1000,"*"&amp;A545&amp;"*")&gt;0</f>
        <v>0</v>
      </c>
      <c r="R545" s="182" t="b">
        <f t="shared" si="136"/>
        <v>0</v>
      </c>
      <c r="S545" s="182" t="b">
        <f t="shared" si="109"/>
        <v>0</v>
      </c>
      <c r="T545" s="181" t="b">
        <f>COUNTIF('New Items'!$A$1:$A$175,A545)&gt;0</f>
        <v>0</v>
      </c>
      <c r="U545" s="181" t="b">
        <f>COUNTIF(Discontinued!$A$1:$A$150,A545)&gt;0</f>
        <v>0</v>
      </c>
    </row>
    <row r="546" spans="1:21" s="8" customFormat="1" ht="11.25" x14ac:dyDescent="0.2">
      <c r="A546" s="160">
        <v>10120823</v>
      </c>
      <c r="B546" s="231" t="s">
        <v>1068</v>
      </c>
      <c r="C546" s="118" t="s">
        <v>1087</v>
      </c>
      <c r="D546" s="119" t="s">
        <v>1061</v>
      </c>
      <c r="E546" s="118" t="s">
        <v>773</v>
      </c>
      <c r="F546" s="120">
        <v>8</v>
      </c>
      <c r="G546" s="121">
        <f>Overview!$B$30</f>
        <v>16</v>
      </c>
      <c r="H546" s="114">
        <f>G546-I546</f>
        <v>16</v>
      </c>
      <c r="I546" s="114">
        <f>Overview!$E$30</f>
        <v>0</v>
      </c>
      <c r="J546" s="115">
        <f>I546/F546</f>
        <v>0</v>
      </c>
      <c r="K546" s="116">
        <f>Overview!$H$30</f>
        <v>0</v>
      </c>
      <c r="L546" s="117" t="e">
        <f>(K546-J546)/K546</f>
        <v>#DIV/0!</v>
      </c>
      <c r="M546" s="179" t="s">
        <v>4369</v>
      </c>
      <c r="N546" s="179" t="s">
        <v>1249</v>
      </c>
      <c r="O546" s="141">
        <f>I546</f>
        <v>0</v>
      </c>
      <c r="P546" s="181" t="b">
        <f>COUNTIF('Facility Data'!$A$1:$A$1500,"*"&amp;A546&amp;"*")&gt;0</f>
        <v>0</v>
      </c>
      <c r="Q546" s="181" t="b">
        <f>COUNTIF('Account Data'!$A$1:$A$1000,"*"&amp;A546&amp;"*")&gt;0</f>
        <v>0</v>
      </c>
      <c r="R546" s="182" t="b">
        <f t="shared" si="136"/>
        <v>0</v>
      </c>
      <c r="S546" s="182" t="b">
        <f>IF(OR(Q546=TRUE,T546=TRUE),TRUE,FALSE)</f>
        <v>0</v>
      </c>
      <c r="T546" s="181" t="b">
        <f>COUNTIF('New Items'!$A$1:$A$175,A546)&gt;0</f>
        <v>0</v>
      </c>
      <c r="U546" s="181" t="b">
        <f>COUNTIF(Discontinued!$A$1:$A$150,A546)&gt;0</f>
        <v>0</v>
      </c>
    </row>
    <row r="547" spans="1:21" s="8" customFormat="1" ht="11.25" x14ac:dyDescent="0.2">
      <c r="A547" s="160">
        <v>10128280</v>
      </c>
      <c r="B547" s="231" t="s">
        <v>3784</v>
      </c>
      <c r="C547" s="118" t="s">
        <v>3785</v>
      </c>
      <c r="D547" s="119" t="s">
        <v>1070</v>
      </c>
      <c r="E547" s="118" t="s">
        <v>773</v>
      </c>
      <c r="F547" s="120">
        <v>8</v>
      </c>
      <c r="G547" s="121">
        <f>Overview!$B$30</f>
        <v>16</v>
      </c>
      <c r="H547" s="114">
        <f>G547-I547</f>
        <v>16</v>
      </c>
      <c r="I547" s="114">
        <f>Overview!$E$30</f>
        <v>0</v>
      </c>
      <c r="J547" s="115">
        <f>I547/F547</f>
        <v>0</v>
      </c>
      <c r="K547" s="116">
        <f>Overview!$H$30</f>
        <v>0</v>
      </c>
      <c r="L547" s="117" t="e">
        <f>(K547-J547)/K547</f>
        <v>#DIV/0!</v>
      </c>
      <c r="M547" s="179" t="s">
        <v>4369</v>
      </c>
      <c r="N547" s="179" t="s">
        <v>1249</v>
      </c>
      <c r="O547" s="141">
        <f>I547</f>
        <v>0</v>
      </c>
      <c r="P547" s="181" t="b">
        <f>COUNTIF('Facility Data'!$A$1:$A$1500,"*"&amp;A547&amp;"*")&gt;0</f>
        <v>0</v>
      </c>
      <c r="Q547" s="181" t="b">
        <f>COUNTIF('Account Data'!$A$1:$A$1000,"*"&amp;A547&amp;"*")&gt;0</f>
        <v>0</v>
      </c>
      <c r="R547" s="182" t="b">
        <f t="shared" si="136"/>
        <v>0</v>
      </c>
      <c r="S547" s="182" t="b">
        <f>IF(OR(Q547=TRUE,T547=TRUE),TRUE,FALSE)</f>
        <v>0</v>
      </c>
      <c r="T547" s="181" t="b">
        <f>COUNTIF('New Items'!$A$1:$A$175,A547)&gt;0</f>
        <v>0</v>
      </c>
      <c r="U547" s="181" t="b">
        <f>COUNTIF(Discontinued!$A$1:$A$150,A547)&gt;0</f>
        <v>0</v>
      </c>
    </row>
    <row r="548" spans="1:21" s="8" customFormat="1" ht="11.25" x14ac:dyDescent="0.2">
      <c r="A548" s="160">
        <v>10023921</v>
      </c>
      <c r="B548" s="231" t="s">
        <v>1063</v>
      </c>
      <c r="C548" s="118" t="s">
        <v>1082</v>
      </c>
      <c r="D548" s="119" t="s">
        <v>656</v>
      </c>
      <c r="E548" s="118" t="s">
        <v>773</v>
      </c>
      <c r="F548" s="120">
        <v>8</v>
      </c>
      <c r="G548" s="121">
        <f>Overview!$B$30</f>
        <v>16</v>
      </c>
      <c r="H548" s="114">
        <f>G548-I548</f>
        <v>16</v>
      </c>
      <c r="I548" s="114">
        <f>Overview!$E$30</f>
        <v>0</v>
      </c>
      <c r="J548" s="115">
        <f>I548/F548</f>
        <v>0</v>
      </c>
      <c r="K548" s="116">
        <f>Overview!$H$30</f>
        <v>0</v>
      </c>
      <c r="L548" s="117" t="e">
        <f>(K548-J548)/K548</f>
        <v>#DIV/0!</v>
      </c>
      <c r="M548" s="179"/>
      <c r="N548" s="179" t="s">
        <v>1249</v>
      </c>
      <c r="O548" s="141">
        <f>I548</f>
        <v>0</v>
      </c>
      <c r="P548" s="181" t="b">
        <f>COUNTIF('Facility Data'!$A$1:$A$1500,"*"&amp;A548&amp;"*")&gt;0</f>
        <v>0</v>
      </c>
      <c r="Q548" s="181" t="b">
        <f>COUNTIF('Account Data'!$A$1:$A$1000,"*"&amp;A548&amp;"*")&gt;0</f>
        <v>0</v>
      </c>
      <c r="R548" s="182" t="b">
        <f t="shared" si="136"/>
        <v>0</v>
      </c>
      <c r="S548" s="182" t="b">
        <f>IF(OR(Q548=TRUE,T548=TRUE),TRUE,FALSE)</f>
        <v>0</v>
      </c>
      <c r="T548" s="181" t="b">
        <f>COUNTIF('New Items'!$A$1:$A$175,A548)&gt;0</f>
        <v>0</v>
      </c>
      <c r="U548" s="181" t="b">
        <f>COUNTIF(Discontinued!$A$1:$A$150,A548)&gt;0</f>
        <v>0</v>
      </c>
    </row>
    <row r="549" spans="1:21" s="8" customFormat="1" ht="12" thickBot="1" x14ac:dyDescent="0.25">
      <c r="A549" s="160">
        <v>10120951</v>
      </c>
      <c r="B549" s="231" t="s">
        <v>1064</v>
      </c>
      <c r="C549" s="118" t="s">
        <v>1083</v>
      </c>
      <c r="D549" s="119" t="s">
        <v>660</v>
      </c>
      <c r="E549" s="118" t="s">
        <v>773</v>
      </c>
      <c r="F549" s="120">
        <v>8</v>
      </c>
      <c r="G549" s="121">
        <f>Overview!$B$30</f>
        <v>16</v>
      </c>
      <c r="H549" s="114">
        <f t="shared" si="132"/>
        <v>16</v>
      </c>
      <c r="I549" s="114">
        <f>Overview!$E$30</f>
        <v>0</v>
      </c>
      <c r="J549" s="115">
        <f t="shared" si="133"/>
        <v>0</v>
      </c>
      <c r="K549" s="116">
        <f>Overview!$H$30</f>
        <v>0</v>
      </c>
      <c r="L549" s="117" t="e">
        <f t="shared" si="134"/>
        <v>#DIV/0!</v>
      </c>
      <c r="M549" s="179"/>
      <c r="N549" s="179" t="s">
        <v>1249</v>
      </c>
      <c r="O549" s="141">
        <f t="shared" si="135"/>
        <v>0</v>
      </c>
      <c r="P549" s="181" t="b">
        <f>COUNTIF('Facility Data'!$A$1:$A$1500,"*"&amp;A549&amp;"*")&gt;0</f>
        <v>0</v>
      </c>
      <c r="Q549" s="181" t="b">
        <f>COUNTIF('Account Data'!$A$1:$A$1000,"*"&amp;A549&amp;"*")&gt;0</f>
        <v>0</v>
      </c>
      <c r="R549" s="182" t="b">
        <f t="shared" si="136"/>
        <v>0</v>
      </c>
      <c r="S549" s="182" t="b">
        <f t="shared" si="109"/>
        <v>0</v>
      </c>
      <c r="T549" s="181" t="b">
        <f>COUNTIF('New Items'!$A$1:$A$175,A549)&gt;0</f>
        <v>0</v>
      </c>
      <c r="U549" s="181" t="b">
        <f>COUNTIF(Discontinued!$A$1:$A$150,A549)&gt;0</f>
        <v>0</v>
      </c>
    </row>
    <row r="550" spans="1:21" s="8" customFormat="1" ht="13.5" thickBot="1" x14ac:dyDescent="0.25">
      <c r="A550" s="300" t="s">
        <v>1069</v>
      </c>
      <c r="B550" s="301"/>
      <c r="C550" s="301"/>
      <c r="D550" s="301"/>
      <c r="E550" s="301"/>
      <c r="F550" s="301"/>
      <c r="G550" s="301"/>
      <c r="H550" s="301"/>
      <c r="I550" s="301"/>
      <c r="J550" s="301"/>
      <c r="K550" s="301"/>
      <c r="L550" s="302"/>
      <c r="M550" s="179" t="s">
        <v>4361</v>
      </c>
      <c r="N550" s="179" t="s">
        <v>1250</v>
      </c>
      <c r="O550" s="141">
        <f>AVERAGE(O551:O560)</f>
        <v>0</v>
      </c>
      <c r="P550" s="181" t="b">
        <f>COUNTIF(P551:P560,TRUE)&gt;0</f>
        <v>1</v>
      </c>
      <c r="Q550" s="181" t="b">
        <f>COUNTIF(Q551:Q560,TRUE)&gt;0</f>
        <v>0</v>
      </c>
      <c r="R550" s="181" t="b">
        <f>COUNTIF(R551:R560,TRUE)&gt;0</f>
        <v>1</v>
      </c>
      <c r="S550" s="181" t="b">
        <f>COUNTIF(S551:S560,TRUE)&gt;0</f>
        <v>0</v>
      </c>
      <c r="T550" s="181" t="b">
        <f>COUNTIF(T551:T560,TRUE)&gt;0</f>
        <v>0</v>
      </c>
      <c r="U550" s="181"/>
    </row>
    <row r="551" spans="1:21" s="8" customFormat="1" ht="11.25" x14ac:dyDescent="0.2">
      <c r="A551" s="152">
        <v>10120772</v>
      </c>
      <c r="B551" s="231" t="s">
        <v>1077</v>
      </c>
      <c r="C551" s="118" t="s">
        <v>1094</v>
      </c>
      <c r="D551" s="119" t="s">
        <v>650</v>
      </c>
      <c r="E551" s="118" t="s">
        <v>773</v>
      </c>
      <c r="F551" s="120">
        <v>8</v>
      </c>
      <c r="G551" s="121">
        <f>Overview!$B$31</f>
        <v>16</v>
      </c>
      <c r="H551" s="114">
        <f t="shared" ref="H551:H560" si="137">G551-I551</f>
        <v>16</v>
      </c>
      <c r="I551" s="114">
        <f>Overview!$E$31</f>
        <v>0</v>
      </c>
      <c r="J551" s="115">
        <f t="shared" ref="J551:J560" si="138">I551/F551</f>
        <v>0</v>
      </c>
      <c r="K551" s="116">
        <f>Overview!$H$31</f>
        <v>0</v>
      </c>
      <c r="L551" s="117" t="e">
        <f t="shared" ref="L551:L560" si="139">(K551-J551)/K551</f>
        <v>#DIV/0!</v>
      </c>
      <c r="M551" s="179" t="s">
        <v>4369</v>
      </c>
      <c r="N551" s="179" t="s">
        <v>1250</v>
      </c>
      <c r="O551" s="141">
        <f t="shared" ref="O551:O556" si="140">I551</f>
        <v>0</v>
      </c>
      <c r="P551" s="181" t="b">
        <f>COUNTIF('Facility Data'!$A$1:$A$1500,"*"&amp;A551&amp;"*")&gt;0</f>
        <v>1</v>
      </c>
      <c r="Q551" s="181" t="b">
        <f>COUNTIF('Account Data'!$A$1:$A$1000,"*"&amp;A551&amp;"*")&gt;0</f>
        <v>0</v>
      </c>
      <c r="R551" s="182" t="b">
        <f t="shared" ref="R551:R560" si="141">IF(OR(P551=TRUE,T551=TRUE),TRUE,FALSE)</f>
        <v>1</v>
      </c>
      <c r="S551" s="182" t="b">
        <f>IF(OR(Q551=TRUE,T551=TRUE),TRUE,FALSE)</f>
        <v>0</v>
      </c>
      <c r="T551" s="181" t="b">
        <f>COUNTIF('New Items'!$A$1:$A$175,A551)&gt;0</f>
        <v>0</v>
      </c>
      <c r="U551" s="181" t="b">
        <f>COUNTIF(Discontinued!$A$1:$A$150,A551)&gt;0</f>
        <v>0</v>
      </c>
    </row>
    <row r="552" spans="1:21" s="8" customFormat="1" ht="11.25" x14ac:dyDescent="0.2">
      <c r="A552" s="152">
        <v>10120767</v>
      </c>
      <c r="B552" s="231" t="s">
        <v>1078</v>
      </c>
      <c r="C552" s="118" t="s">
        <v>1095</v>
      </c>
      <c r="D552" s="119" t="s">
        <v>634</v>
      </c>
      <c r="E552" s="118" t="s">
        <v>773</v>
      </c>
      <c r="F552" s="120">
        <v>8</v>
      </c>
      <c r="G552" s="121">
        <f>Overview!$B$31</f>
        <v>16</v>
      </c>
      <c r="H552" s="114">
        <f t="shared" si="137"/>
        <v>16</v>
      </c>
      <c r="I552" s="114">
        <f>Overview!$E$31</f>
        <v>0</v>
      </c>
      <c r="J552" s="115">
        <f t="shared" si="138"/>
        <v>0</v>
      </c>
      <c r="K552" s="116">
        <f>Overview!$H$31</f>
        <v>0</v>
      </c>
      <c r="L552" s="117" t="e">
        <f t="shared" si="139"/>
        <v>#DIV/0!</v>
      </c>
      <c r="M552" s="179" t="s">
        <v>4369</v>
      </c>
      <c r="N552" s="179" t="s">
        <v>1250</v>
      </c>
      <c r="O552" s="141">
        <f t="shared" si="140"/>
        <v>0</v>
      </c>
      <c r="P552" s="181" t="b">
        <f>COUNTIF('Facility Data'!$A$1:$A$1500,"*"&amp;A552&amp;"*")&gt;0</f>
        <v>1</v>
      </c>
      <c r="Q552" s="181" t="b">
        <f>COUNTIF('Account Data'!$A$1:$A$1000,"*"&amp;A552&amp;"*")&gt;0</f>
        <v>0</v>
      </c>
      <c r="R552" s="182" t="b">
        <f t="shared" si="141"/>
        <v>1</v>
      </c>
      <c r="S552" s="182" t="b">
        <f>IF(OR(Q552=TRUE,T552=TRUE),TRUE,FALSE)</f>
        <v>0</v>
      </c>
      <c r="T552" s="181" t="b">
        <f>COUNTIF('New Items'!$A$1:$A$175,A552)&gt;0</f>
        <v>0</v>
      </c>
      <c r="U552" s="181" t="b">
        <f>COUNTIF(Discontinued!$A$1:$A$150,A552)&gt;0</f>
        <v>0</v>
      </c>
    </row>
    <row r="553" spans="1:21" s="8" customFormat="1" ht="11.25" x14ac:dyDescent="0.2">
      <c r="A553" s="152">
        <v>10120770</v>
      </c>
      <c r="B553" s="231" t="s">
        <v>1079</v>
      </c>
      <c r="C553" s="118" t="s">
        <v>1096</v>
      </c>
      <c r="D553" s="119" t="s">
        <v>635</v>
      </c>
      <c r="E553" s="118" t="s">
        <v>773</v>
      </c>
      <c r="F553" s="120">
        <v>8</v>
      </c>
      <c r="G553" s="121">
        <f>Overview!$B$31</f>
        <v>16</v>
      </c>
      <c r="H553" s="114">
        <f t="shared" si="137"/>
        <v>16</v>
      </c>
      <c r="I553" s="114">
        <f>Overview!$E$31</f>
        <v>0</v>
      </c>
      <c r="J553" s="115">
        <f t="shared" si="138"/>
        <v>0</v>
      </c>
      <c r="K553" s="116">
        <f>Overview!$H$31</f>
        <v>0</v>
      </c>
      <c r="L553" s="117" t="e">
        <f t="shared" si="139"/>
        <v>#DIV/0!</v>
      </c>
      <c r="M553" s="179" t="s">
        <v>4369</v>
      </c>
      <c r="N553" s="179" t="s">
        <v>1250</v>
      </c>
      <c r="O553" s="141">
        <f t="shared" si="140"/>
        <v>0</v>
      </c>
      <c r="P553" s="181" t="b">
        <f>COUNTIF('Facility Data'!$A$1:$A$1500,"*"&amp;A553&amp;"*")&gt;0</f>
        <v>1</v>
      </c>
      <c r="Q553" s="181" t="b">
        <f>COUNTIF('Account Data'!$A$1:$A$1000,"*"&amp;A553&amp;"*")&gt;0</f>
        <v>0</v>
      </c>
      <c r="R553" s="182" t="b">
        <f t="shared" si="141"/>
        <v>1</v>
      </c>
      <c r="S553" s="182" t="b">
        <f>IF(OR(Q553=TRUE,T553=TRUE),TRUE,FALSE)</f>
        <v>0</v>
      </c>
      <c r="T553" s="181" t="b">
        <f>COUNTIF('New Items'!$A$1:$A$175,A553)&gt;0</f>
        <v>0</v>
      </c>
      <c r="U553" s="181" t="b">
        <f>COUNTIF(Discontinued!$A$1:$A$150,A553)&gt;0</f>
        <v>0</v>
      </c>
    </row>
    <row r="554" spans="1:21" s="8" customFormat="1" ht="11.25" x14ac:dyDescent="0.2">
      <c r="A554" s="152">
        <v>10120766</v>
      </c>
      <c r="B554" s="231" t="s">
        <v>1080</v>
      </c>
      <c r="C554" s="118" t="s">
        <v>1097</v>
      </c>
      <c r="D554" s="119" t="s">
        <v>1061</v>
      </c>
      <c r="E554" s="118" t="s">
        <v>773</v>
      </c>
      <c r="F554" s="120">
        <v>8</v>
      </c>
      <c r="G554" s="121">
        <f>Overview!$B$31</f>
        <v>16</v>
      </c>
      <c r="H554" s="114">
        <f t="shared" si="137"/>
        <v>16</v>
      </c>
      <c r="I554" s="114">
        <f>Overview!$E$31</f>
        <v>0</v>
      </c>
      <c r="J554" s="115">
        <f t="shared" si="138"/>
        <v>0</v>
      </c>
      <c r="K554" s="116">
        <f>Overview!$H$31</f>
        <v>0</v>
      </c>
      <c r="L554" s="117" t="e">
        <f t="shared" si="139"/>
        <v>#DIV/0!</v>
      </c>
      <c r="M554" s="179" t="s">
        <v>4369</v>
      </c>
      <c r="N554" s="179" t="s">
        <v>1250</v>
      </c>
      <c r="O554" s="141">
        <f t="shared" si="140"/>
        <v>0</v>
      </c>
      <c r="P554" s="181" t="b">
        <f>COUNTIF('Facility Data'!$A$1:$A$1500,"*"&amp;A554&amp;"*")&gt;0</f>
        <v>0</v>
      </c>
      <c r="Q554" s="181" t="b">
        <f>COUNTIF('Account Data'!$A$1:$A$1000,"*"&amp;A554&amp;"*")&gt;0</f>
        <v>0</v>
      </c>
      <c r="R554" s="182" t="b">
        <f t="shared" si="141"/>
        <v>0</v>
      </c>
      <c r="S554" s="182" t="b">
        <f>IF(OR(Q554=TRUE,T554=TRUE),TRUE,FALSE)</f>
        <v>0</v>
      </c>
      <c r="T554" s="181" t="b">
        <f>COUNTIF('New Items'!$A$1:$A$175,A554)&gt;0</f>
        <v>0</v>
      </c>
      <c r="U554" s="181" t="b">
        <f>COUNTIF(Discontinued!$A$1:$A$150,A554)&gt;0</f>
        <v>0</v>
      </c>
    </row>
    <row r="555" spans="1:21" s="8" customFormat="1" ht="11.25" x14ac:dyDescent="0.2">
      <c r="A555" s="152">
        <v>10120769</v>
      </c>
      <c r="B555" s="231" t="s">
        <v>1081</v>
      </c>
      <c r="C555" s="118" t="s">
        <v>1098</v>
      </c>
      <c r="D555" s="119" t="s">
        <v>1070</v>
      </c>
      <c r="E555" s="118" t="s">
        <v>773</v>
      </c>
      <c r="F555" s="120">
        <v>8</v>
      </c>
      <c r="G555" s="121">
        <f>Overview!$B$31</f>
        <v>16</v>
      </c>
      <c r="H555" s="114">
        <f t="shared" si="137"/>
        <v>16</v>
      </c>
      <c r="I555" s="114">
        <f>Overview!$E$31</f>
        <v>0</v>
      </c>
      <c r="J555" s="115">
        <f t="shared" si="138"/>
        <v>0</v>
      </c>
      <c r="K555" s="116">
        <f>Overview!$H$31</f>
        <v>0</v>
      </c>
      <c r="L555" s="117" t="e">
        <f t="shared" si="139"/>
        <v>#DIV/0!</v>
      </c>
      <c r="M555" s="179" t="s">
        <v>4369</v>
      </c>
      <c r="N555" s="179" t="s">
        <v>1250</v>
      </c>
      <c r="O555" s="141">
        <f t="shared" si="140"/>
        <v>0</v>
      </c>
      <c r="P555" s="181" t="b">
        <f>COUNTIF('Facility Data'!$A$1:$A$1500,"*"&amp;A555&amp;"*")&gt;0</f>
        <v>0</v>
      </c>
      <c r="Q555" s="181" t="b">
        <f>COUNTIF('Account Data'!$A$1:$A$1000,"*"&amp;A555&amp;"*")&gt;0</f>
        <v>0</v>
      </c>
      <c r="R555" s="182" t="b">
        <f t="shared" si="141"/>
        <v>0</v>
      </c>
      <c r="S555" s="182" t="b">
        <f>IF(OR(Q555=TRUE,T555=TRUE),TRUE,FALSE)</f>
        <v>0</v>
      </c>
      <c r="T555" s="181" t="b">
        <f>COUNTIF('New Items'!$A$1:$A$175,A555)&gt;0</f>
        <v>0</v>
      </c>
      <c r="U555" s="181" t="b">
        <f>COUNTIF(Discontinued!$A$1:$A$150,A555)&gt;0</f>
        <v>0</v>
      </c>
    </row>
    <row r="556" spans="1:21" s="8" customFormat="1" ht="11.25" x14ac:dyDescent="0.2">
      <c r="A556" s="152">
        <v>10120768</v>
      </c>
      <c r="B556" s="231" t="s">
        <v>1071</v>
      </c>
      <c r="C556" s="118" t="s">
        <v>1088</v>
      </c>
      <c r="D556" s="119" t="s">
        <v>656</v>
      </c>
      <c r="E556" s="118" t="s">
        <v>773</v>
      </c>
      <c r="F556" s="120">
        <v>8</v>
      </c>
      <c r="G556" s="121">
        <f>Overview!$B$31</f>
        <v>16</v>
      </c>
      <c r="H556" s="114">
        <f t="shared" si="137"/>
        <v>16</v>
      </c>
      <c r="I556" s="114">
        <f>Overview!$E$31</f>
        <v>0</v>
      </c>
      <c r="J556" s="115">
        <f t="shared" si="138"/>
        <v>0</v>
      </c>
      <c r="K556" s="116">
        <f>Overview!$H$31</f>
        <v>0</v>
      </c>
      <c r="L556" s="117" t="e">
        <f t="shared" si="139"/>
        <v>#DIV/0!</v>
      </c>
      <c r="M556" s="179" t="s">
        <v>952</v>
      </c>
      <c r="N556" s="179" t="s">
        <v>1250</v>
      </c>
      <c r="O556" s="141">
        <f t="shared" si="140"/>
        <v>0</v>
      </c>
      <c r="P556" s="181" t="b">
        <f>COUNTIF('Facility Data'!$A$1:$A$1500,"*"&amp;A556&amp;"*")&gt;0</f>
        <v>1</v>
      </c>
      <c r="Q556" s="181" t="b">
        <f>COUNTIF('Account Data'!$A$1:$A$1000,"*"&amp;A556&amp;"*")&gt;0</f>
        <v>0</v>
      </c>
      <c r="R556" s="182" t="b">
        <f t="shared" si="141"/>
        <v>1</v>
      </c>
      <c r="S556" s="182" t="b">
        <f t="shared" si="109"/>
        <v>0</v>
      </c>
      <c r="T556" s="181" t="b">
        <f>COUNTIF('New Items'!$A$1:$A$175,A556)&gt;0</f>
        <v>0</v>
      </c>
      <c r="U556" s="181" t="b">
        <f>COUNTIF(Discontinued!$A$1:$A$150,A556)&gt;0</f>
        <v>0</v>
      </c>
    </row>
    <row r="557" spans="1:21" s="8" customFormat="1" ht="11.25" x14ac:dyDescent="0.2">
      <c r="A557" s="152">
        <v>10121412</v>
      </c>
      <c r="B557" s="231" t="s">
        <v>1073</v>
      </c>
      <c r="C557" s="118" t="s">
        <v>1090</v>
      </c>
      <c r="D557" s="119" t="s">
        <v>640</v>
      </c>
      <c r="E557" s="118" t="s">
        <v>773</v>
      </c>
      <c r="F557" s="120">
        <v>8</v>
      </c>
      <c r="G557" s="121">
        <f>Overview!$B$31</f>
        <v>16</v>
      </c>
      <c r="H557" s="114">
        <f t="shared" si="137"/>
        <v>16</v>
      </c>
      <c r="I557" s="114">
        <f>Overview!$E$31</f>
        <v>0</v>
      </c>
      <c r="J557" s="115">
        <f t="shared" si="138"/>
        <v>0</v>
      </c>
      <c r="K557" s="116">
        <f>Overview!$H$31</f>
        <v>0</v>
      </c>
      <c r="L557" s="117" t="e">
        <f t="shared" si="139"/>
        <v>#DIV/0!</v>
      </c>
      <c r="M557" s="179"/>
      <c r="N557" s="179" t="s">
        <v>1250</v>
      </c>
      <c r="O557" s="141">
        <f>I557</f>
        <v>0</v>
      </c>
      <c r="P557" s="181" t="b">
        <f>COUNTIF('Facility Data'!$A$1:$A$1500,"*"&amp;A557&amp;"*")&gt;0</f>
        <v>0</v>
      </c>
      <c r="Q557" s="181" t="b">
        <f>COUNTIF('Account Data'!$A$1:$A$1000,"*"&amp;A557&amp;"*")&gt;0</f>
        <v>0</v>
      </c>
      <c r="R557" s="182" t="b">
        <f t="shared" si="141"/>
        <v>0</v>
      </c>
      <c r="S557" s="182" t="b">
        <f>IF(OR(Q557=TRUE,T557=TRUE),TRUE,FALSE)</f>
        <v>0</v>
      </c>
      <c r="T557" s="181" t="b">
        <f>COUNTIF('New Items'!$A$1:$A$175,A557)&gt;0</f>
        <v>0</v>
      </c>
      <c r="U557" s="181" t="b">
        <f>COUNTIF(Discontinued!$A$1:$A$150,A557)&gt;0</f>
        <v>0</v>
      </c>
    </row>
    <row r="558" spans="1:21" s="8" customFormat="1" ht="11.25" x14ac:dyDescent="0.2">
      <c r="A558" s="152">
        <v>10120771</v>
      </c>
      <c r="B558" s="231" t="s">
        <v>1074</v>
      </c>
      <c r="C558" s="118" t="s">
        <v>1091</v>
      </c>
      <c r="D558" s="119" t="s">
        <v>639</v>
      </c>
      <c r="E558" s="118" t="s">
        <v>773</v>
      </c>
      <c r="F558" s="120">
        <v>8</v>
      </c>
      <c r="G558" s="121">
        <f>Overview!$B$31</f>
        <v>16</v>
      </c>
      <c r="H558" s="114">
        <f t="shared" si="137"/>
        <v>16</v>
      </c>
      <c r="I558" s="114">
        <f>Overview!$E$31</f>
        <v>0</v>
      </c>
      <c r="J558" s="115">
        <f t="shared" si="138"/>
        <v>0</v>
      </c>
      <c r="K558" s="116">
        <f>Overview!$H$31</f>
        <v>0</v>
      </c>
      <c r="L558" s="117" t="e">
        <f t="shared" si="139"/>
        <v>#DIV/0!</v>
      </c>
      <c r="M558" s="179" t="s">
        <v>930</v>
      </c>
      <c r="N558" s="179" t="s">
        <v>1250</v>
      </c>
      <c r="O558" s="141">
        <f>I558</f>
        <v>0</v>
      </c>
      <c r="P558" s="181" t="b">
        <f>COUNTIF('Facility Data'!$A$1:$A$1500,"*"&amp;A558&amp;"*")&gt;0</f>
        <v>0</v>
      </c>
      <c r="Q558" s="181" t="b">
        <f>COUNTIF('Account Data'!$A$1:$A$1000,"*"&amp;A558&amp;"*")&gt;0</f>
        <v>0</v>
      </c>
      <c r="R558" s="182" t="b">
        <f t="shared" si="141"/>
        <v>0</v>
      </c>
      <c r="S558" s="182" t="b">
        <f>IF(OR(Q558=TRUE,T558=TRUE),TRUE,FALSE)</f>
        <v>0</v>
      </c>
      <c r="T558" s="181" t="b">
        <f>COUNTIF('New Items'!$A$1:$A$175,A558)&gt;0</f>
        <v>0</v>
      </c>
      <c r="U558" s="181" t="b">
        <f>COUNTIF(Discontinued!$A$1:$A$150,A558)&gt;0</f>
        <v>0</v>
      </c>
    </row>
    <row r="559" spans="1:21" s="8" customFormat="1" ht="11.25" x14ac:dyDescent="0.2">
      <c r="A559" s="152">
        <v>10120765</v>
      </c>
      <c r="B559" s="231" t="s">
        <v>1075</v>
      </c>
      <c r="C559" s="118" t="s">
        <v>1092</v>
      </c>
      <c r="D559" s="119" t="s">
        <v>659</v>
      </c>
      <c r="E559" s="118" t="s">
        <v>773</v>
      </c>
      <c r="F559" s="120">
        <v>8</v>
      </c>
      <c r="G559" s="121">
        <f>Overview!$B$31</f>
        <v>16</v>
      </c>
      <c r="H559" s="114">
        <f t="shared" si="137"/>
        <v>16</v>
      </c>
      <c r="I559" s="114">
        <f>Overview!$E$31</f>
        <v>0</v>
      </c>
      <c r="J559" s="115">
        <f t="shared" si="138"/>
        <v>0</v>
      </c>
      <c r="K559" s="116">
        <f>Overview!$H$31</f>
        <v>0</v>
      </c>
      <c r="L559" s="117" t="e">
        <f t="shared" si="139"/>
        <v>#DIV/0!</v>
      </c>
      <c r="M559" s="179"/>
      <c r="N559" s="179" t="s">
        <v>1250</v>
      </c>
      <c r="O559" s="141">
        <f>I559</f>
        <v>0</v>
      </c>
      <c r="P559" s="181" t="b">
        <f>COUNTIF('Facility Data'!$A$1:$A$1500,"*"&amp;A559&amp;"*")&gt;0</f>
        <v>0</v>
      </c>
      <c r="Q559" s="181" t="b">
        <f>COUNTIF('Account Data'!$A$1:$A$1000,"*"&amp;A559&amp;"*")&gt;0</f>
        <v>0</v>
      </c>
      <c r="R559" s="182" t="b">
        <f t="shared" si="141"/>
        <v>0</v>
      </c>
      <c r="S559" s="182" t="b">
        <f>IF(OR(Q559=TRUE,T559=TRUE),TRUE,FALSE)</f>
        <v>0</v>
      </c>
      <c r="T559" s="181" t="b">
        <f>COUNTIF('New Items'!$A$1:$A$175,A559)&gt;0</f>
        <v>0</v>
      </c>
      <c r="U559" s="181" t="b">
        <f>COUNTIF(Discontinued!$A$1:$A$150,A559)&gt;0</f>
        <v>0</v>
      </c>
    </row>
    <row r="560" spans="1:21" s="8" customFormat="1" ht="12" thickBot="1" x14ac:dyDescent="0.25">
      <c r="A560" s="152">
        <v>10120764</v>
      </c>
      <c r="B560" s="231" t="s">
        <v>1076</v>
      </c>
      <c r="C560" s="118" t="s">
        <v>1093</v>
      </c>
      <c r="D560" s="119" t="s">
        <v>660</v>
      </c>
      <c r="E560" s="118" t="s">
        <v>773</v>
      </c>
      <c r="F560" s="120">
        <v>8</v>
      </c>
      <c r="G560" s="121">
        <f>Overview!$B$31</f>
        <v>16</v>
      </c>
      <c r="H560" s="114">
        <f t="shared" si="137"/>
        <v>16</v>
      </c>
      <c r="I560" s="114">
        <f>Overview!$E$31</f>
        <v>0</v>
      </c>
      <c r="J560" s="115">
        <f t="shared" si="138"/>
        <v>0</v>
      </c>
      <c r="K560" s="116">
        <f>Overview!$H$31</f>
        <v>0</v>
      </c>
      <c r="L560" s="117" t="e">
        <f t="shared" si="139"/>
        <v>#DIV/0!</v>
      </c>
      <c r="M560" s="179"/>
      <c r="N560" s="179" t="s">
        <v>1250</v>
      </c>
      <c r="O560" s="141">
        <f>I560</f>
        <v>0</v>
      </c>
      <c r="P560" s="181" t="b">
        <f>COUNTIF('Facility Data'!$A$1:$A$1500,"*"&amp;A560&amp;"*")&gt;0</f>
        <v>1</v>
      </c>
      <c r="Q560" s="181" t="b">
        <f>COUNTIF('Account Data'!$A$1:$A$1000,"*"&amp;A560&amp;"*")&gt;0</f>
        <v>0</v>
      </c>
      <c r="R560" s="182" t="b">
        <f t="shared" si="141"/>
        <v>1</v>
      </c>
      <c r="S560" s="182" t="b">
        <f>IF(OR(Q560=TRUE,T560=TRUE),TRUE,FALSE)</f>
        <v>0</v>
      </c>
      <c r="T560" s="181" t="b">
        <f>COUNTIF('New Items'!$A$1:$A$175,A560)&gt;0</f>
        <v>0</v>
      </c>
      <c r="U560" s="181" t="b">
        <f>COUNTIF(Discontinued!$A$1:$A$150,A560)&gt;0</f>
        <v>0</v>
      </c>
    </row>
    <row r="561" spans="1:21" s="8" customFormat="1" ht="13.5" thickBot="1" x14ac:dyDescent="0.25">
      <c r="A561" s="300" t="s">
        <v>2934</v>
      </c>
      <c r="B561" s="301"/>
      <c r="C561" s="301"/>
      <c r="D561" s="301"/>
      <c r="E561" s="301"/>
      <c r="F561" s="301"/>
      <c r="G561" s="301"/>
      <c r="H561" s="301"/>
      <c r="I561" s="301"/>
      <c r="J561" s="301"/>
      <c r="K561" s="301"/>
      <c r="L561" s="302"/>
      <c r="M561" s="179" t="s">
        <v>4361</v>
      </c>
      <c r="N561" s="179" t="s">
        <v>3125</v>
      </c>
      <c r="O561" s="141">
        <f>AVERAGE(O562:O566)</f>
        <v>0</v>
      </c>
      <c r="P561" s="181" t="b">
        <f>COUNTIF(P562:P566,TRUE)&gt;0</f>
        <v>0</v>
      </c>
      <c r="Q561" s="181" t="b">
        <f>COUNTIF(Q562:Q566,TRUE)&gt;0</f>
        <v>0</v>
      </c>
      <c r="R561" s="181" t="b">
        <f>COUNTIF(R562:R566,TRUE)&gt;0</f>
        <v>0</v>
      </c>
      <c r="S561" s="181" t="b">
        <f>COUNTIF(S562:S566,TRUE)&gt;0</f>
        <v>0</v>
      </c>
      <c r="T561" s="181" t="b">
        <f>COUNTIF(T562:T566,TRUE)&gt;0</f>
        <v>0</v>
      </c>
      <c r="U561" s="181"/>
    </row>
    <row r="562" spans="1:21" s="8" customFormat="1" ht="11.25" x14ac:dyDescent="0.2">
      <c r="A562" s="152">
        <v>20006833</v>
      </c>
      <c r="B562" s="10" t="s">
        <v>2843</v>
      </c>
      <c r="C562" s="12" t="s">
        <v>2844</v>
      </c>
      <c r="D562" s="11" t="s">
        <v>1691</v>
      </c>
      <c r="E562" s="12" t="s">
        <v>773</v>
      </c>
      <c r="F562" s="13">
        <v>6</v>
      </c>
      <c r="G562" s="22">
        <f>Overview!$B$32</f>
        <v>8.5</v>
      </c>
      <c r="H562" s="114">
        <f>G562-I562</f>
        <v>8.5</v>
      </c>
      <c r="I562" s="114">
        <f>Overview!$E$32</f>
        <v>0</v>
      </c>
      <c r="J562" s="115">
        <f>I562/F562</f>
        <v>0</v>
      </c>
      <c r="K562" s="116">
        <f>Overview!$H$32</f>
        <v>0</v>
      </c>
      <c r="L562" s="117" t="e">
        <f>(K562-J562)/K562</f>
        <v>#DIV/0!</v>
      </c>
      <c r="M562" s="179" t="s">
        <v>4149</v>
      </c>
      <c r="N562" s="179" t="s">
        <v>3125</v>
      </c>
      <c r="O562" s="141">
        <f>I562</f>
        <v>0</v>
      </c>
      <c r="P562" s="181" t="b">
        <f>COUNTIF('Facility Data'!$A$1:$A$1500,"*"&amp;A562&amp;"*")&gt;0</f>
        <v>0</v>
      </c>
      <c r="Q562" s="181" t="b">
        <f>COUNTIF('Account Data'!$A$1:$A$1000,"*"&amp;A562&amp;"*")&gt;0</f>
        <v>0</v>
      </c>
      <c r="R562" s="182" t="b">
        <f>IF(OR(P562=TRUE,T562=TRUE),TRUE,FALSE)</f>
        <v>0</v>
      </c>
      <c r="S562" s="182" t="b">
        <f>IF(OR(Q562=TRUE,T562=TRUE),TRUE,FALSE)</f>
        <v>0</v>
      </c>
      <c r="T562" s="181" t="b">
        <f>COUNTIF('New Items'!$A$1:$A$175,A562)&gt;0</f>
        <v>0</v>
      </c>
      <c r="U562" s="181" t="b">
        <f>COUNTIF(Discontinued!$A$1:$A$150,A562)&gt;0</f>
        <v>0</v>
      </c>
    </row>
    <row r="563" spans="1:21" s="8" customFormat="1" ht="11.25" x14ac:dyDescent="0.2">
      <c r="A563" s="152">
        <v>20006834</v>
      </c>
      <c r="B563" s="10" t="s">
        <v>2845</v>
      </c>
      <c r="C563" s="12" t="s">
        <v>2846</v>
      </c>
      <c r="D563" s="11" t="s">
        <v>1692</v>
      </c>
      <c r="E563" s="12" t="s">
        <v>773</v>
      </c>
      <c r="F563" s="13">
        <v>6</v>
      </c>
      <c r="G563" s="22">
        <f>Overview!$B$32</f>
        <v>8.5</v>
      </c>
      <c r="H563" s="114">
        <f>G563-I563</f>
        <v>8.5</v>
      </c>
      <c r="I563" s="114">
        <f>Overview!$E$32</f>
        <v>0</v>
      </c>
      <c r="J563" s="115">
        <f>I563/F563</f>
        <v>0</v>
      </c>
      <c r="K563" s="116">
        <f>Overview!$H$32</f>
        <v>0</v>
      </c>
      <c r="L563" s="117" t="e">
        <f>(K563-J563)/K563</f>
        <v>#DIV/0!</v>
      </c>
      <c r="M563" s="179" t="s">
        <v>4149</v>
      </c>
      <c r="N563" s="179" t="s">
        <v>3125</v>
      </c>
      <c r="O563" s="141">
        <f>I563</f>
        <v>0</v>
      </c>
      <c r="P563" s="181" t="b">
        <f>COUNTIF('Facility Data'!$A$1:$A$1500,"*"&amp;A563&amp;"*")&gt;0</f>
        <v>0</v>
      </c>
      <c r="Q563" s="181" t="b">
        <f>COUNTIF('Account Data'!$A$1:$A$1000,"*"&amp;A563&amp;"*")&gt;0</f>
        <v>0</v>
      </c>
      <c r="R563" s="182" t="b">
        <f>IF(OR(P563=TRUE,T563=TRUE),TRUE,FALSE)</f>
        <v>0</v>
      </c>
      <c r="S563" s="182" t="b">
        <f>IF(OR(Q563=TRUE,T563=TRUE),TRUE,FALSE)</f>
        <v>0</v>
      </c>
      <c r="T563" s="181" t="b">
        <f>COUNTIF('New Items'!$A$1:$A$175,A563)&gt;0</f>
        <v>0</v>
      </c>
      <c r="U563" s="181" t="b">
        <f>COUNTIF(Discontinued!$A$1:$A$150,A563)&gt;0</f>
        <v>0</v>
      </c>
    </row>
    <row r="564" spans="1:21" s="8" customFormat="1" ht="11.25" x14ac:dyDescent="0.2">
      <c r="A564" s="152">
        <v>20006835</v>
      </c>
      <c r="B564" s="10" t="s">
        <v>2851</v>
      </c>
      <c r="C564" s="12" t="s">
        <v>2852</v>
      </c>
      <c r="D564" s="11" t="s">
        <v>2858</v>
      </c>
      <c r="E564" s="12" t="s">
        <v>773</v>
      </c>
      <c r="F564" s="13">
        <v>6</v>
      </c>
      <c r="G564" s="22">
        <f>Overview!$B$32</f>
        <v>8.5</v>
      </c>
      <c r="H564" s="114">
        <f>G564-I564</f>
        <v>8.5</v>
      </c>
      <c r="I564" s="114">
        <f>Overview!$E$32</f>
        <v>0</v>
      </c>
      <c r="J564" s="115">
        <f>I564/F564</f>
        <v>0</v>
      </c>
      <c r="K564" s="116">
        <f>Overview!$H$32</f>
        <v>0</v>
      </c>
      <c r="L564" s="117" t="e">
        <f>(K564-J564)/K564</f>
        <v>#DIV/0!</v>
      </c>
      <c r="M564" s="179" t="s">
        <v>4149</v>
      </c>
      <c r="N564" s="179" t="s">
        <v>3125</v>
      </c>
      <c r="O564" s="141">
        <f>I564</f>
        <v>0</v>
      </c>
      <c r="P564" s="181" t="b">
        <f>COUNTIF('Facility Data'!$A$1:$A$1500,"*"&amp;A564&amp;"*")&gt;0</f>
        <v>0</v>
      </c>
      <c r="Q564" s="181" t="b">
        <f>COUNTIF('Account Data'!$A$1:$A$1000,"*"&amp;A564&amp;"*")&gt;0</f>
        <v>0</v>
      </c>
      <c r="R564" s="182" t="b">
        <f>IF(OR(P564=TRUE,T564=TRUE),TRUE,FALSE)</f>
        <v>0</v>
      </c>
      <c r="S564" s="182" t="b">
        <f>IF(OR(Q564=TRUE,T564=TRUE),TRUE,FALSE)</f>
        <v>0</v>
      </c>
      <c r="T564" s="181" t="b">
        <f>COUNTIF('New Items'!$A$1:$A$175,A564)&gt;0</f>
        <v>0</v>
      </c>
      <c r="U564" s="181" t="b">
        <f>COUNTIF(Discontinued!$A$1:$A$150,A564)&gt;0</f>
        <v>0</v>
      </c>
    </row>
    <row r="565" spans="1:21" s="8" customFormat="1" ht="11.25" x14ac:dyDescent="0.2">
      <c r="A565" s="152">
        <v>20006831</v>
      </c>
      <c r="B565" s="10" t="s">
        <v>2847</v>
      </c>
      <c r="C565" s="12" t="s">
        <v>2848</v>
      </c>
      <c r="D565" s="11" t="s">
        <v>1693</v>
      </c>
      <c r="E565" s="12" t="s">
        <v>773</v>
      </c>
      <c r="F565" s="13">
        <v>6</v>
      </c>
      <c r="G565" s="22">
        <f>Overview!$B$32</f>
        <v>8.5</v>
      </c>
      <c r="H565" s="114">
        <f>G565-I565</f>
        <v>8.5</v>
      </c>
      <c r="I565" s="114">
        <f>Overview!$E$32</f>
        <v>0</v>
      </c>
      <c r="J565" s="115">
        <f>I565/F565</f>
        <v>0</v>
      </c>
      <c r="K565" s="116">
        <f>Overview!$H$32</f>
        <v>0</v>
      </c>
      <c r="L565" s="117" t="e">
        <f>(K565-J565)/K565</f>
        <v>#DIV/0!</v>
      </c>
      <c r="M565" s="179" t="s">
        <v>4149</v>
      </c>
      <c r="N565" s="179" t="s">
        <v>3125</v>
      </c>
      <c r="O565" s="141">
        <f>I565</f>
        <v>0</v>
      </c>
      <c r="P565" s="181" t="b">
        <f>COUNTIF('Facility Data'!$A$1:$A$1500,"*"&amp;A565&amp;"*")&gt;0</f>
        <v>0</v>
      </c>
      <c r="Q565" s="181" t="b">
        <f>COUNTIF('Account Data'!$A$1:$A$1000,"*"&amp;A565&amp;"*")&gt;0</f>
        <v>0</v>
      </c>
      <c r="R565" s="182" t="b">
        <f>IF(OR(P565=TRUE,T565=TRUE),TRUE,FALSE)</f>
        <v>0</v>
      </c>
      <c r="S565" s="182" t="b">
        <f>IF(OR(Q565=TRUE,T565=TRUE),TRUE,FALSE)</f>
        <v>0</v>
      </c>
      <c r="T565" s="181" t="b">
        <f>COUNTIF('New Items'!$A$1:$A$175,A565)&gt;0</f>
        <v>0</v>
      </c>
      <c r="U565" s="181" t="b">
        <f>COUNTIF(Discontinued!$A$1:$A$150,A565)&gt;0</f>
        <v>0</v>
      </c>
    </row>
    <row r="566" spans="1:21" s="8" customFormat="1" ht="12" thickBot="1" x14ac:dyDescent="0.25">
      <c r="A566" s="152">
        <v>20006832</v>
      </c>
      <c r="B566" s="10" t="s">
        <v>2849</v>
      </c>
      <c r="C566" s="12" t="s">
        <v>2850</v>
      </c>
      <c r="D566" s="11" t="s">
        <v>1694</v>
      </c>
      <c r="E566" s="12" t="s">
        <v>773</v>
      </c>
      <c r="F566" s="13">
        <v>6</v>
      </c>
      <c r="G566" s="22">
        <f>Overview!$B$32</f>
        <v>8.5</v>
      </c>
      <c r="H566" s="114">
        <f>G566-I566</f>
        <v>8.5</v>
      </c>
      <c r="I566" s="114">
        <f>Overview!$E$32</f>
        <v>0</v>
      </c>
      <c r="J566" s="115">
        <f>I566/F566</f>
        <v>0</v>
      </c>
      <c r="K566" s="116">
        <f>Overview!$H$32</f>
        <v>0</v>
      </c>
      <c r="L566" s="117" t="e">
        <f>(K566-J566)/K566</f>
        <v>#DIV/0!</v>
      </c>
      <c r="M566" s="179" t="s">
        <v>4149</v>
      </c>
      <c r="N566" s="179" t="s">
        <v>3125</v>
      </c>
      <c r="O566" s="141">
        <f>I566</f>
        <v>0</v>
      </c>
      <c r="P566" s="181" t="b">
        <f>COUNTIF('Facility Data'!$A$1:$A$1500,"*"&amp;A566&amp;"*")&gt;0</f>
        <v>0</v>
      </c>
      <c r="Q566" s="181" t="b">
        <f>COUNTIF('Account Data'!$A$1:$A$1000,"*"&amp;A566&amp;"*")&gt;0</f>
        <v>0</v>
      </c>
      <c r="R566" s="182" t="b">
        <f>IF(OR(P566=TRUE,T566=TRUE),TRUE,FALSE)</f>
        <v>0</v>
      </c>
      <c r="S566" s="182" t="b">
        <f>IF(OR(Q566=TRUE,T566=TRUE),TRUE,FALSE)</f>
        <v>0</v>
      </c>
      <c r="T566" s="181" t="b">
        <f>COUNTIF('New Items'!$A$1:$A$175,A566)&gt;0</f>
        <v>0</v>
      </c>
      <c r="U566" s="181" t="b">
        <f>COUNTIF(Discontinued!$A$1:$A$150,A566)&gt;0</f>
        <v>0</v>
      </c>
    </row>
    <row r="567" spans="1:21" s="8" customFormat="1" ht="13.5" thickBot="1" x14ac:dyDescent="0.25">
      <c r="A567" s="300" t="s">
        <v>3020</v>
      </c>
      <c r="B567" s="301"/>
      <c r="C567" s="301"/>
      <c r="D567" s="301"/>
      <c r="E567" s="301"/>
      <c r="F567" s="301"/>
      <c r="G567" s="301"/>
      <c r="H567" s="301"/>
      <c r="I567" s="301"/>
      <c r="J567" s="301"/>
      <c r="K567" s="301"/>
      <c r="L567" s="302"/>
      <c r="M567" s="179" t="s">
        <v>4361</v>
      </c>
      <c r="N567" s="179" t="s">
        <v>3134</v>
      </c>
      <c r="O567" s="141">
        <f>AVERAGE(O568)</f>
        <v>0</v>
      </c>
      <c r="P567" s="181" t="b">
        <f t="shared" ref="P567:U567" si="142">COUNTIF(P568:P568,TRUE)&gt;0</f>
        <v>0</v>
      </c>
      <c r="Q567" s="181" t="b">
        <f t="shared" si="142"/>
        <v>0</v>
      </c>
      <c r="R567" s="181" t="b">
        <f t="shared" si="142"/>
        <v>0</v>
      </c>
      <c r="S567" s="181" t="b">
        <f t="shared" si="142"/>
        <v>0</v>
      </c>
      <c r="T567" s="181" t="b">
        <f t="shared" si="142"/>
        <v>0</v>
      </c>
      <c r="U567" s="181" t="b">
        <f t="shared" si="142"/>
        <v>0</v>
      </c>
    </row>
    <row r="568" spans="1:21" s="8" customFormat="1" ht="12" thickBot="1" x14ac:dyDescent="0.25">
      <c r="A568" s="152">
        <v>10030587</v>
      </c>
      <c r="B568" s="10" t="s">
        <v>3021</v>
      </c>
      <c r="C568" s="12" t="s">
        <v>3022</v>
      </c>
      <c r="D568" s="11" t="s">
        <v>3011</v>
      </c>
      <c r="E568" s="12" t="s">
        <v>786</v>
      </c>
      <c r="F568" s="13">
        <v>4</v>
      </c>
      <c r="G568" s="98">
        <f>Overview!$B$33</f>
        <v>25</v>
      </c>
      <c r="H568" s="99">
        <f>G568-I568</f>
        <v>25</v>
      </c>
      <c r="I568" s="99">
        <f>Overview!$E$33</f>
        <v>0</v>
      </c>
      <c r="J568" s="100">
        <f>I568/F568</f>
        <v>0</v>
      </c>
      <c r="K568" s="101">
        <f>Overview!$H$33</f>
        <v>0</v>
      </c>
      <c r="L568" s="102" t="e">
        <f>(K568-J568)/K568</f>
        <v>#DIV/0!</v>
      </c>
      <c r="M568" s="179" t="s">
        <v>951</v>
      </c>
      <c r="N568" s="179" t="s">
        <v>3134</v>
      </c>
      <c r="O568" s="141">
        <f>I568</f>
        <v>0</v>
      </c>
      <c r="P568" s="181" t="b">
        <f>COUNTIF('Facility Data'!$A$1:$A$1500,"*"&amp;A568&amp;"*")&gt;0</f>
        <v>0</v>
      </c>
      <c r="Q568" s="181" t="b">
        <f>COUNTIF('Account Data'!$A$1:$A$1000,"*"&amp;A568&amp;"*")&gt;0</f>
        <v>0</v>
      </c>
      <c r="R568" s="182" t="b">
        <f>IF(OR(P568=TRUE,T568=TRUE),TRUE,FALSE)</f>
        <v>0</v>
      </c>
      <c r="S568" s="182" t="b">
        <f>IF(OR(Q568=TRUE,T568=TRUE),TRUE,FALSE)</f>
        <v>0</v>
      </c>
      <c r="T568" s="181" t="b">
        <f>COUNTIF('New Items'!$A$1:$A$175,A568)&gt;0</f>
        <v>0</v>
      </c>
      <c r="U568" s="181" t="b">
        <f>COUNTIF(Discontinued!$A$1:$A$150,A568)&gt;0</f>
        <v>0</v>
      </c>
    </row>
    <row r="569" spans="1:21" s="8" customFormat="1" ht="13.5" thickBot="1" x14ac:dyDescent="0.25">
      <c r="A569" s="300" t="s">
        <v>333</v>
      </c>
      <c r="B569" s="301"/>
      <c r="C569" s="301"/>
      <c r="D569" s="301"/>
      <c r="E569" s="301"/>
      <c r="F569" s="301"/>
      <c r="G569" s="301"/>
      <c r="H569" s="301"/>
      <c r="I569" s="301"/>
      <c r="J569" s="301"/>
      <c r="K569" s="301"/>
      <c r="L569" s="302"/>
      <c r="M569" s="179" t="s">
        <v>4361</v>
      </c>
      <c r="N569" s="179" t="s">
        <v>3126</v>
      </c>
      <c r="O569" s="141">
        <f>AVERAGE(O570:O571)</f>
        <v>0</v>
      </c>
      <c r="P569" s="181" t="b">
        <f>COUNTIF(P570:P571,TRUE)&gt;0</f>
        <v>1</v>
      </c>
      <c r="Q569" s="181" t="b">
        <f>COUNTIF(Q570:Q571,TRUE)&gt;0</f>
        <v>1</v>
      </c>
      <c r="R569" s="181" t="b">
        <f>COUNTIF(R570:R571,TRUE)&gt;0</f>
        <v>1</v>
      </c>
      <c r="S569" s="181" t="b">
        <f>COUNTIF(S570:S571,TRUE)&gt;0</f>
        <v>1</v>
      </c>
      <c r="T569" s="181" t="b">
        <f>COUNTIF(T570:T571,TRUE)&gt;0</f>
        <v>0</v>
      </c>
      <c r="U569" s="181"/>
    </row>
    <row r="570" spans="1:21" s="8" customFormat="1" ht="11.25" x14ac:dyDescent="0.2">
      <c r="A570" s="154">
        <v>20026451</v>
      </c>
      <c r="B570" s="10" t="s">
        <v>3279</v>
      </c>
      <c r="C570" s="12" t="s">
        <v>334</v>
      </c>
      <c r="D570" s="11" t="s">
        <v>643</v>
      </c>
      <c r="E570" s="12" t="s">
        <v>775</v>
      </c>
      <c r="F570" s="13">
        <v>12</v>
      </c>
      <c r="G570" s="22">
        <f>Overview!$B$34</f>
        <v>13</v>
      </c>
      <c r="H570" s="114">
        <f>G570-I570</f>
        <v>13</v>
      </c>
      <c r="I570" s="114">
        <f>Overview!$E$34</f>
        <v>0</v>
      </c>
      <c r="J570" s="115">
        <f>I570/F570</f>
        <v>0</v>
      </c>
      <c r="K570" s="116">
        <f>Overview!$H$34</f>
        <v>0</v>
      </c>
      <c r="L570" s="117" t="e">
        <f>(K570-J570)/K570</f>
        <v>#DIV/0!</v>
      </c>
      <c r="M570" s="179"/>
      <c r="N570" s="179" t="s">
        <v>3126</v>
      </c>
      <c r="O570" s="141">
        <f>I570</f>
        <v>0</v>
      </c>
      <c r="P570" s="181" t="b">
        <f>COUNTIF('Facility Data'!$A$1:$A$1500,"*"&amp;A570&amp;"*")&gt;0</f>
        <v>1</v>
      </c>
      <c r="Q570" s="181" t="b">
        <f>COUNTIF('Account Data'!$A$1:$A$1000,"*"&amp;A570&amp;"*")&gt;0</f>
        <v>1</v>
      </c>
      <c r="R570" s="182" t="b">
        <f>IF(OR(P570=TRUE,T570=TRUE),TRUE,FALSE)</f>
        <v>1</v>
      </c>
      <c r="S570" s="182" t="b">
        <f>IF(OR(Q570=TRUE,T570=TRUE),TRUE,FALSE)</f>
        <v>1</v>
      </c>
      <c r="T570" s="181" t="b">
        <f>COUNTIF('New Items'!$A$1:$A$175,A570)&gt;0</f>
        <v>0</v>
      </c>
      <c r="U570" s="181" t="b">
        <f>COUNTIF(Discontinued!$A$1:$A$150,A570)&gt;0</f>
        <v>0</v>
      </c>
    </row>
    <row r="571" spans="1:21" s="8" customFormat="1" ht="12" thickBot="1" x14ac:dyDescent="0.25">
      <c r="A571" s="154">
        <v>20026453</v>
      </c>
      <c r="B571" s="10" t="s">
        <v>3280</v>
      </c>
      <c r="C571" s="12" t="s">
        <v>335</v>
      </c>
      <c r="D571" s="11" t="s">
        <v>636</v>
      </c>
      <c r="E571" s="12" t="s">
        <v>775</v>
      </c>
      <c r="F571" s="13">
        <v>12</v>
      </c>
      <c r="G571" s="22">
        <f>Overview!$B$34</f>
        <v>13</v>
      </c>
      <c r="H571" s="114">
        <f>G571-I571</f>
        <v>13</v>
      </c>
      <c r="I571" s="114">
        <f>Overview!$E$34</f>
        <v>0</v>
      </c>
      <c r="J571" s="115">
        <f>I571/F571</f>
        <v>0</v>
      </c>
      <c r="K571" s="116">
        <f>Overview!$H$34</f>
        <v>0</v>
      </c>
      <c r="L571" s="117" t="e">
        <f>(K571-J571)/K571</f>
        <v>#DIV/0!</v>
      </c>
      <c r="M571" s="179" t="s">
        <v>4370</v>
      </c>
      <c r="N571" s="179" t="s">
        <v>3126</v>
      </c>
      <c r="O571" s="141">
        <f>I571</f>
        <v>0</v>
      </c>
      <c r="P571" s="181" t="b">
        <f>COUNTIF('Facility Data'!$A$1:$A$1500,"*"&amp;A571&amp;"*")&gt;0</f>
        <v>1</v>
      </c>
      <c r="Q571" s="181" t="b">
        <f>COUNTIF('Account Data'!$A$1:$A$1000,"*"&amp;A571&amp;"*")&gt;0</f>
        <v>1</v>
      </c>
      <c r="R571" s="182" t="b">
        <f>IF(OR(P571=TRUE,T571=TRUE),TRUE,FALSE)</f>
        <v>1</v>
      </c>
      <c r="S571" s="182" t="b">
        <f>IF(OR(Q571=TRUE,T571=TRUE),TRUE,FALSE)</f>
        <v>1</v>
      </c>
      <c r="T571" s="181" t="b">
        <f>COUNTIF('New Items'!$A$1:$A$175,A571)&gt;0</f>
        <v>0</v>
      </c>
      <c r="U571" s="181" t="b">
        <f>COUNTIF(Discontinued!$A$1:$A$150,A571)&gt;0</f>
        <v>0</v>
      </c>
    </row>
    <row r="572" spans="1:21" s="8" customFormat="1" ht="13.5" thickBot="1" x14ac:dyDescent="0.25">
      <c r="A572" s="300" t="s">
        <v>2768</v>
      </c>
      <c r="B572" s="301"/>
      <c r="C572" s="301"/>
      <c r="D572" s="301"/>
      <c r="E572" s="301"/>
      <c r="F572" s="301"/>
      <c r="G572" s="301"/>
      <c r="H572" s="301"/>
      <c r="I572" s="301"/>
      <c r="J572" s="301"/>
      <c r="K572" s="301"/>
      <c r="L572" s="302"/>
      <c r="M572" s="179" t="s">
        <v>4361</v>
      </c>
      <c r="N572" s="179" t="s">
        <v>3132</v>
      </c>
      <c r="O572" s="141">
        <f>AVERAGE(O573:O584)</f>
        <v>0</v>
      </c>
      <c r="P572" s="181" t="b">
        <f>COUNTIF(P573:P584,TRUE)&gt;0</f>
        <v>1</v>
      </c>
      <c r="Q572" s="181" t="b">
        <f>COUNTIF(Q573:Q584,TRUE)&gt;0</f>
        <v>0</v>
      </c>
      <c r="R572" s="181" t="b">
        <f>COUNTIF(R573:R584,TRUE)&gt;0</f>
        <v>1</v>
      </c>
      <c r="S572" s="181" t="b">
        <f>COUNTIF(S573:S584,TRUE)&gt;0</f>
        <v>0</v>
      </c>
      <c r="T572" s="181" t="b">
        <f>COUNTIF(T573:T584,TRUE)&gt;0</f>
        <v>0</v>
      </c>
      <c r="U572" s="181"/>
    </row>
    <row r="573" spans="1:21" s="8" customFormat="1" ht="11.25" x14ac:dyDescent="0.2">
      <c r="A573" s="152">
        <v>10000005</v>
      </c>
      <c r="B573" s="10" t="s">
        <v>2769</v>
      </c>
      <c r="C573" s="12" t="s">
        <v>2770</v>
      </c>
      <c r="D573" s="11" t="s">
        <v>629</v>
      </c>
      <c r="E573" s="12" t="s">
        <v>769</v>
      </c>
      <c r="F573" s="13">
        <v>24</v>
      </c>
      <c r="G573" s="98">
        <f>Overview!$B$35</f>
        <v>26</v>
      </c>
      <c r="H573" s="99">
        <f t="shared" ref="H573:H584" si="143">G573-I573</f>
        <v>26</v>
      </c>
      <c r="I573" s="99">
        <f>Overview!$E$35</f>
        <v>0</v>
      </c>
      <c r="J573" s="100">
        <f t="shared" ref="J573:J584" si="144">I573/F573</f>
        <v>0</v>
      </c>
      <c r="K573" s="101">
        <f>Overview!$H$35</f>
        <v>0</v>
      </c>
      <c r="L573" s="102" t="e">
        <f t="shared" ref="L573:L583" si="145">(K573-J573)/K573</f>
        <v>#DIV/0!</v>
      </c>
      <c r="M573" s="179" t="s">
        <v>951</v>
      </c>
      <c r="N573" s="179" t="s">
        <v>3132</v>
      </c>
      <c r="O573" s="141">
        <f>I573</f>
        <v>0</v>
      </c>
      <c r="P573" s="181" t="b">
        <f>COUNTIF('Facility Data'!$A$1:$A$1500,"*"&amp;A573&amp;"*")&gt;0</f>
        <v>0</v>
      </c>
      <c r="Q573" s="181" t="b">
        <f>COUNTIF('Account Data'!$A$1:$A$1000,"*"&amp;A573&amp;"*")&gt;0</f>
        <v>0</v>
      </c>
      <c r="R573" s="182" t="b">
        <f t="shared" ref="R573:R584" si="146">IF(OR(P573=TRUE,T573=TRUE),TRUE,FALSE)</f>
        <v>0</v>
      </c>
      <c r="S573" s="182" t="b">
        <f t="shared" ref="S573:S589" si="147">IF(OR(Q573=TRUE,T573=TRUE),TRUE,FALSE)</f>
        <v>0</v>
      </c>
      <c r="T573" s="181" t="b">
        <f>COUNTIF('New Items'!$A$1:$A$175,A573)&gt;0</f>
        <v>0</v>
      </c>
      <c r="U573" s="181" t="b">
        <f>COUNTIF(Discontinued!$A$1:$A$150,A573)&gt;0</f>
        <v>0</v>
      </c>
    </row>
    <row r="574" spans="1:21" s="8" customFormat="1" ht="11.25" x14ac:dyDescent="0.2">
      <c r="A574" s="152">
        <v>10085268</v>
      </c>
      <c r="B574" s="10" t="s">
        <v>3012</v>
      </c>
      <c r="C574" s="12" t="s">
        <v>3013</v>
      </c>
      <c r="D574" s="11" t="s">
        <v>3011</v>
      </c>
      <c r="E574" s="12" t="s">
        <v>769</v>
      </c>
      <c r="F574" s="13">
        <v>24</v>
      </c>
      <c r="G574" s="98">
        <f>Overview!$B$35</f>
        <v>26</v>
      </c>
      <c r="H574" s="99">
        <f t="shared" si="143"/>
        <v>26</v>
      </c>
      <c r="I574" s="99">
        <f>Overview!$E$35</f>
        <v>0</v>
      </c>
      <c r="J574" s="100">
        <f t="shared" si="144"/>
        <v>0</v>
      </c>
      <c r="K574" s="101">
        <f>Overview!$H$35</f>
        <v>0</v>
      </c>
      <c r="L574" s="102" t="e">
        <f>(K574-J574)/K574</f>
        <v>#DIV/0!</v>
      </c>
      <c r="M574" s="179" t="s">
        <v>951</v>
      </c>
      <c r="N574" s="179" t="s">
        <v>3132</v>
      </c>
      <c r="O574" s="141">
        <f>I574</f>
        <v>0</v>
      </c>
      <c r="P574" s="181" t="b">
        <f>COUNTIF('Facility Data'!$A$1:$A$1500,"*"&amp;A574&amp;"*")&gt;0</f>
        <v>0</v>
      </c>
      <c r="Q574" s="181" t="b">
        <f>COUNTIF('Account Data'!$A$1:$A$1000,"*"&amp;A574&amp;"*")&gt;0</f>
        <v>0</v>
      </c>
      <c r="R574" s="182" t="b">
        <f t="shared" si="146"/>
        <v>0</v>
      </c>
      <c r="S574" s="182" t="b">
        <f t="shared" si="147"/>
        <v>0</v>
      </c>
      <c r="T574" s="181" t="b">
        <f>COUNTIF('New Items'!$A$1:$A$175,A574)&gt;0</f>
        <v>0</v>
      </c>
      <c r="U574" s="181" t="b">
        <f>COUNTIF(Discontinued!$A$1:$A$150,A574)&gt;0</f>
        <v>0</v>
      </c>
    </row>
    <row r="575" spans="1:21" s="8" customFormat="1" ht="11.25" x14ac:dyDescent="0.2">
      <c r="A575" s="152">
        <v>10000007</v>
      </c>
      <c r="B575" s="10" t="s">
        <v>2772</v>
      </c>
      <c r="C575" s="12" t="s">
        <v>2773</v>
      </c>
      <c r="D575" s="11" t="s">
        <v>643</v>
      </c>
      <c r="E575" s="12" t="s">
        <v>769</v>
      </c>
      <c r="F575" s="13">
        <v>24</v>
      </c>
      <c r="G575" s="98">
        <f>Overview!$B$35</f>
        <v>26</v>
      </c>
      <c r="H575" s="99">
        <f t="shared" si="143"/>
        <v>26</v>
      </c>
      <c r="I575" s="99">
        <f>Overview!$E$35</f>
        <v>0</v>
      </c>
      <c r="J575" s="100">
        <f t="shared" si="144"/>
        <v>0</v>
      </c>
      <c r="K575" s="101">
        <f>Overview!$H$35</f>
        <v>0</v>
      </c>
      <c r="L575" s="102" t="e">
        <f t="shared" si="145"/>
        <v>#DIV/0!</v>
      </c>
      <c r="M575" s="179"/>
      <c r="N575" s="179" t="s">
        <v>3132</v>
      </c>
      <c r="O575" s="141">
        <f t="shared" ref="O575:O584" si="148">I575</f>
        <v>0</v>
      </c>
      <c r="P575" s="181" t="b">
        <f>COUNTIF('Facility Data'!$A$1:$A$1500,"*"&amp;A575&amp;"*")&gt;0</f>
        <v>0</v>
      </c>
      <c r="Q575" s="181" t="b">
        <f>COUNTIF('Account Data'!$A$1:$A$1000,"*"&amp;A575&amp;"*")&gt;0</f>
        <v>0</v>
      </c>
      <c r="R575" s="182" t="b">
        <f t="shared" si="146"/>
        <v>0</v>
      </c>
      <c r="S575" s="182" t="b">
        <f t="shared" si="147"/>
        <v>0</v>
      </c>
      <c r="T575" s="181" t="b">
        <f>COUNTIF('New Items'!$A$1:$A$175,A575)&gt;0</f>
        <v>0</v>
      </c>
      <c r="U575" s="181" t="b">
        <f>COUNTIF(Discontinued!$A$1:$A$150,A575)&gt;0</f>
        <v>0</v>
      </c>
    </row>
    <row r="576" spans="1:21" s="8" customFormat="1" ht="11.25" x14ac:dyDescent="0.2">
      <c r="A576" s="152">
        <v>10000011</v>
      </c>
      <c r="B576" s="10" t="s">
        <v>2774</v>
      </c>
      <c r="C576" s="12" t="s">
        <v>2775</v>
      </c>
      <c r="D576" s="11" t="s">
        <v>645</v>
      </c>
      <c r="E576" s="12" t="s">
        <v>769</v>
      </c>
      <c r="F576" s="13">
        <v>24</v>
      </c>
      <c r="G576" s="98">
        <f>Overview!$B$35</f>
        <v>26</v>
      </c>
      <c r="H576" s="99">
        <f t="shared" si="143"/>
        <v>26</v>
      </c>
      <c r="I576" s="99">
        <f>Overview!$E$35</f>
        <v>0</v>
      </c>
      <c r="J576" s="100">
        <f t="shared" si="144"/>
        <v>0</v>
      </c>
      <c r="K576" s="101">
        <f>Overview!$H$35</f>
        <v>0</v>
      </c>
      <c r="L576" s="102" t="e">
        <f t="shared" si="145"/>
        <v>#DIV/0!</v>
      </c>
      <c r="M576" s="179" t="s">
        <v>4406</v>
      </c>
      <c r="N576" s="179" t="s">
        <v>3132</v>
      </c>
      <c r="O576" s="141">
        <f t="shared" si="148"/>
        <v>0</v>
      </c>
      <c r="P576" s="181" t="b">
        <f>COUNTIF('Facility Data'!$A$1:$A$1500,"*"&amp;A576&amp;"*")&gt;0</f>
        <v>1</v>
      </c>
      <c r="Q576" s="181" t="b">
        <f>COUNTIF('Account Data'!$A$1:$A$1000,"*"&amp;A576&amp;"*")&gt;0</f>
        <v>0</v>
      </c>
      <c r="R576" s="182" t="b">
        <f t="shared" si="146"/>
        <v>1</v>
      </c>
      <c r="S576" s="182" t="b">
        <f t="shared" si="147"/>
        <v>0</v>
      </c>
      <c r="T576" s="181" t="b">
        <f>COUNTIF('New Items'!$A$1:$A$175,A576)&gt;0</f>
        <v>0</v>
      </c>
      <c r="U576" s="181" t="b">
        <f>COUNTIF(Discontinued!$A$1:$A$150,A576)&gt;0</f>
        <v>0</v>
      </c>
    </row>
    <row r="577" spans="1:21" s="8" customFormat="1" ht="11.25" x14ac:dyDescent="0.2">
      <c r="A577" s="152">
        <v>10001389</v>
      </c>
      <c r="B577" s="10" t="s">
        <v>2777</v>
      </c>
      <c r="C577" s="12" t="s">
        <v>2778</v>
      </c>
      <c r="D577" s="11" t="s">
        <v>648</v>
      </c>
      <c r="E577" s="12" t="s">
        <v>769</v>
      </c>
      <c r="F577" s="13">
        <v>24</v>
      </c>
      <c r="G577" s="98">
        <f>Overview!$B$35</f>
        <v>26</v>
      </c>
      <c r="H577" s="99">
        <f t="shared" si="143"/>
        <v>26</v>
      </c>
      <c r="I577" s="99">
        <f>Overview!$E$35</f>
        <v>0</v>
      </c>
      <c r="J577" s="100">
        <f t="shared" si="144"/>
        <v>0</v>
      </c>
      <c r="K577" s="101">
        <f>Overview!$H$35</f>
        <v>0</v>
      </c>
      <c r="L577" s="102" t="e">
        <f t="shared" si="145"/>
        <v>#DIV/0!</v>
      </c>
      <c r="M577" s="179"/>
      <c r="N577" s="179" t="s">
        <v>3132</v>
      </c>
      <c r="O577" s="141">
        <f t="shared" si="148"/>
        <v>0</v>
      </c>
      <c r="P577" s="181" t="b">
        <f>COUNTIF('Facility Data'!$A$1:$A$1500,"*"&amp;A577&amp;"*")&gt;0</f>
        <v>0</v>
      </c>
      <c r="Q577" s="181" t="b">
        <f>COUNTIF('Account Data'!$A$1:$A$1000,"*"&amp;A577&amp;"*")&gt;0</f>
        <v>0</v>
      </c>
      <c r="R577" s="182" t="b">
        <f t="shared" si="146"/>
        <v>0</v>
      </c>
      <c r="S577" s="182" t="b">
        <f t="shared" si="147"/>
        <v>0</v>
      </c>
      <c r="T577" s="181" t="b">
        <f>COUNTIF('New Items'!$A$1:$A$175,A577)&gt;0</f>
        <v>0</v>
      </c>
      <c r="U577" s="181" t="b">
        <f>COUNTIF(Discontinued!$A$1:$A$150,A577)&gt;0</f>
        <v>0</v>
      </c>
    </row>
    <row r="578" spans="1:21" s="8" customFormat="1" ht="11.25" x14ac:dyDescent="0.2">
      <c r="A578" s="152">
        <v>10000012</v>
      </c>
      <c r="B578" s="10" t="s">
        <v>2779</v>
      </c>
      <c r="C578" s="12" t="s">
        <v>2780</v>
      </c>
      <c r="D578" s="11" t="s">
        <v>650</v>
      </c>
      <c r="E578" s="12" t="s">
        <v>769</v>
      </c>
      <c r="F578" s="13">
        <v>24</v>
      </c>
      <c r="G578" s="98">
        <f>Overview!$B$35</f>
        <v>26</v>
      </c>
      <c r="H578" s="99">
        <f t="shared" si="143"/>
        <v>26</v>
      </c>
      <c r="I578" s="99">
        <f>Overview!$E$35</f>
        <v>0</v>
      </c>
      <c r="J578" s="100">
        <f t="shared" si="144"/>
        <v>0</v>
      </c>
      <c r="K578" s="101">
        <f>Overview!$H$35</f>
        <v>0</v>
      </c>
      <c r="L578" s="102" t="e">
        <f t="shared" si="145"/>
        <v>#DIV/0!</v>
      </c>
      <c r="M578" s="179" t="s">
        <v>4369</v>
      </c>
      <c r="N578" s="179" t="s">
        <v>3132</v>
      </c>
      <c r="O578" s="141">
        <f t="shared" si="148"/>
        <v>0</v>
      </c>
      <c r="P578" s="181" t="b">
        <f>COUNTIF('Facility Data'!$A$1:$A$1500,"*"&amp;A578&amp;"*")&gt;0</f>
        <v>1</v>
      </c>
      <c r="Q578" s="181" t="b">
        <f>COUNTIF('Account Data'!$A$1:$A$1000,"*"&amp;A578&amp;"*")&gt;0</f>
        <v>0</v>
      </c>
      <c r="R578" s="182" t="b">
        <f t="shared" si="146"/>
        <v>1</v>
      </c>
      <c r="S578" s="182" t="b">
        <f t="shared" si="147"/>
        <v>0</v>
      </c>
      <c r="T578" s="181" t="b">
        <f>COUNTIF('New Items'!$A$1:$A$175,A578)&gt;0</f>
        <v>0</v>
      </c>
      <c r="U578" s="181" t="b">
        <f>COUNTIF(Discontinued!$A$1:$A$150,A578)&gt;0</f>
        <v>0</v>
      </c>
    </row>
    <row r="579" spans="1:21" s="8" customFormat="1" ht="11.25" x14ac:dyDescent="0.2">
      <c r="A579" s="152">
        <v>10000009</v>
      </c>
      <c r="B579" s="10" t="s">
        <v>2781</v>
      </c>
      <c r="C579" s="12" t="s">
        <v>2782</v>
      </c>
      <c r="D579" s="11" t="s">
        <v>640</v>
      </c>
      <c r="E579" s="12" t="s">
        <v>769</v>
      </c>
      <c r="F579" s="13">
        <v>24</v>
      </c>
      <c r="G579" s="98">
        <f>Overview!$B$35</f>
        <v>26</v>
      </c>
      <c r="H579" s="99">
        <f t="shared" si="143"/>
        <v>26</v>
      </c>
      <c r="I579" s="99">
        <f>Overview!$E$35</f>
        <v>0</v>
      </c>
      <c r="J579" s="100">
        <f t="shared" si="144"/>
        <v>0</v>
      </c>
      <c r="K579" s="101">
        <f>Overview!$H$35</f>
        <v>0</v>
      </c>
      <c r="L579" s="102" t="e">
        <f t="shared" si="145"/>
        <v>#DIV/0!</v>
      </c>
      <c r="M579" s="179"/>
      <c r="N579" s="179" t="s">
        <v>3132</v>
      </c>
      <c r="O579" s="141">
        <f t="shared" si="148"/>
        <v>0</v>
      </c>
      <c r="P579" s="181" t="b">
        <f>COUNTIF('Facility Data'!$A$1:$A$1500,"*"&amp;A579&amp;"*")&gt;0</f>
        <v>1</v>
      </c>
      <c r="Q579" s="181" t="b">
        <f>COUNTIF('Account Data'!$A$1:$A$1000,"*"&amp;A579&amp;"*")&gt;0</f>
        <v>0</v>
      </c>
      <c r="R579" s="182" t="b">
        <f t="shared" si="146"/>
        <v>1</v>
      </c>
      <c r="S579" s="182" t="b">
        <f t="shared" si="147"/>
        <v>0</v>
      </c>
      <c r="T579" s="181" t="b">
        <f>COUNTIF('New Items'!$A$1:$A$175,A579)&gt;0</f>
        <v>0</v>
      </c>
      <c r="U579" s="181" t="b">
        <f>COUNTIF(Discontinued!$A$1:$A$150,A579)&gt;0</f>
        <v>0</v>
      </c>
    </row>
    <row r="580" spans="1:21" s="8" customFormat="1" ht="11.25" x14ac:dyDescent="0.2">
      <c r="A580" s="152">
        <v>10120971</v>
      </c>
      <c r="B580" s="10" t="s">
        <v>2783</v>
      </c>
      <c r="C580" s="12" t="s">
        <v>2784</v>
      </c>
      <c r="D580" s="11" t="s">
        <v>4153</v>
      </c>
      <c r="E580" s="12" t="s">
        <v>769</v>
      </c>
      <c r="F580" s="13">
        <v>24</v>
      </c>
      <c r="G580" s="98">
        <f>Overview!$B$35</f>
        <v>26</v>
      </c>
      <c r="H580" s="99">
        <f t="shared" si="143"/>
        <v>26</v>
      </c>
      <c r="I580" s="99">
        <f>Overview!$E$35</f>
        <v>0</v>
      </c>
      <c r="J580" s="100">
        <f t="shared" si="144"/>
        <v>0</v>
      </c>
      <c r="K580" s="101">
        <f>Overview!$H$35</f>
        <v>0</v>
      </c>
      <c r="L580" s="102" t="e">
        <f t="shared" si="145"/>
        <v>#DIV/0!</v>
      </c>
      <c r="M580" s="179"/>
      <c r="N580" s="179" t="s">
        <v>3132</v>
      </c>
      <c r="O580" s="141">
        <f t="shared" si="148"/>
        <v>0</v>
      </c>
      <c r="P580" s="181" t="b">
        <f>COUNTIF('Facility Data'!$A$1:$A$1500,"*"&amp;A580&amp;"*")&gt;0</f>
        <v>1</v>
      </c>
      <c r="Q580" s="181" t="b">
        <f>COUNTIF('Account Data'!$A$1:$A$1000,"*"&amp;A580&amp;"*")&gt;0</f>
        <v>0</v>
      </c>
      <c r="R580" s="182" t="b">
        <f t="shared" si="146"/>
        <v>1</v>
      </c>
      <c r="S580" s="182" t="b">
        <f t="shared" si="147"/>
        <v>0</v>
      </c>
      <c r="T580" s="181" t="b">
        <f>COUNTIF('New Items'!$A$1:$A$175,A580)&gt;0</f>
        <v>0</v>
      </c>
      <c r="U580" s="181" t="b">
        <f>COUNTIF(Discontinued!$A$1:$A$150,A580)&gt;0</f>
        <v>0</v>
      </c>
    </row>
    <row r="581" spans="1:21" s="8" customFormat="1" ht="11.25" x14ac:dyDescent="0.2">
      <c r="A581" s="152">
        <v>10001390</v>
      </c>
      <c r="B581" s="10" t="s">
        <v>2785</v>
      </c>
      <c r="C581" s="12" t="s">
        <v>2786</v>
      </c>
      <c r="D581" s="11" t="s">
        <v>639</v>
      </c>
      <c r="E581" s="12" t="s">
        <v>769</v>
      </c>
      <c r="F581" s="13">
        <v>24</v>
      </c>
      <c r="G581" s="98">
        <f>Overview!$B$35</f>
        <v>26</v>
      </c>
      <c r="H581" s="99">
        <f t="shared" si="143"/>
        <v>26</v>
      </c>
      <c r="I581" s="99">
        <f>Overview!$E$35</f>
        <v>0</v>
      </c>
      <c r="J581" s="100">
        <f t="shared" si="144"/>
        <v>0</v>
      </c>
      <c r="K581" s="101">
        <f>Overview!$H$35</f>
        <v>0</v>
      </c>
      <c r="L581" s="102" t="e">
        <f t="shared" si="145"/>
        <v>#DIV/0!</v>
      </c>
      <c r="M581" s="179" t="s">
        <v>930</v>
      </c>
      <c r="N581" s="179" t="s">
        <v>3132</v>
      </c>
      <c r="O581" s="141">
        <f t="shared" si="148"/>
        <v>0</v>
      </c>
      <c r="P581" s="181" t="b">
        <f>COUNTIF('Facility Data'!$A$1:$A$1500,"*"&amp;A581&amp;"*")&gt;0</f>
        <v>0</v>
      </c>
      <c r="Q581" s="181" t="b">
        <f>COUNTIF('Account Data'!$A$1:$A$1000,"*"&amp;A581&amp;"*")&gt;0</f>
        <v>0</v>
      </c>
      <c r="R581" s="182" t="b">
        <f t="shared" si="146"/>
        <v>0</v>
      </c>
      <c r="S581" s="182" t="b">
        <f t="shared" si="147"/>
        <v>0</v>
      </c>
      <c r="T581" s="181" t="b">
        <f>COUNTIF('New Items'!$A$1:$A$175,A581)&gt;0</f>
        <v>0</v>
      </c>
      <c r="U581" s="181" t="b">
        <f>COUNTIF(Discontinued!$A$1:$A$150,A581)&gt;0</f>
        <v>0</v>
      </c>
    </row>
    <row r="582" spans="1:21" s="8" customFormat="1" ht="11.25" x14ac:dyDescent="0.2">
      <c r="A582" s="152">
        <v>10002242</v>
      </c>
      <c r="B582" s="10" t="s">
        <v>2787</v>
      </c>
      <c r="C582" s="12" t="s">
        <v>2788</v>
      </c>
      <c r="D582" s="11" t="s">
        <v>1596</v>
      </c>
      <c r="E582" s="12" t="s">
        <v>769</v>
      </c>
      <c r="F582" s="13">
        <v>24</v>
      </c>
      <c r="G582" s="98">
        <f>Overview!$B$35</f>
        <v>26</v>
      </c>
      <c r="H582" s="99">
        <f t="shared" si="143"/>
        <v>26</v>
      </c>
      <c r="I582" s="99">
        <f>Overview!$E$35</f>
        <v>0</v>
      </c>
      <c r="J582" s="100">
        <f t="shared" si="144"/>
        <v>0</v>
      </c>
      <c r="K582" s="101">
        <f>Overview!$H$35</f>
        <v>0</v>
      </c>
      <c r="L582" s="102" t="e">
        <f t="shared" si="145"/>
        <v>#DIV/0!</v>
      </c>
      <c r="M582" s="179" t="s">
        <v>930</v>
      </c>
      <c r="N582" s="179" t="s">
        <v>3132</v>
      </c>
      <c r="O582" s="141">
        <f t="shared" si="148"/>
        <v>0</v>
      </c>
      <c r="P582" s="181" t="b">
        <f>COUNTIF('Facility Data'!$A$1:$A$1500,"*"&amp;A582&amp;"*")&gt;0</f>
        <v>0</v>
      </c>
      <c r="Q582" s="181" t="b">
        <f>COUNTIF('Account Data'!$A$1:$A$1000,"*"&amp;A582&amp;"*")&gt;0</f>
        <v>0</v>
      </c>
      <c r="R582" s="182" t="b">
        <f t="shared" si="146"/>
        <v>0</v>
      </c>
      <c r="S582" s="182" t="b">
        <f t="shared" si="147"/>
        <v>0</v>
      </c>
      <c r="T582" s="181" t="b">
        <f>COUNTIF('New Items'!$A$1:$A$175,A582)&gt;0</f>
        <v>0</v>
      </c>
      <c r="U582" s="181" t="b">
        <f>COUNTIF(Discontinued!$A$1:$A$150,A582)&gt;0</f>
        <v>0</v>
      </c>
    </row>
    <row r="583" spans="1:21" s="8" customFormat="1" ht="11.25" x14ac:dyDescent="0.2">
      <c r="A583" s="152">
        <v>10002243</v>
      </c>
      <c r="B583" s="10" t="s">
        <v>2789</v>
      </c>
      <c r="C583" s="12" t="s">
        <v>2790</v>
      </c>
      <c r="D583" s="11" t="s">
        <v>1597</v>
      </c>
      <c r="E583" s="12" t="s">
        <v>769</v>
      </c>
      <c r="F583" s="13">
        <v>24</v>
      </c>
      <c r="G583" s="98">
        <f>Overview!$B$35</f>
        <v>26</v>
      </c>
      <c r="H583" s="99">
        <f t="shared" si="143"/>
        <v>26</v>
      </c>
      <c r="I583" s="99">
        <f>Overview!$E$35</f>
        <v>0</v>
      </c>
      <c r="J583" s="100">
        <f t="shared" si="144"/>
        <v>0</v>
      </c>
      <c r="K583" s="101">
        <f>Overview!$H$35</f>
        <v>0</v>
      </c>
      <c r="L583" s="102" t="e">
        <f t="shared" si="145"/>
        <v>#DIV/0!</v>
      </c>
      <c r="M583" s="179" t="s">
        <v>930</v>
      </c>
      <c r="N583" s="179" t="s">
        <v>3132</v>
      </c>
      <c r="O583" s="141">
        <f t="shared" si="148"/>
        <v>0</v>
      </c>
      <c r="P583" s="181" t="b">
        <f>COUNTIF('Facility Data'!$A$1:$A$1500,"*"&amp;A583&amp;"*")&gt;0</f>
        <v>0</v>
      </c>
      <c r="Q583" s="181" t="b">
        <f>COUNTIF('Account Data'!$A$1:$A$1000,"*"&amp;A583&amp;"*")&gt;0</f>
        <v>0</v>
      </c>
      <c r="R583" s="182" t="b">
        <f t="shared" si="146"/>
        <v>0</v>
      </c>
      <c r="S583" s="182" t="b">
        <f t="shared" si="147"/>
        <v>0</v>
      </c>
      <c r="T583" s="181" t="b">
        <f>COUNTIF('New Items'!$A$1:$A$175,A583)&gt;0</f>
        <v>0</v>
      </c>
      <c r="U583" s="181" t="b">
        <f>COUNTIF(Discontinued!$A$1:$A$150,A583)&gt;0</f>
        <v>0</v>
      </c>
    </row>
    <row r="584" spans="1:21" s="8" customFormat="1" ht="12" thickBot="1" x14ac:dyDescent="0.25">
      <c r="A584" s="152">
        <v>10000008</v>
      </c>
      <c r="B584" s="10" t="s">
        <v>2791</v>
      </c>
      <c r="C584" s="12" t="s">
        <v>2792</v>
      </c>
      <c r="D584" s="11" t="s">
        <v>660</v>
      </c>
      <c r="E584" s="12" t="s">
        <v>769</v>
      </c>
      <c r="F584" s="13">
        <v>24</v>
      </c>
      <c r="G584" s="98">
        <f>Overview!$B$35</f>
        <v>26</v>
      </c>
      <c r="H584" s="99">
        <f t="shared" si="143"/>
        <v>26</v>
      </c>
      <c r="I584" s="99">
        <f>Overview!$E$35</f>
        <v>0</v>
      </c>
      <c r="J584" s="100">
        <f t="shared" si="144"/>
        <v>0</v>
      </c>
      <c r="K584" s="101">
        <f>Overview!$H$35</f>
        <v>0</v>
      </c>
      <c r="L584" s="102" t="e">
        <f>(K584-J584)/K584</f>
        <v>#DIV/0!</v>
      </c>
      <c r="M584" s="179"/>
      <c r="N584" s="179" t="s">
        <v>3132</v>
      </c>
      <c r="O584" s="141">
        <f t="shared" si="148"/>
        <v>0</v>
      </c>
      <c r="P584" s="181" t="b">
        <f>COUNTIF('Facility Data'!$A$1:$A$1500,"*"&amp;A584&amp;"*")&gt;0</f>
        <v>0</v>
      </c>
      <c r="Q584" s="181" t="b">
        <f>COUNTIF('Account Data'!$A$1:$A$1000,"*"&amp;A584&amp;"*")&gt;0</f>
        <v>0</v>
      </c>
      <c r="R584" s="182" t="b">
        <f t="shared" si="146"/>
        <v>0</v>
      </c>
      <c r="S584" s="182" t="b">
        <f t="shared" si="147"/>
        <v>0</v>
      </c>
      <c r="T584" s="181" t="b">
        <f>COUNTIF('New Items'!$A$1:$A$175,A584)&gt;0</f>
        <v>0</v>
      </c>
      <c r="U584" s="181" t="b">
        <f>COUNTIF(Discontinued!$A$1:$A$150,A584)&gt;0</f>
        <v>0</v>
      </c>
    </row>
    <row r="585" spans="1:21" s="8" customFormat="1" ht="13.5" thickBot="1" x14ac:dyDescent="0.25">
      <c r="A585" s="300" t="s">
        <v>3014</v>
      </c>
      <c r="B585" s="301"/>
      <c r="C585" s="301"/>
      <c r="D585" s="301"/>
      <c r="E585" s="301"/>
      <c r="F585" s="301"/>
      <c r="G585" s="301"/>
      <c r="H585" s="301"/>
      <c r="I585" s="301"/>
      <c r="J585" s="301"/>
      <c r="K585" s="301"/>
      <c r="L585" s="302"/>
      <c r="M585" s="179" t="s">
        <v>4361</v>
      </c>
      <c r="N585" s="179" t="s">
        <v>3133</v>
      </c>
      <c r="O585" s="141">
        <f>AVERAGE(O586:O589)</f>
        <v>0</v>
      </c>
      <c r="P585" s="181" t="b">
        <f>COUNTIF(P586:P589,TRUE)&gt;0</f>
        <v>0</v>
      </c>
      <c r="Q585" s="181" t="b">
        <f>COUNTIF(Q586:Q589,TRUE)&gt;0</f>
        <v>1</v>
      </c>
      <c r="R585" s="181" t="b">
        <f>COUNTIF(R586:R589,TRUE)&gt;0</f>
        <v>0</v>
      </c>
      <c r="S585" s="181" t="b">
        <f>COUNTIF(S586:S589,TRUE)&gt;0</f>
        <v>1</v>
      </c>
      <c r="T585" s="181" t="b">
        <f>COUNTIF(T586:T589,TRUE)&gt;0</f>
        <v>0</v>
      </c>
      <c r="U585" s="181"/>
    </row>
    <row r="586" spans="1:21" s="8" customFormat="1" ht="11.25" x14ac:dyDescent="0.2">
      <c r="A586" s="152">
        <v>10081780</v>
      </c>
      <c r="B586" s="10" t="s">
        <v>3015</v>
      </c>
      <c r="C586" s="12" t="s">
        <v>3016</v>
      </c>
      <c r="D586" s="11" t="s">
        <v>3011</v>
      </c>
      <c r="E586" s="12" t="s">
        <v>769</v>
      </c>
      <c r="F586" s="13">
        <v>6</v>
      </c>
      <c r="G586" s="98">
        <f>Overview!$B$37</f>
        <v>26</v>
      </c>
      <c r="H586" s="99">
        <f>G586-I586</f>
        <v>26</v>
      </c>
      <c r="I586" s="99">
        <f>Overview!$E$37</f>
        <v>0</v>
      </c>
      <c r="J586" s="100">
        <f>I586/F586</f>
        <v>0</v>
      </c>
      <c r="K586" s="101">
        <f>Overview!$H$37</f>
        <v>0</v>
      </c>
      <c r="L586" s="102" t="e">
        <f>(K586-J586)/K586</f>
        <v>#DIV/0!</v>
      </c>
      <c r="M586" s="179" t="s">
        <v>951</v>
      </c>
      <c r="N586" s="179" t="s">
        <v>3133</v>
      </c>
      <c r="O586" s="141">
        <f>I586</f>
        <v>0</v>
      </c>
      <c r="P586" s="181" t="b">
        <f>COUNTIF('Facility Data'!$A$1:$A$1500,"*"&amp;A586&amp;"*")&gt;0</f>
        <v>0</v>
      </c>
      <c r="Q586" s="181" t="b">
        <f>COUNTIF('Account Data'!$A$1:$A$1000,"*"&amp;A586&amp;"*")&gt;0</f>
        <v>1</v>
      </c>
      <c r="R586" s="182" t="b">
        <f>IF(OR(P586=TRUE,T586=TRUE),TRUE,FALSE)</f>
        <v>0</v>
      </c>
      <c r="S586" s="182" t="b">
        <f t="shared" si="147"/>
        <v>1</v>
      </c>
      <c r="T586" s="181" t="b">
        <f>COUNTIF('New Items'!$A$1:$A$175,A586)&gt;0</f>
        <v>0</v>
      </c>
      <c r="U586" s="181" t="b">
        <f>COUNTIF(Discontinued!$A$1:$A$150,A586)&gt;0</f>
        <v>0</v>
      </c>
    </row>
    <row r="587" spans="1:21" s="8" customFormat="1" ht="11.25" x14ac:dyDescent="0.2">
      <c r="A587" s="152">
        <v>10087177</v>
      </c>
      <c r="B587" s="10" t="s">
        <v>3018</v>
      </c>
      <c r="C587" s="12" t="s">
        <v>3019</v>
      </c>
      <c r="D587" s="11" t="s">
        <v>922</v>
      </c>
      <c r="E587" s="12" t="s">
        <v>769</v>
      </c>
      <c r="F587" s="13">
        <v>6</v>
      </c>
      <c r="G587" s="98">
        <f>Overview!$B$37</f>
        <v>26</v>
      </c>
      <c r="H587" s="99">
        <f>G587-I587</f>
        <v>26</v>
      </c>
      <c r="I587" s="99">
        <f>Overview!$E$37</f>
        <v>0</v>
      </c>
      <c r="J587" s="100">
        <f>I587/F587</f>
        <v>0</v>
      </c>
      <c r="K587" s="101">
        <f>Overview!$H$37</f>
        <v>0</v>
      </c>
      <c r="L587" s="102" t="e">
        <f>(K587-J587)/K587</f>
        <v>#DIV/0!</v>
      </c>
      <c r="M587" s="179" t="s">
        <v>2284</v>
      </c>
      <c r="N587" s="179" t="s">
        <v>3133</v>
      </c>
      <c r="O587" s="141">
        <f>I587</f>
        <v>0</v>
      </c>
      <c r="P587" s="181" t="b">
        <f>COUNTIF('Facility Data'!$A$1:$A$1500,"*"&amp;A587&amp;"*")&gt;0</f>
        <v>0</v>
      </c>
      <c r="Q587" s="181" t="b">
        <f>COUNTIF('Account Data'!$A$1:$A$1000,"*"&amp;A587&amp;"*")&gt;0</f>
        <v>0</v>
      </c>
      <c r="R587" s="182" t="b">
        <f>IF(OR(P587=TRUE,T587=TRUE),TRUE,FALSE)</f>
        <v>0</v>
      </c>
      <c r="S587" s="182" t="b">
        <f t="shared" si="147"/>
        <v>0</v>
      </c>
      <c r="T587" s="181" t="b">
        <f>COUNTIF('New Items'!$A$1:$A$175,A587)&gt;0</f>
        <v>0</v>
      </c>
      <c r="U587" s="181" t="b">
        <f>COUNTIF(Discontinued!$A$1:$A$150,A587)&gt;0</f>
        <v>0</v>
      </c>
    </row>
    <row r="588" spans="1:21" s="8" customFormat="1" ht="11.25" x14ac:dyDescent="0.2">
      <c r="A588" s="152">
        <v>10087178</v>
      </c>
      <c r="B588" s="10" t="s">
        <v>4119</v>
      </c>
      <c r="C588" s="12" t="s">
        <v>4120</v>
      </c>
      <c r="D588" s="11" t="s">
        <v>923</v>
      </c>
      <c r="E588" s="12" t="s">
        <v>769</v>
      </c>
      <c r="F588" s="13">
        <v>6</v>
      </c>
      <c r="G588" s="98">
        <f>Overview!$B$37</f>
        <v>26</v>
      </c>
      <c r="H588" s="99">
        <f>G588-I588</f>
        <v>26</v>
      </c>
      <c r="I588" s="99">
        <f>Overview!$E$37</f>
        <v>0</v>
      </c>
      <c r="J588" s="100">
        <f>I588/F588</f>
        <v>0</v>
      </c>
      <c r="K588" s="101">
        <f>Overview!$H$37</f>
        <v>0</v>
      </c>
      <c r="L588" s="102" t="e">
        <f>(K588-J588)/K588</f>
        <v>#DIV/0!</v>
      </c>
      <c r="M588" s="179" t="s">
        <v>921</v>
      </c>
      <c r="N588" s="179" t="s">
        <v>3133</v>
      </c>
      <c r="O588" s="141">
        <f>I588</f>
        <v>0</v>
      </c>
      <c r="P588" s="181" t="b">
        <f>COUNTIF('Facility Data'!$A$1:$A$1500,"*"&amp;A588&amp;"*")&gt;0</f>
        <v>0</v>
      </c>
      <c r="Q588" s="181" t="b">
        <f>COUNTIF('Account Data'!$A$1:$A$1000,"*"&amp;A588&amp;"*")&gt;0</f>
        <v>0</v>
      </c>
      <c r="R588" s="182" t="b">
        <f>IF(OR(P588=TRUE,T588=TRUE),TRUE,FALSE)</f>
        <v>0</v>
      </c>
      <c r="S588" s="182" t="b">
        <f>IF(OR(Q588=TRUE,T588=TRUE),TRUE,FALSE)</f>
        <v>0</v>
      </c>
      <c r="T588" s="181" t="b">
        <f>COUNTIF('New Items'!$A$1:$A$175,A588)&gt;0</f>
        <v>0</v>
      </c>
      <c r="U588" s="181" t="b">
        <f>COUNTIF(Discontinued!$A$1:$A$150,A588)&gt;0</f>
        <v>0</v>
      </c>
    </row>
    <row r="589" spans="1:21" s="8" customFormat="1" ht="12" thickBot="1" x14ac:dyDescent="0.25">
      <c r="A589" s="152">
        <v>10087179</v>
      </c>
      <c r="B589" s="10" t="s">
        <v>3791</v>
      </c>
      <c r="C589" s="12" t="s">
        <v>3792</v>
      </c>
      <c r="D589" s="11" t="s">
        <v>924</v>
      </c>
      <c r="E589" s="12" t="s">
        <v>769</v>
      </c>
      <c r="F589" s="13">
        <v>6</v>
      </c>
      <c r="G589" s="98">
        <f>Overview!$B$37</f>
        <v>26</v>
      </c>
      <c r="H589" s="99">
        <f>G589-I589</f>
        <v>26</v>
      </c>
      <c r="I589" s="99">
        <f>Overview!$E$37</f>
        <v>0</v>
      </c>
      <c r="J589" s="100">
        <f>I589/F589</f>
        <v>0</v>
      </c>
      <c r="K589" s="101">
        <f>Overview!$H$37</f>
        <v>0</v>
      </c>
      <c r="L589" s="102" t="e">
        <f>(K589-J589)/K589</f>
        <v>#DIV/0!</v>
      </c>
      <c r="M589" s="179" t="s">
        <v>921</v>
      </c>
      <c r="N589" s="179" t="s">
        <v>3133</v>
      </c>
      <c r="O589" s="141">
        <f>I589</f>
        <v>0</v>
      </c>
      <c r="P589" s="181" t="b">
        <f>COUNTIF('Facility Data'!$A$1:$A$1500,"*"&amp;A589&amp;"*")&gt;0</f>
        <v>0</v>
      </c>
      <c r="Q589" s="181" t="b">
        <f>COUNTIF('Account Data'!$A$1:$A$1000,"*"&amp;A589&amp;"*")&gt;0</f>
        <v>0</v>
      </c>
      <c r="R589" s="182" t="b">
        <f>IF(OR(P589=TRUE,T589=TRUE),TRUE,FALSE)</f>
        <v>0</v>
      </c>
      <c r="S589" s="182" t="b">
        <f t="shared" si="147"/>
        <v>0</v>
      </c>
      <c r="T589" s="181" t="b">
        <f>COUNTIF('New Items'!$A$1:$A$175,A589)&gt;0</f>
        <v>0</v>
      </c>
      <c r="U589" s="181" t="b">
        <f>COUNTIF(Discontinued!$A$1:$A$150,A589)&gt;0</f>
        <v>0</v>
      </c>
    </row>
    <row r="590" spans="1:21" s="8" customFormat="1" ht="13.5" thickBot="1" x14ac:dyDescent="0.25">
      <c r="A590" s="300" t="s">
        <v>3447</v>
      </c>
      <c r="B590" s="301"/>
      <c r="C590" s="301"/>
      <c r="D590" s="301"/>
      <c r="E590" s="301"/>
      <c r="F590" s="301"/>
      <c r="G590" s="301"/>
      <c r="H590" s="301"/>
      <c r="I590" s="301"/>
      <c r="J590" s="301"/>
      <c r="K590" s="301"/>
      <c r="L590" s="302"/>
      <c r="M590" s="179" t="s">
        <v>4361</v>
      </c>
      <c r="N590" s="179" t="s">
        <v>3448</v>
      </c>
      <c r="O590" s="141">
        <f>AVERAGE(O591:O600)</f>
        <v>0</v>
      </c>
      <c r="P590" s="181" t="b">
        <f>COUNTIF(P591:P600,TRUE)&gt;0</f>
        <v>1</v>
      </c>
      <c r="Q590" s="181" t="b">
        <f>COUNTIF(Q591:Q600,TRUE)&gt;0</f>
        <v>1</v>
      </c>
      <c r="R590" s="181" t="b">
        <f>COUNTIF(R591:R600,TRUE)&gt;0</f>
        <v>1</v>
      </c>
      <c r="S590" s="181" t="b">
        <f>COUNTIF(S591:S600,TRUE)&gt;0</f>
        <v>1</v>
      </c>
      <c r="T590" s="181" t="b">
        <f>COUNTIF(T591:T600,TRUE)&gt;0</f>
        <v>0</v>
      </c>
      <c r="U590" s="181"/>
    </row>
    <row r="591" spans="1:21" s="8" customFormat="1" ht="11.25" x14ac:dyDescent="0.2">
      <c r="A591" s="152">
        <v>10087165</v>
      </c>
      <c r="B591" s="10" t="s">
        <v>336</v>
      </c>
      <c r="C591" s="12" t="s">
        <v>3451</v>
      </c>
      <c r="D591" s="11" t="s">
        <v>663</v>
      </c>
      <c r="E591" s="12" t="s">
        <v>769</v>
      </c>
      <c r="F591" s="13">
        <v>24</v>
      </c>
      <c r="G591" s="22">
        <f>Overview!$B$38</f>
        <v>26</v>
      </c>
      <c r="H591" s="114">
        <f t="shared" ref="H591:H600" si="149">G591-I591</f>
        <v>26</v>
      </c>
      <c r="I591" s="114">
        <f>Overview!$E$38</f>
        <v>0</v>
      </c>
      <c r="J591" s="115">
        <f t="shared" ref="J591:J600" si="150">I591/F591</f>
        <v>0</v>
      </c>
      <c r="K591" s="116">
        <f>Overview!$H$38</f>
        <v>0</v>
      </c>
      <c r="L591" s="117" t="e">
        <f t="shared" ref="L591:L600" si="151">(K591-J591)/K591</f>
        <v>#DIV/0!</v>
      </c>
      <c r="M591" s="179"/>
      <c r="N591" s="179" t="s">
        <v>972</v>
      </c>
      <c r="O591" s="141">
        <f>I591</f>
        <v>0</v>
      </c>
      <c r="P591" s="181" t="b">
        <f>COUNTIF('Facility Data'!$A$1:$A$1500,"*"&amp;A591&amp;"*")&gt;0</f>
        <v>1</v>
      </c>
      <c r="Q591" s="181" t="b">
        <f>COUNTIF('Account Data'!$A$1:$A$1000,"*"&amp;A591&amp;"*")&gt;0</f>
        <v>1</v>
      </c>
      <c r="R591" s="182" t="b">
        <f t="shared" ref="R591:R600" si="152">IF(OR(P591=TRUE,T591=TRUE),TRUE,FALSE)</f>
        <v>1</v>
      </c>
      <c r="S591" s="182" t="b">
        <f t="shared" ref="S591:S600" si="153">IF(OR(Q591=TRUE,T591=TRUE),TRUE,FALSE)</f>
        <v>1</v>
      </c>
      <c r="T591" s="181" t="b">
        <f>COUNTIF('New Items'!$A$1:$A$175,A591)&gt;0</f>
        <v>0</v>
      </c>
      <c r="U591" s="181" t="b">
        <f>COUNTIF(Discontinued!$A$1:$A$150,A591)&gt;0</f>
        <v>0</v>
      </c>
    </row>
    <row r="592" spans="1:21" s="8" customFormat="1" ht="11.25" x14ac:dyDescent="0.2">
      <c r="A592" s="152">
        <v>10000360</v>
      </c>
      <c r="B592" s="10" t="s">
        <v>338</v>
      </c>
      <c r="C592" s="12" t="s">
        <v>3452</v>
      </c>
      <c r="D592" s="11" t="s">
        <v>664</v>
      </c>
      <c r="E592" s="12" t="s">
        <v>769</v>
      </c>
      <c r="F592" s="13">
        <v>24</v>
      </c>
      <c r="G592" s="22">
        <f>Overview!$B$38</f>
        <v>26</v>
      </c>
      <c r="H592" s="114">
        <f t="shared" si="149"/>
        <v>26</v>
      </c>
      <c r="I592" s="114">
        <f>Overview!$E$38</f>
        <v>0</v>
      </c>
      <c r="J592" s="115">
        <f t="shared" si="150"/>
        <v>0</v>
      </c>
      <c r="K592" s="116">
        <f>Overview!$H$38</f>
        <v>0</v>
      </c>
      <c r="L592" s="51" t="e">
        <f t="shared" si="151"/>
        <v>#DIV/0!</v>
      </c>
      <c r="M592" s="179"/>
      <c r="N592" s="179" t="s">
        <v>972</v>
      </c>
      <c r="O592" s="141">
        <f t="shared" ref="O592:O600" si="154">I592</f>
        <v>0</v>
      </c>
      <c r="P592" s="181" t="b">
        <f>COUNTIF('Facility Data'!$A$1:$A$1500,"*"&amp;A592&amp;"*")&gt;0</f>
        <v>0</v>
      </c>
      <c r="Q592" s="181" t="b">
        <f>COUNTIF('Account Data'!$A$1:$A$1000,"*"&amp;A592&amp;"*")&gt;0</f>
        <v>0</v>
      </c>
      <c r="R592" s="182" t="b">
        <f t="shared" si="152"/>
        <v>0</v>
      </c>
      <c r="S592" s="182" t="b">
        <f t="shared" si="153"/>
        <v>0</v>
      </c>
      <c r="T592" s="181" t="b">
        <f>COUNTIF('New Items'!$A$1:$A$175,A592)&gt;0</f>
        <v>0</v>
      </c>
      <c r="U592" s="181" t="b">
        <f>COUNTIF(Discontinued!$A$1:$A$150,A592)&gt;0</f>
        <v>0</v>
      </c>
    </row>
    <row r="593" spans="1:21" s="8" customFormat="1" ht="11.25" x14ac:dyDescent="0.2">
      <c r="A593" s="152">
        <v>10087163</v>
      </c>
      <c r="B593" s="10" t="s">
        <v>340</v>
      </c>
      <c r="C593" s="12" t="s">
        <v>3453</v>
      </c>
      <c r="D593" s="11" t="s">
        <v>665</v>
      </c>
      <c r="E593" s="12" t="s">
        <v>769</v>
      </c>
      <c r="F593" s="13">
        <v>24</v>
      </c>
      <c r="G593" s="22">
        <f>Overview!$B$38</f>
        <v>26</v>
      </c>
      <c r="H593" s="114">
        <f t="shared" si="149"/>
        <v>26</v>
      </c>
      <c r="I593" s="114">
        <f>Overview!$E$38</f>
        <v>0</v>
      </c>
      <c r="J593" s="115">
        <f t="shared" si="150"/>
        <v>0</v>
      </c>
      <c r="K593" s="116">
        <f>Overview!$H$38</f>
        <v>0</v>
      </c>
      <c r="L593" s="51" t="e">
        <f t="shared" si="151"/>
        <v>#DIV/0!</v>
      </c>
      <c r="M593" s="179"/>
      <c r="N593" s="179" t="s">
        <v>972</v>
      </c>
      <c r="O593" s="141">
        <f t="shared" si="154"/>
        <v>0</v>
      </c>
      <c r="P593" s="181" t="b">
        <f>COUNTIF('Facility Data'!$A$1:$A$1500,"*"&amp;A593&amp;"*")&gt;0</f>
        <v>1</v>
      </c>
      <c r="Q593" s="181" t="b">
        <f>COUNTIF('Account Data'!$A$1:$A$1000,"*"&amp;A593&amp;"*")&gt;0</f>
        <v>1</v>
      </c>
      <c r="R593" s="182" t="b">
        <f t="shared" si="152"/>
        <v>1</v>
      </c>
      <c r="S593" s="182" t="b">
        <f t="shared" si="153"/>
        <v>1</v>
      </c>
      <c r="T593" s="181" t="b">
        <f>COUNTIF('New Items'!$A$1:$A$175,A593)&gt;0</f>
        <v>0</v>
      </c>
      <c r="U593" s="181" t="b">
        <f>COUNTIF(Discontinued!$A$1:$A$150,A593)&gt;0</f>
        <v>0</v>
      </c>
    </row>
    <row r="594" spans="1:21" s="8" customFormat="1" ht="11.25" x14ac:dyDescent="0.2">
      <c r="A594" s="152">
        <v>10000368</v>
      </c>
      <c r="B594" s="10" t="s">
        <v>342</v>
      </c>
      <c r="C594" s="12" t="s">
        <v>3454</v>
      </c>
      <c r="D594" s="11" t="s">
        <v>666</v>
      </c>
      <c r="E594" s="12" t="s">
        <v>769</v>
      </c>
      <c r="F594" s="13">
        <v>24</v>
      </c>
      <c r="G594" s="22">
        <f>Overview!$B$38</f>
        <v>26</v>
      </c>
      <c r="H594" s="114">
        <f t="shared" si="149"/>
        <v>26</v>
      </c>
      <c r="I594" s="114">
        <f>Overview!$E$38</f>
        <v>0</v>
      </c>
      <c r="J594" s="115">
        <f t="shared" si="150"/>
        <v>0</v>
      </c>
      <c r="K594" s="116">
        <f>Overview!$H$38</f>
        <v>0</v>
      </c>
      <c r="L594" s="51" t="e">
        <f t="shared" si="151"/>
        <v>#DIV/0!</v>
      </c>
      <c r="M594" s="179"/>
      <c r="N594" s="179" t="s">
        <v>972</v>
      </c>
      <c r="O594" s="141">
        <f t="shared" si="154"/>
        <v>0</v>
      </c>
      <c r="P594" s="181" t="b">
        <f>COUNTIF('Facility Data'!$A$1:$A$1500,"*"&amp;A594&amp;"*")&gt;0</f>
        <v>0</v>
      </c>
      <c r="Q594" s="181" t="b">
        <f>COUNTIF('Account Data'!$A$1:$A$1000,"*"&amp;A594&amp;"*")&gt;0</f>
        <v>1</v>
      </c>
      <c r="R594" s="182" t="b">
        <f t="shared" si="152"/>
        <v>0</v>
      </c>
      <c r="S594" s="182" t="b">
        <f t="shared" si="153"/>
        <v>1</v>
      </c>
      <c r="T594" s="181" t="b">
        <f>COUNTIF('New Items'!$A$1:$A$175,A594)&gt;0</f>
        <v>0</v>
      </c>
      <c r="U594" s="181" t="b">
        <f>COUNTIF(Discontinued!$A$1:$A$150,A594)&gt;0</f>
        <v>0</v>
      </c>
    </row>
    <row r="595" spans="1:21" s="8" customFormat="1" ht="11.25" x14ac:dyDescent="0.2">
      <c r="A595" s="152">
        <v>10087164</v>
      </c>
      <c r="B595" s="10" t="s">
        <v>344</v>
      </c>
      <c r="C595" s="12" t="s">
        <v>3455</v>
      </c>
      <c r="D595" s="11" t="s">
        <v>647</v>
      </c>
      <c r="E595" s="12" t="s">
        <v>769</v>
      </c>
      <c r="F595" s="13">
        <v>24</v>
      </c>
      <c r="G595" s="22">
        <f>Overview!$B$38</f>
        <v>26</v>
      </c>
      <c r="H595" s="114">
        <f t="shared" si="149"/>
        <v>26</v>
      </c>
      <c r="I595" s="114">
        <f>Overview!$E$38</f>
        <v>0</v>
      </c>
      <c r="J595" s="115">
        <f t="shared" si="150"/>
        <v>0</v>
      </c>
      <c r="K595" s="116">
        <f>Overview!$H$38</f>
        <v>0</v>
      </c>
      <c r="L595" s="51" t="e">
        <f t="shared" si="151"/>
        <v>#DIV/0!</v>
      </c>
      <c r="M595" s="179"/>
      <c r="N595" s="179" t="s">
        <v>972</v>
      </c>
      <c r="O595" s="141">
        <f t="shared" si="154"/>
        <v>0</v>
      </c>
      <c r="P595" s="181" t="b">
        <f>COUNTIF('Facility Data'!$A$1:$A$1500,"*"&amp;A595&amp;"*")&gt;0</f>
        <v>1</v>
      </c>
      <c r="Q595" s="181" t="b">
        <f>COUNTIF('Account Data'!$A$1:$A$1000,"*"&amp;A595&amp;"*")&gt;0</f>
        <v>1</v>
      </c>
      <c r="R595" s="182" t="b">
        <f t="shared" si="152"/>
        <v>1</v>
      </c>
      <c r="S595" s="182" t="b">
        <f t="shared" si="153"/>
        <v>1</v>
      </c>
      <c r="T595" s="181" t="b">
        <f>COUNTIF('New Items'!$A$1:$A$175,A595)&gt;0</f>
        <v>0</v>
      </c>
      <c r="U595" s="181" t="b">
        <f>COUNTIF(Discontinued!$A$1:$A$150,A595)&gt;0</f>
        <v>0</v>
      </c>
    </row>
    <row r="596" spans="1:21" s="8" customFormat="1" ht="11.25" x14ac:dyDescent="0.2">
      <c r="A596" s="152">
        <v>10087166</v>
      </c>
      <c r="B596" s="10" t="s">
        <v>346</v>
      </c>
      <c r="C596" s="12" t="s">
        <v>3457</v>
      </c>
      <c r="D596" s="11" t="s">
        <v>3456</v>
      </c>
      <c r="E596" s="12" t="s">
        <v>769</v>
      </c>
      <c r="F596" s="13">
        <v>24</v>
      </c>
      <c r="G596" s="22">
        <f>Overview!$B$38</f>
        <v>26</v>
      </c>
      <c r="H596" s="114">
        <f t="shared" si="149"/>
        <v>26</v>
      </c>
      <c r="I596" s="114">
        <f>Overview!$E$38</f>
        <v>0</v>
      </c>
      <c r="J596" s="115">
        <f t="shared" si="150"/>
        <v>0</v>
      </c>
      <c r="K596" s="116">
        <f>Overview!$H$38</f>
        <v>0</v>
      </c>
      <c r="L596" s="51" t="e">
        <f t="shared" si="151"/>
        <v>#DIV/0!</v>
      </c>
      <c r="M596" s="179"/>
      <c r="N596" s="179" t="s">
        <v>972</v>
      </c>
      <c r="O596" s="141">
        <f t="shared" si="154"/>
        <v>0</v>
      </c>
      <c r="P596" s="181" t="b">
        <f>COUNTIF('Facility Data'!$A$1:$A$1500,"*"&amp;A596&amp;"*")&gt;0</f>
        <v>0</v>
      </c>
      <c r="Q596" s="181" t="b">
        <f>COUNTIF('Account Data'!$A$1:$A$1000,"*"&amp;A596&amp;"*")&gt;0</f>
        <v>1</v>
      </c>
      <c r="R596" s="182" t="b">
        <f t="shared" si="152"/>
        <v>0</v>
      </c>
      <c r="S596" s="182" t="b">
        <f t="shared" si="153"/>
        <v>1</v>
      </c>
      <c r="T596" s="181" t="b">
        <f>COUNTIF('New Items'!$A$1:$A$175,A596)&gt;0</f>
        <v>0</v>
      </c>
      <c r="U596" s="181" t="b">
        <f>COUNTIF(Discontinued!$A$1:$A$150,A596)&gt;0</f>
        <v>0</v>
      </c>
    </row>
    <row r="597" spans="1:21" s="8" customFormat="1" ht="11.25" x14ac:dyDescent="0.2">
      <c r="A597" s="152">
        <v>10087169</v>
      </c>
      <c r="B597" s="10" t="s">
        <v>1323</v>
      </c>
      <c r="C597" s="12" t="s">
        <v>3458</v>
      </c>
      <c r="D597" s="11" t="s">
        <v>1322</v>
      </c>
      <c r="E597" s="12" t="s">
        <v>769</v>
      </c>
      <c r="F597" s="13">
        <v>24</v>
      </c>
      <c r="G597" s="22">
        <f>Overview!$B$38</f>
        <v>26</v>
      </c>
      <c r="H597" s="114">
        <f t="shared" si="149"/>
        <v>26</v>
      </c>
      <c r="I597" s="114">
        <f>Overview!$E$38</f>
        <v>0</v>
      </c>
      <c r="J597" s="115">
        <f t="shared" si="150"/>
        <v>0</v>
      </c>
      <c r="K597" s="116">
        <f>Overview!$H$38</f>
        <v>0</v>
      </c>
      <c r="L597" s="51" t="e">
        <f t="shared" si="151"/>
        <v>#DIV/0!</v>
      </c>
      <c r="M597" s="179"/>
      <c r="N597" s="179" t="s">
        <v>972</v>
      </c>
      <c r="O597" s="141">
        <f t="shared" si="154"/>
        <v>0</v>
      </c>
      <c r="P597" s="181" t="b">
        <f>COUNTIF('Facility Data'!$A$1:$A$1500,"*"&amp;A597&amp;"*")&gt;0</f>
        <v>0</v>
      </c>
      <c r="Q597" s="181" t="b">
        <f>COUNTIF('Account Data'!$A$1:$A$1000,"*"&amp;A597&amp;"*")&gt;0</f>
        <v>0</v>
      </c>
      <c r="R597" s="182" t="b">
        <f t="shared" si="152"/>
        <v>0</v>
      </c>
      <c r="S597" s="182" t="b">
        <f t="shared" si="153"/>
        <v>0</v>
      </c>
      <c r="T597" s="181" t="b">
        <f>COUNTIF('New Items'!$A$1:$A$175,A597)&gt;0</f>
        <v>0</v>
      </c>
      <c r="U597" s="181" t="b">
        <f>COUNTIF(Discontinued!$A$1:$A$150,A597)&gt;0</f>
        <v>0</v>
      </c>
    </row>
    <row r="598" spans="1:21" s="8" customFormat="1" ht="11.25" x14ac:dyDescent="0.2">
      <c r="A598" s="152">
        <v>10087167</v>
      </c>
      <c r="B598" s="10" t="s">
        <v>1542</v>
      </c>
      <c r="C598" s="12" t="s">
        <v>3459</v>
      </c>
      <c r="D598" s="11" t="s">
        <v>1548</v>
      </c>
      <c r="E598" s="12" t="s">
        <v>769</v>
      </c>
      <c r="F598" s="13">
        <v>24</v>
      </c>
      <c r="G598" s="22">
        <f>Overview!$B$38</f>
        <v>26</v>
      </c>
      <c r="H598" s="114">
        <f t="shared" si="149"/>
        <v>26</v>
      </c>
      <c r="I598" s="114">
        <f>Overview!$E$38</f>
        <v>0</v>
      </c>
      <c r="J598" s="115">
        <f t="shared" si="150"/>
        <v>0</v>
      </c>
      <c r="K598" s="116">
        <f>Overview!$H$38</f>
        <v>0</v>
      </c>
      <c r="L598" s="51" t="e">
        <f t="shared" si="151"/>
        <v>#DIV/0!</v>
      </c>
      <c r="M598" s="179"/>
      <c r="N598" s="179" t="s">
        <v>972</v>
      </c>
      <c r="O598" s="141">
        <f t="shared" si="154"/>
        <v>0</v>
      </c>
      <c r="P598" s="181" t="b">
        <f>COUNTIF('Facility Data'!$A$1:$A$1500,"*"&amp;A598&amp;"*")&gt;0</f>
        <v>0</v>
      </c>
      <c r="Q598" s="181" t="b">
        <f>COUNTIF('Account Data'!$A$1:$A$1000,"*"&amp;A598&amp;"*")&gt;0</f>
        <v>0</v>
      </c>
      <c r="R598" s="182" t="b">
        <f t="shared" si="152"/>
        <v>0</v>
      </c>
      <c r="S598" s="182" t="b">
        <f t="shared" si="153"/>
        <v>0</v>
      </c>
      <c r="T598" s="181" t="b">
        <f>COUNTIF('New Items'!$A$1:$A$175,A598)&gt;0</f>
        <v>0</v>
      </c>
      <c r="U598" s="181" t="b">
        <f>COUNTIF(Discontinued!$A$1:$A$150,A598)&gt;0</f>
        <v>0</v>
      </c>
    </row>
    <row r="599" spans="1:21" s="8" customFormat="1" ht="11.25" x14ac:dyDescent="0.2">
      <c r="A599" s="152">
        <v>10087170</v>
      </c>
      <c r="B599" s="10" t="s">
        <v>1544</v>
      </c>
      <c r="C599" s="12" t="s">
        <v>3460</v>
      </c>
      <c r="D599" s="11" t="s">
        <v>1549</v>
      </c>
      <c r="E599" s="12" t="s">
        <v>769</v>
      </c>
      <c r="F599" s="13">
        <v>24</v>
      </c>
      <c r="G599" s="22">
        <f>Overview!$B$38</f>
        <v>26</v>
      </c>
      <c r="H599" s="114">
        <f t="shared" si="149"/>
        <v>26</v>
      </c>
      <c r="I599" s="114">
        <f>Overview!$E$38</f>
        <v>0</v>
      </c>
      <c r="J599" s="115">
        <f t="shared" si="150"/>
        <v>0</v>
      </c>
      <c r="K599" s="116">
        <f>Overview!$H$38</f>
        <v>0</v>
      </c>
      <c r="L599" s="51" t="e">
        <f t="shared" si="151"/>
        <v>#DIV/0!</v>
      </c>
      <c r="M599" s="179"/>
      <c r="N599" s="179" t="s">
        <v>972</v>
      </c>
      <c r="O599" s="141">
        <f t="shared" si="154"/>
        <v>0</v>
      </c>
      <c r="P599" s="181" t="b">
        <f>COUNTIF('Facility Data'!$A$1:$A$1500,"*"&amp;A599&amp;"*")&gt;0</f>
        <v>0</v>
      </c>
      <c r="Q599" s="181" t="b">
        <f>COUNTIF('Account Data'!$A$1:$A$1000,"*"&amp;A599&amp;"*")&gt;0</f>
        <v>0</v>
      </c>
      <c r="R599" s="182" t="b">
        <f t="shared" si="152"/>
        <v>0</v>
      </c>
      <c r="S599" s="182" t="b">
        <f t="shared" si="153"/>
        <v>0</v>
      </c>
      <c r="T599" s="181" t="b">
        <f>COUNTIF('New Items'!$A$1:$A$175,A599)&gt;0</f>
        <v>0</v>
      </c>
      <c r="U599" s="181" t="b">
        <f>COUNTIF(Discontinued!$A$1:$A$150,A599)&gt;0</f>
        <v>0</v>
      </c>
    </row>
    <row r="600" spans="1:21" s="8" customFormat="1" ht="12" thickBot="1" x14ac:dyDescent="0.25">
      <c r="A600" s="152">
        <v>10087168</v>
      </c>
      <c r="B600" s="10" t="s">
        <v>1546</v>
      </c>
      <c r="C600" s="12" t="s">
        <v>3461</v>
      </c>
      <c r="D600" s="11" t="s">
        <v>1550</v>
      </c>
      <c r="E600" s="12" t="s">
        <v>769</v>
      </c>
      <c r="F600" s="13">
        <v>24</v>
      </c>
      <c r="G600" s="22">
        <f>Overview!$B$38</f>
        <v>26</v>
      </c>
      <c r="H600" s="114">
        <f t="shared" si="149"/>
        <v>26</v>
      </c>
      <c r="I600" s="114">
        <f>Overview!$E$38</f>
        <v>0</v>
      </c>
      <c r="J600" s="115">
        <f t="shared" si="150"/>
        <v>0</v>
      </c>
      <c r="K600" s="116">
        <f>Overview!$H$38</f>
        <v>0</v>
      </c>
      <c r="L600" s="51" t="e">
        <f t="shared" si="151"/>
        <v>#DIV/0!</v>
      </c>
      <c r="M600" s="179"/>
      <c r="N600" s="179" t="s">
        <v>972</v>
      </c>
      <c r="O600" s="141">
        <f t="shared" si="154"/>
        <v>0</v>
      </c>
      <c r="P600" s="181" t="b">
        <f>COUNTIF('Facility Data'!$A$1:$A$1500,"*"&amp;A600&amp;"*")&gt;0</f>
        <v>0</v>
      </c>
      <c r="Q600" s="181" t="b">
        <f>COUNTIF('Account Data'!$A$1:$A$1000,"*"&amp;A600&amp;"*")&gt;0</f>
        <v>0</v>
      </c>
      <c r="R600" s="182" t="b">
        <f t="shared" si="152"/>
        <v>0</v>
      </c>
      <c r="S600" s="182" t="b">
        <f t="shared" si="153"/>
        <v>0</v>
      </c>
      <c r="T600" s="181" t="b">
        <f>COUNTIF('New Items'!$A$1:$A$175,A600)&gt;0</f>
        <v>0</v>
      </c>
      <c r="U600" s="181" t="b">
        <f>COUNTIF(Discontinued!$A$1:$A$150,A600)&gt;0</f>
        <v>0</v>
      </c>
    </row>
    <row r="601" spans="1:21" s="8" customFormat="1" ht="13.5" thickBot="1" x14ac:dyDescent="0.25">
      <c r="A601" s="300" t="s">
        <v>3281</v>
      </c>
      <c r="B601" s="301"/>
      <c r="C601" s="301"/>
      <c r="D601" s="301"/>
      <c r="E601" s="301"/>
      <c r="F601" s="301"/>
      <c r="G601" s="301"/>
      <c r="H601" s="301"/>
      <c r="I601" s="301"/>
      <c r="J601" s="301"/>
      <c r="K601" s="301"/>
      <c r="L601" s="302"/>
      <c r="M601" s="179" t="s">
        <v>4361</v>
      </c>
      <c r="N601" s="179" t="s">
        <v>3449</v>
      </c>
      <c r="O601" s="141">
        <f>AVERAGE(O602:O611)</f>
        <v>0</v>
      </c>
      <c r="P601" s="181" t="b">
        <f>COUNTIF(P602:P611,TRUE)&gt;0</f>
        <v>1</v>
      </c>
      <c r="Q601" s="181" t="b">
        <f>COUNTIF(Q602:Q611,TRUE)&gt;0</f>
        <v>1</v>
      </c>
      <c r="R601" s="181" t="b">
        <f>COUNTIF(R602:R611,TRUE)&gt;0</f>
        <v>1</v>
      </c>
      <c r="S601" s="181" t="b">
        <f>COUNTIF(S602:S611,TRUE)&gt;0</f>
        <v>1</v>
      </c>
      <c r="T601" s="181" t="b">
        <f>COUNTIF(T602:T611,TRUE)&gt;0</f>
        <v>0</v>
      </c>
      <c r="U601" s="181"/>
    </row>
    <row r="602" spans="1:21" s="8" customFormat="1" ht="11.25" x14ac:dyDescent="0.2">
      <c r="A602" s="152">
        <v>10087165</v>
      </c>
      <c r="B602" s="10" t="s">
        <v>336</v>
      </c>
      <c r="C602" s="12" t="s">
        <v>337</v>
      </c>
      <c r="D602" s="11" t="s">
        <v>663</v>
      </c>
      <c r="E602" s="12" t="s">
        <v>769</v>
      </c>
      <c r="F602" s="13">
        <v>6</v>
      </c>
      <c r="G602" s="22">
        <f>Overview!$B$39</f>
        <v>26</v>
      </c>
      <c r="H602" s="114">
        <f t="shared" ref="H602:H611" si="155">G602-I602</f>
        <v>26</v>
      </c>
      <c r="I602" s="114">
        <f>Overview!$E$39</f>
        <v>0</v>
      </c>
      <c r="J602" s="115">
        <f t="shared" ref="J602:J611" si="156">I602/F602</f>
        <v>0</v>
      </c>
      <c r="K602" s="116">
        <f>Overview!$H$39</f>
        <v>0</v>
      </c>
      <c r="L602" s="117" t="e">
        <f t="shared" ref="L602:L611" si="157">(K602-J602)/K602</f>
        <v>#DIV/0!</v>
      </c>
      <c r="M602" s="179"/>
      <c r="N602" s="179" t="s">
        <v>3449</v>
      </c>
      <c r="O602" s="141">
        <f>I602</f>
        <v>0</v>
      </c>
      <c r="P602" s="181" t="b">
        <f>COUNTIF('Facility Data'!$A$1:$A$1500,"*"&amp;A602&amp;"*")&gt;0</f>
        <v>1</v>
      </c>
      <c r="Q602" s="181" t="b">
        <f>COUNTIF('Account Data'!$A$1:$A$1000,"*"&amp;A602&amp;"*")&gt;0</f>
        <v>1</v>
      </c>
      <c r="R602" s="182" t="b">
        <f t="shared" ref="R602:R611" si="158">IF(OR(P602=TRUE,T602=TRUE),TRUE,FALSE)</f>
        <v>1</v>
      </c>
      <c r="S602" s="182" t="b">
        <f t="shared" ref="S602:S611" si="159">IF(OR(Q602=TRUE,T602=TRUE),TRUE,FALSE)</f>
        <v>1</v>
      </c>
      <c r="T602" s="181" t="b">
        <f>COUNTIF('New Items'!$A$1:$A$175,A602)&gt;0</f>
        <v>0</v>
      </c>
      <c r="U602" s="181" t="b">
        <f>COUNTIF(Discontinued!$A$1:$A$150,A602)&gt;0</f>
        <v>0</v>
      </c>
    </row>
    <row r="603" spans="1:21" s="8" customFormat="1" ht="11.25" x14ac:dyDescent="0.2">
      <c r="A603" s="152">
        <v>10000360</v>
      </c>
      <c r="B603" s="10" t="s">
        <v>338</v>
      </c>
      <c r="C603" s="12" t="s">
        <v>339</v>
      </c>
      <c r="D603" s="11" t="s">
        <v>664</v>
      </c>
      <c r="E603" s="12" t="s">
        <v>769</v>
      </c>
      <c r="F603" s="13">
        <v>6</v>
      </c>
      <c r="G603" s="22">
        <f>Overview!$B$39</f>
        <v>26</v>
      </c>
      <c r="H603" s="114">
        <f t="shared" si="155"/>
        <v>26</v>
      </c>
      <c r="I603" s="114">
        <f>Overview!$E$39</f>
        <v>0</v>
      </c>
      <c r="J603" s="115">
        <f t="shared" si="156"/>
        <v>0</v>
      </c>
      <c r="K603" s="116">
        <f>Overview!$H$39</f>
        <v>0</v>
      </c>
      <c r="L603" s="51" t="e">
        <f t="shared" si="157"/>
        <v>#DIV/0!</v>
      </c>
      <c r="M603" s="179"/>
      <c r="N603" s="179" t="s">
        <v>3449</v>
      </c>
      <c r="O603" s="141">
        <f t="shared" ref="O603:O611" si="160">I603</f>
        <v>0</v>
      </c>
      <c r="P603" s="181" t="b">
        <f>COUNTIF('Facility Data'!$A$1:$A$1500,"*"&amp;A603&amp;"*")&gt;0</f>
        <v>0</v>
      </c>
      <c r="Q603" s="181" t="b">
        <f>COUNTIF('Account Data'!$A$1:$A$1000,"*"&amp;A603&amp;"*")&gt;0</f>
        <v>0</v>
      </c>
      <c r="R603" s="182" t="b">
        <f t="shared" si="158"/>
        <v>0</v>
      </c>
      <c r="S603" s="182" t="b">
        <f t="shared" si="159"/>
        <v>0</v>
      </c>
      <c r="T603" s="181" t="b">
        <f>COUNTIF('New Items'!$A$1:$A$175,A603)&gt;0</f>
        <v>0</v>
      </c>
      <c r="U603" s="181" t="b">
        <f>COUNTIF(Discontinued!$A$1:$A$150,A603)&gt;0</f>
        <v>0</v>
      </c>
    </row>
    <row r="604" spans="1:21" s="8" customFormat="1" ht="11.25" x14ac:dyDescent="0.2">
      <c r="A604" s="152">
        <v>10087163</v>
      </c>
      <c r="B604" s="10" t="s">
        <v>340</v>
      </c>
      <c r="C604" s="12" t="s">
        <v>341</v>
      </c>
      <c r="D604" s="11" t="s">
        <v>665</v>
      </c>
      <c r="E604" s="12" t="s">
        <v>769</v>
      </c>
      <c r="F604" s="13">
        <v>6</v>
      </c>
      <c r="G604" s="22">
        <f>Overview!$B$39</f>
        <v>26</v>
      </c>
      <c r="H604" s="114">
        <f t="shared" si="155"/>
        <v>26</v>
      </c>
      <c r="I604" s="114">
        <f>Overview!$E$39</f>
        <v>0</v>
      </c>
      <c r="J604" s="115">
        <f t="shared" si="156"/>
        <v>0</v>
      </c>
      <c r="K604" s="116">
        <f>Overview!$H$39</f>
        <v>0</v>
      </c>
      <c r="L604" s="51" t="e">
        <f t="shared" si="157"/>
        <v>#DIV/0!</v>
      </c>
      <c r="M604" s="179"/>
      <c r="N604" s="179" t="s">
        <v>3449</v>
      </c>
      <c r="O604" s="141">
        <f t="shared" si="160"/>
        <v>0</v>
      </c>
      <c r="P604" s="181" t="b">
        <f>COUNTIF('Facility Data'!$A$1:$A$1500,"*"&amp;A604&amp;"*")&gt;0</f>
        <v>1</v>
      </c>
      <c r="Q604" s="181" t="b">
        <f>COUNTIF('Account Data'!$A$1:$A$1000,"*"&amp;A604&amp;"*")&gt;0</f>
        <v>1</v>
      </c>
      <c r="R604" s="182" t="b">
        <f t="shared" si="158"/>
        <v>1</v>
      </c>
      <c r="S604" s="182" t="b">
        <f t="shared" si="159"/>
        <v>1</v>
      </c>
      <c r="T604" s="181" t="b">
        <f>COUNTIF('New Items'!$A$1:$A$175,A604)&gt;0</f>
        <v>0</v>
      </c>
      <c r="U604" s="181" t="b">
        <f>COUNTIF(Discontinued!$A$1:$A$150,A604)&gt;0</f>
        <v>0</v>
      </c>
    </row>
    <row r="605" spans="1:21" s="8" customFormat="1" ht="11.25" x14ac:dyDescent="0.2">
      <c r="A605" s="152">
        <v>10000368</v>
      </c>
      <c r="B605" s="10" t="s">
        <v>342</v>
      </c>
      <c r="C605" s="12" t="s">
        <v>343</v>
      </c>
      <c r="D605" s="11" t="s">
        <v>666</v>
      </c>
      <c r="E605" s="12" t="s">
        <v>769</v>
      </c>
      <c r="F605" s="13">
        <v>6</v>
      </c>
      <c r="G605" s="22">
        <f>Overview!$B$39</f>
        <v>26</v>
      </c>
      <c r="H605" s="114">
        <f t="shared" si="155"/>
        <v>26</v>
      </c>
      <c r="I605" s="114">
        <f>Overview!$E$39</f>
        <v>0</v>
      </c>
      <c r="J605" s="115">
        <f t="shared" si="156"/>
        <v>0</v>
      </c>
      <c r="K605" s="116">
        <f>Overview!$H$39</f>
        <v>0</v>
      </c>
      <c r="L605" s="51" t="e">
        <f t="shared" si="157"/>
        <v>#DIV/0!</v>
      </c>
      <c r="M605" s="179"/>
      <c r="N605" s="179" t="s">
        <v>3449</v>
      </c>
      <c r="O605" s="141">
        <f t="shared" si="160"/>
        <v>0</v>
      </c>
      <c r="P605" s="181" t="b">
        <f>COUNTIF('Facility Data'!$A$1:$A$1500,"*"&amp;A605&amp;"*")&gt;0</f>
        <v>0</v>
      </c>
      <c r="Q605" s="181" t="b">
        <f>COUNTIF('Account Data'!$A$1:$A$1000,"*"&amp;A605&amp;"*")&gt;0</f>
        <v>1</v>
      </c>
      <c r="R605" s="182" t="b">
        <f t="shared" si="158"/>
        <v>0</v>
      </c>
      <c r="S605" s="182" t="b">
        <f t="shared" si="159"/>
        <v>1</v>
      </c>
      <c r="T605" s="181" t="b">
        <f>COUNTIF('New Items'!$A$1:$A$175,A605)&gt;0</f>
        <v>0</v>
      </c>
      <c r="U605" s="181" t="b">
        <f>COUNTIF(Discontinued!$A$1:$A$150,A605)&gt;0</f>
        <v>0</v>
      </c>
    </row>
    <row r="606" spans="1:21" s="8" customFormat="1" ht="11.25" x14ac:dyDescent="0.2">
      <c r="A606" s="152">
        <v>10087164</v>
      </c>
      <c r="B606" s="10" t="s">
        <v>344</v>
      </c>
      <c r="C606" s="12" t="s">
        <v>345</v>
      </c>
      <c r="D606" s="11" t="s">
        <v>647</v>
      </c>
      <c r="E606" s="12" t="s">
        <v>769</v>
      </c>
      <c r="F606" s="13">
        <v>6</v>
      </c>
      <c r="G606" s="22">
        <f>Overview!$B$39</f>
        <v>26</v>
      </c>
      <c r="H606" s="114">
        <f t="shared" si="155"/>
        <v>26</v>
      </c>
      <c r="I606" s="114">
        <f>Overview!$E$39</f>
        <v>0</v>
      </c>
      <c r="J606" s="115">
        <f t="shared" si="156"/>
        <v>0</v>
      </c>
      <c r="K606" s="116">
        <f>Overview!$H$39</f>
        <v>0</v>
      </c>
      <c r="L606" s="51" t="e">
        <f t="shared" si="157"/>
        <v>#DIV/0!</v>
      </c>
      <c r="M606" s="179"/>
      <c r="N606" s="179" t="s">
        <v>3449</v>
      </c>
      <c r="O606" s="141">
        <f t="shared" si="160"/>
        <v>0</v>
      </c>
      <c r="P606" s="181" t="b">
        <f>COUNTIF('Facility Data'!$A$1:$A$1500,"*"&amp;A606&amp;"*")&gt;0</f>
        <v>1</v>
      </c>
      <c r="Q606" s="181" t="b">
        <f>COUNTIF('Account Data'!$A$1:$A$1000,"*"&amp;A606&amp;"*")&gt;0</f>
        <v>1</v>
      </c>
      <c r="R606" s="182" t="b">
        <f t="shared" si="158"/>
        <v>1</v>
      </c>
      <c r="S606" s="182" t="b">
        <f t="shared" si="159"/>
        <v>1</v>
      </c>
      <c r="T606" s="181" t="b">
        <f>COUNTIF('New Items'!$A$1:$A$175,A606)&gt;0</f>
        <v>0</v>
      </c>
      <c r="U606" s="181" t="b">
        <f>COUNTIF(Discontinued!$A$1:$A$150,A606)&gt;0</f>
        <v>0</v>
      </c>
    </row>
    <row r="607" spans="1:21" s="8" customFormat="1" ht="11.25" x14ac:dyDescent="0.2">
      <c r="A607" s="152">
        <v>10087166</v>
      </c>
      <c r="B607" s="10" t="s">
        <v>346</v>
      </c>
      <c r="C607" s="12" t="s">
        <v>347</v>
      </c>
      <c r="D607" s="11" t="s">
        <v>3456</v>
      </c>
      <c r="E607" s="12" t="s">
        <v>769</v>
      </c>
      <c r="F607" s="13">
        <v>6</v>
      </c>
      <c r="G607" s="22">
        <f>Overview!$B$39</f>
        <v>26</v>
      </c>
      <c r="H607" s="114">
        <f t="shared" si="155"/>
        <v>26</v>
      </c>
      <c r="I607" s="114">
        <f>Overview!$E$39</f>
        <v>0</v>
      </c>
      <c r="J607" s="115">
        <f t="shared" si="156"/>
        <v>0</v>
      </c>
      <c r="K607" s="116">
        <f>Overview!$H$39</f>
        <v>0</v>
      </c>
      <c r="L607" s="51" t="e">
        <f t="shared" si="157"/>
        <v>#DIV/0!</v>
      </c>
      <c r="M607" s="179"/>
      <c r="N607" s="179" t="s">
        <v>3449</v>
      </c>
      <c r="O607" s="141">
        <f t="shared" si="160"/>
        <v>0</v>
      </c>
      <c r="P607" s="181" t="b">
        <f>COUNTIF('Facility Data'!$A$1:$A$1500,"*"&amp;A607&amp;"*")&gt;0</f>
        <v>0</v>
      </c>
      <c r="Q607" s="181" t="b">
        <f>COUNTIF('Account Data'!$A$1:$A$1000,"*"&amp;A607&amp;"*")&gt;0</f>
        <v>1</v>
      </c>
      <c r="R607" s="182" t="b">
        <f t="shared" si="158"/>
        <v>0</v>
      </c>
      <c r="S607" s="182" t="b">
        <f t="shared" si="159"/>
        <v>1</v>
      </c>
      <c r="T607" s="181" t="b">
        <f>COUNTIF('New Items'!$A$1:$A$175,A607)&gt;0</f>
        <v>0</v>
      </c>
      <c r="U607" s="181" t="b">
        <f>COUNTIF(Discontinued!$A$1:$A$150,A607)&gt;0</f>
        <v>0</v>
      </c>
    </row>
    <row r="608" spans="1:21" s="8" customFormat="1" ht="11.25" x14ac:dyDescent="0.2">
      <c r="A608" s="152">
        <v>10087169</v>
      </c>
      <c r="B608" s="10" t="s">
        <v>1323</v>
      </c>
      <c r="C608" s="12" t="s">
        <v>1324</v>
      </c>
      <c r="D608" s="11" t="s">
        <v>1322</v>
      </c>
      <c r="E608" s="12" t="s">
        <v>769</v>
      </c>
      <c r="F608" s="13">
        <v>6</v>
      </c>
      <c r="G608" s="22">
        <f>Overview!$B$39</f>
        <v>26</v>
      </c>
      <c r="H608" s="114">
        <f t="shared" si="155"/>
        <v>26</v>
      </c>
      <c r="I608" s="114">
        <f>Overview!$E$39</f>
        <v>0</v>
      </c>
      <c r="J608" s="115">
        <f t="shared" si="156"/>
        <v>0</v>
      </c>
      <c r="K608" s="116">
        <f>Overview!$H$39</f>
        <v>0</v>
      </c>
      <c r="L608" s="51" t="e">
        <f t="shared" si="157"/>
        <v>#DIV/0!</v>
      </c>
      <c r="M608" s="179"/>
      <c r="N608" s="179" t="s">
        <v>3449</v>
      </c>
      <c r="O608" s="141">
        <f t="shared" si="160"/>
        <v>0</v>
      </c>
      <c r="P608" s="181" t="b">
        <f>COUNTIF('Facility Data'!$A$1:$A$1500,"*"&amp;A608&amp;"*")&gt;0</f>
        <v>0</v>
      </c>
      <c r="Q608" s="181" t="b">
        <f>COUNTIF('Account Data'!$A$1:$A$1000,"*"&amp;A608&amp;"*")&gt;0</f>
        <v>0</v>
      </c>
      <c r="R608" s="182" t="b">
        <f t="shared" si="158"/>
        <v>0</v>
      </c>
      <c r="S608" s="182" t="b">
        <f t="shared" si="159"/>
        <v>0</v>
      </c>
      <c r="T608" s="181" t="b">
        <f>COUNTIF('New Items'!$A$1:$A$175,A608)&gt;0</f>
        <v>0</v>
      </c>
      <c r="U608" s="181" t="b">
        <f>COUNTIF(Discontinued!$A$1:$A$150,A608)&gt;0</f>
        <v>0</v>
      </c>
    </row>
    <row r="609" spans="1:21" s="8" customFormat="1" ht="11.25" x14ac:dyDescent="0.2">
      <c r="A609" s="152">
        <v>10087167</v>
      </c>
      <c r="B609" s="10" t="s">
        <v>1542</v>
      </c>
      <c r="C609" s="12" t="s">
        <v>1543</v>
      </c>
      <c r="D609" s="11" t="s">
        <v>1548</v>
      </c>
      <c r="E609" s="12" t="s">
        <v>769</v>
      </c>
      <c r="F609" s="13">
        <v>6</v>
      </c>
      <c r="G609" s="22">
        <f>Overview!$B$39</f>
        <v>26</v>
      </c>
      <c r="H609" s="114">
        <f t="shared" si="155"/>
        <v>26</v>
      </c>
      <c r="I609" s="114">
        <f>Overview!$E$39</f>
        <v>0</v>
      </c>
      <c r="J609" s="115">
        <f t="shared" si="156"/>
        <v>0</v>
      </c>
      <c r="K609" s="116">
        <f>Overview!$H$39</f>
        <v>0</v>
      </c>
      <c r="L609" s="51" t="e">
        <f t="shared" si="157"/>
        <v>#DIV/0!</v>
      </c>
      <c r="M609" s="179"/>
      <c r="N609" s="179" t="s">
        <v>3449</v>
      </c>
      <c r="O609" s="141">
        <f>I609</f>
        <v>0</v>
      </c>
      <c r="P609" s="181" t="b">
        <f>COUNTIF('Facility Data'!$A$1:$A$1500,"*"&amp;A609&amp;"*")&gt;0</f>
        <v>0</v>
      </c>
      <c r="Q609" s="181" t="b">
        <f>COUNTIF('Account Data'!$A$1:$A$1000,"*"&amp;A609&amp;"*")&gt;0</f>
        <v>0</v>
      </c>
      <c r="R609" s="182" t="b">
        <f t="shared" si="158"/>
        <v>0</v>
      </c>
      <c r="S609" s="182" t="b">
        <f t="shared" si="159"/>
        <v>0</v>
      </c>
      <c r="T609" s="181" t="b">
        <f>COUNTIF('New Items'!$A$1:$A$175,A609)&gt;0</f>
        <v>0</v>
      </c>
      <c r="U609" s="181" t="b">
        <f>COUNTIF(Discontinued!$A$1:$A$150,A609)&gt;0</f>
        <v>0</v>
      </c>
    </row>
    <row r="610" spans="1:21" s="8" customFormat="1" ht="11.25" x14ac:dyDescent="0.2">
      <c r="A610" s="152">
        <v>10087170</v>
      </c>
      <c r="B610" s="10" t="s">
        <v>1544</v>
      </c>
      <c r="C610" s="12" t="s">
        <v>1545</v>
      </c>
      <c r="D610" s="11" t="s">
        <v>1549</v>
      </c>
      <c r="E610" s="12" t="s">
        <v>769</v>
      </c>
      <c r="F610" s="13">
        <v>6</v>
      </c>
      <c r="G610" s="22">
        <f>Overview!$B$39</f>
        <v>26</v>
      </c>
      <c r="H610" s="114">
        <f t="shared" si="155"/>
        <v>26</v>
      </c>
      <c r="I610" s="114">
        <f>Overview!$E$39</f>
        <v>0</v>
      </c>
      <c r="J610" s="115">
        <f t="shared" si="156"/>
        <v>0</v>
      </c>
      <c r="K610" s="116">
        <f>Overview!$H$39</f>
        <v>0</v>
      </c>
      <c r="L610" s="51" t="e">
        <f t="shared" si="157"/>
        <v>#DIV/0!</v>
      </c>
      <c r="M610" s="179"/>
      <c r="N610" s="179" t="s">
        <v>3449</v>
      </c>
      <c r="O610" s="141">
        <f>I610</f>
        <v>0</v>
      </c>
      <c r="P610" s="181" t="b">
        <f>COUNTIF('Facility Data'!$A$1:$A$1500,"*"&amp;A610&amp;"*")&gt;0</f>
        <v>0</v>
      </c>
      <c r="Q610" s="181" t="b">
        <f>COUNTIF('Account Data'!$A$1:$A$1000,"*"&amp;A610&amp;"*")&gt;0</f>
        <v>0</v>
      </c>
      <c r="R610" s="182" t="b">
        <f t="shared" si="158"/>
        <v>0</v>
      </c>
      <c r="S610" s="182" t="b">
        <f t="shared" si="159"/>
        <v>0</v>
      </c>
      <c r="T610" s="181" t="b">
        <f>COUNTIF('New Items'!$A$1:$A$175,A610)&gt;0</f>
        <v>0</v>
      </c>
      <c r="U610" s="181" t="b">
        <f>COUNTIF(Discontinued!$A$1:$A$150,A610)&gt;0</f>
        <v>0</v>
      </c>
    </row>
    <row r="611" spans="1:21" s="8" customFormat="1" ht="12" thickBot="1" x14ac:dyDescent="0.25">
      <c r="A611" s="152">
        <v>10087168</v>
      </c>
      <c r="B611" s="10" t="s">
        <v>1546</v>
      </c>
      <c r="C611" s="12" t="s">
        <v>1547</v>
      </c>
      <c r="D611" s="11" t="s">
        <v>1550</v>
      </c>
      <c r="E611" s="12" t="s">
        <v>769</v>
      </c>
      <c r="F611" s="13">
        <v>6</v>
      </c>
      <c r="G611" s="22">
        <f>Overview!$B$39</f>
        <v>26</v>
      </c>
      <c r="H611" s="114">
        <f t="shared" si="155"/>
        <v>26</v>
      </c>
      <c r="I611" s="114">
        <f>Overview!$E$39</f>
        <v>0</v>
      </c>
      <c r="J611" s="115">
        <f t="shared" si="156"/>
        <v>0</v>
      </c>
      <c r="K611" s="116">
        <f>Overview!$H$39</f>
        <v>0</v>
      </c>
      <c r="L611" s="51" t="e">
        <f t="shared" si="157"/>
        <v>#DIV/0!</v>
      </c>
      <c r="M611" s="179"/>
      <c r="N611" s="179" t="s">
        <v>3449</v>
      </c>
      <c r="O611" s="141">
        <f t="shared" si="160"/>
        <v>0</v>
      </c>
      <c r="P611" s="181" t="b">
        <f>COUNTIF('Facility Data'!$A$1:$A$1500,"*"&amp;A611&amp;"*")&gt;0</f>
        <v>0</v>
      </c>
      <c r="Q611" s="181" t="b">
        <f>COUNTIF('Account Data'!$A$1:$A$1000,"*"&amp;A611&amp;"*")&gt;0</f>
        <v>0</v>
      </c>
      <c r="R611" s="182" t="b">
        <f t="shared" si="158"/>
        <v>0</v>
      </c>
      <c r="S611" s="182" t="b">
        <f t="shared" si="159"/>
        <v>0</v>
      </c>
      <c r="T611" s="181" t="b">
        <f>COUNTIF('New Items'!$A$1:$A$175,A611)&gt;0</f>
        <v>0</v>
      </c>
      <c r="U611" s="181" t="b">
        <f>COUNTIF(Discontinued!$A$1:$A$150,A611)&gt;0</f>
        <v>0</v>
      </c>
    </row>
    <row r="612" spans="1:21" s="8" customFormat="1" ht="13.5" thickBot="1" x14ac:dyDescent="0.25">
      <c r="A612" s="300" t="s">
        <v>2510</v>
      </c>
      <c r="B612" s="301"/>
      <c r="C612" s="301"/>
      <c r="D612" s="301"/>
      <c r="E612" s="301"/>
      <c r="F612" s="301"/>
      <c r="G612" s="301"/>
      <c r="H612" s="301"/>
      <c r="I612" s="301"/>
      <c r="J612" s="301"/>
      <c r="K612" s="301"/>
      <c r="L612" s="302"/>
      <c r="M612" s="179" t="s">
        <v>4361</v>
      </c>
      <c r="N612" s="179" t="s">
        <v>3127</v>
      </c>
      <c r="O612" s="141">
        <f>AVERAGE(O613:O630)</f>
        <v>0</v>
      </c>
      <c r="P612" s="181" t="b">
        <f>COUNTIF(P613:P630,TRUE)&gt;0</f>
        <v>1</v>
      </c>
      <c r="Q612" s="181" t="b">
        <f>COUNTIF(Q613:Q630,TRUE)&gt;0</f>
        <v>1</v>
      </c>
      <c r="R612" s="181" t="b">
        <f>COUNTIF(R613:R630,TRUE)&gt;0</f>
        <v>1</v>
      </c>
      <c r="S612" s="181" t="b">
        <f>COUNTIF(S613:S630,TRUE)&gt;0</f>
        <v>1</v>
      </c>
      <c r="T612" s="181" t="b">
        <f>COUNTIF(T613:T630,TRUE)&gt;0</f>
        <v>0</v>
      </c>
      <c r="U612" s="181"/>
    </row>
    <row r="613" spans="1:21" s="8" customFormat="1" ht="11.25" x14ac:dyDescent="0.2">
      <c r="A613" s="152">
        <v>10000703</v>
      </c>
      <c r="B613" s="10" t="s">
        <v>2511</v>
      </c>
      <c r="C613" s="12" t="s">
        <v>2512</v>
      </c>
      <c r="D613" s="11" t="s">
        <v>629</v>
      </c>
      <c r="E613" s="12" t="s">
        <v>2551</v>
      </c>
      <c r="F613" s="13">
        <v>1</v>
      </c>
      <c r="G613" s="22">
        <f>Overview!$B$42</f>
        <v>84</v>
      </c>
      <c r="H613" s="114">
        <f>G613-I613</f>
        <v>84</v>
      </c>
      <c r="I613" s="114">
        <f>Overview!$E$42</f>
        <v>0</v>
      </c>
      <c r="J613" s="115">
        <f>I613/F613</f>
        <v>0</v>
      </c>
      <c r="K613" s="116">
        <f>Overview!$H$42</f>
        <v>0</v>
      </c>
      <c r="L613" s="117" t="e">
        <f>(K613-J613)/K613</f>
        <v>#DIV/0!</v>
      </c>
      <c r="M613" s="179" t="s">
        <v>951</v>
      </c>
      <c r="N613" s="179" t="s">
        <v>3127</v>
      </c>
      <c r="O613" s="141">
        <f>I613</f>
        <v>0</v>
      </c>
      <c r="P613" s="181" t="b">
        <f>COUNTIF('Facility Data'!$A$1:$A$1500,"*"&amp;A613&amp;"*")&gt;0</f>
        <v>0</v>
      </c>
      <c r="Q613" s="181" t="b">
        <f>COUNTIF('Account Data'!$A$1:$A$1000,"*"&amp;A613&amp;"*")&gt;0</f>
        <v>1</v>
      </c>
      <c r="R613" s="182" t="b">
        <f t="shared" ref="R613:R630" si="161">IF(OR(P613=TRUE,T613=TRUE),TRUE,FALSE)</f>
        <v>0</v>
      </c>
      <c r="S613" s="182" t="b">
        <f t="shared" ref="S613:S630" si="162">IF(OR(Q613=TRUE,T613=TRUE),TRUE,FALSE)</f>
        <v>1</v>
      </c>
      <c r="T613" s="181" t="b">
        <f>COUNTIF('New Items'!$A$1:$A$175,A613)&gt;0</f>
        <v>0</v>
      </c>
      <c r="U613" s="181" t="b">
        <f>COUNTIF(Discontinued!$A$1:$A$150,A613)&gt;0</f>
        <v>0</v>
      </c>
    </row>
    <row r="614" spans="1:21" s="8" customFormat="1" ht="11.25" x14ac:dyDescent="0.2">
      <c r="A614" s="152">
        <v>10000319</v>
      </c>
      <c r="B614" s="10" t="s">
        <v>2513</v>
      </c>
      <c r="C614" s="12" t="s">
        <v>2512</v>
      </c>
      <c r="D614" s="11" t="s">
        <v>2544</v>
      </c>
      <c r="E614" s="12" t="s">
        <v>2551</v>
      </c>
      <c r="F614" s="13">
        <v>1</v>
      </c>
      <c r="G614" s="22">
        <f>Overview!$B$42</f>
        <v>84</v>
      </c>
      <c r="H614" s="114">
        <f t="shared" ref="H614:H622" si="163">G614-I614</f>
        <v>84</v>
      </c>
      <c r="I614" s="114">
        <f>Overview!$E$42</f>
        <v>0</v>
      </c>
      <c r="J614" s="115">
        <f t="shared" ref="J614:J622" si="164">I614/F614</f>
        <v>0</v>
      </c>
      <c r="K614" s="116">
        <f>Overview!$H$42</f>
        <v>0</v>
      </c>
      <c r="L614" s="117" t="e">
        <f t="shared" ref="L614:L622" si="165">(K614-J614)/K614</f>
        <v>#DIV/0!</v>
      </c>
      <c r="M614" s="179" t="s">
        <v>951</v>
      </c>
      <c r="N614" s="179" t="s">
        <v>3127</v>
      </c>
      <c r="O614" s="141">
        <f t="shared" ref="O614:O622" si="166">I614</f>
        <v>0</v>
      </c>
      <c r="P614" s="181" t="b">
        <f>COUNTIF('Facility Data'!$A$1:$A$1500,"*"&amp;A614&amp;"*")&gt;0</f>
        <v>0</v>
      </c>
      <c r="Q614" s="181" t="b">
        <f>COUNTIF('Account Data'!$A$1:$A$1000,"*"&amp;A614&amp;"*")&gt;0</f>
        <v>0</v>
      </c>
      <c r="R614" s="182" t="b">
        <f t="shared" si="161"/>
        <v>0</v>
      </c>
      <c r="S614" s="182" t="b">
        <f t="shared" si="162"/>
        <v>0</v>
      </c>
      <c r="T614" s="181" t="b">
        <f>COUNTIF('New Items'!$A$1:$A$175,A614)&gt;0</f>
        <v>0</v>
      </c>
      <c r="U614" s="181" t="b">
        <f>COUNTIF(Discontinued!$A$1:$A$150,A614)&gt;0</f>
        <v>0</v>
      </c>
    </row>
    <row r="615" spans="1:21" s="8" customFormat="1" ht="11.25" x14ac:dyDescent="0.2">
      <c r="A615" s="152">
        <v>10010404</v>
      </c>
      <c r="B615" s="10" t="s">
        <v>4127</v>
      </c>
      <c r="C615" s="12" t="s">
        <v>4128</v>
      </c>
      <c r="D615" s="11" t="s">
        <v>4121</v>
      </c>
      <c r="E615" s="12" t="s">
        <v>2551</v>
      </c>
      <c r="F615" s="13">
        <v>1</v>
      </c>
      <c r="G615" s="22">
        <f>Overview!$B$42</f>
        <v>84</v>
      </c>
      <c r="H615" s="114">
        <f>G615-I615</f>
        <v>84</v>
      </c>
      <c r="I615" s="114">
        <f>Overview!$E$42</f>
        <v>0</v>
      </c>
      <c r="J615" s="115">
        <f>I615/F615</f>
        <v>0</v>
      </c>
      <c r="K615" s="116">
        <f>Overview!$H$42</f>
        <v>0</v>
      </c>
      <c r="L615" s="117" t="e">
        <f>(K615-J615)/K615</f>
        <v>#DIV/0!</v>
      </c>
      <c r="M615" s="179" t="s">
        <v>951</v>
      </c>
      <c r="N615" s="179" t="s">
        <v>3127</v>
      </c>
      <c r="O615" s="141">
        <f>I615</f>
        <v>0</v>
      </c>
      <c r="P615" s="181" t="b">
        <f>COUNTIF('Facility Data'!$A$1:$A$1500,"*"&amp;A615&amp;"*")&gt;0</f>
        <v>0</v>
      </c>
      <c r="Q615" s="181" t="b">
        <f>COUNTIF('Account Data'!$A$1:$A$1000,"*"&amp;A615&amp;"*")&gt;0</f>
        <v>1</v>
      </c>
      <c r="R615" s="182" t="b">
        <f t="shared" si="161"/>
        <v>0</v>
      </c>
      <c r="S615" s="182" t="b">
        <f>IF(OR(Q615=TRUE,T615=TRUE),TRUE,FALSE)</f>
        <v>1</v>
      </c>
      <c r="T615" s="181" t="b">
        <f>COUNTIF('New Items'!$A$1:$A$175,A615)&gt;0</f>
        <v>0</v>
      </c>
      <c r="U615" s="181" t="b">
        <f>COUNTIF(Discontinued!$A$1:$A$150,A615)&gt;0</f>
        <v>0</v>
      </c>
    </row>
    <row r="616" spans="1:21" s="8" customFormat="1" ht="11.25" x14ac:dyDescent="0.2">
      <c r="A616" s="152">
        <v>10000704</v>
      </c>
      <c r="B616" s="10" t="s">
        <v>2514</v>
      </c>
      <c r="C616" s="12" t="s">
        <v>2515</v>
      </c>
      <c r="D616" s="11" t="s">
        <v>631</v>
      </c>
      <c r="E616" s="12" t="s">
        <v>2551</v>
      </c>
      <c r="F616" s="13">
        <v>1</v>
      </c>
      <c r="G616" s="22">
        <f>Overview!$B$42</f>
        <v>84</v>
      </c>
      <c r="H616" s="114">
        <f t="shared" si="163"/>
        <v>84</v>
      </c>
      <c r="I616" s="114">
        <f>Overview!$E$42</f>
        <v>0</v>
      </c>
      <c r="J616" s="115">
        <f t="shared" si="164"/>
        <v>0</v>
      </c>
      <c r="K616" s="116">
        <f>Overview!$H$42</f>
        <v>0</v>
      </c>
      <c r="L616" s="117" t="e">
        <f t="shared" si="165"/>
        <v>#DIV/0!</v>
      </c>
      <c r="M616" s="179" t="s">
        <v>951</v>
      </c>
      <c r="N616" s="179" t="s">
        <v>3127</v>
      </c>
      <c r="O616" s="141">
        <f t="shared" si="166"/>
        <v>0</v>
      </c>
      <c r="P616" s="181" t="b">
        <f>COUNTIF('Facility Data'!$A$1:$A$1500,"*"&amp;A616&amp;"*")&gt;0</f>
        <v>0</v>
      </c>
      <c r="Q616" s="181" t="b">
        <f>COUNTIF('Account Data'!$A$1:$A$1000,"*"&amp;A616&amp;"*")&gt;0</f>
        <v>1</v>
      </c>
      <c r="R616" s="182" t="b">
        <f t="shared" si="161"/>
        <v>0</v>
      </c>
      <c r="S616" s="182" t="b">
        <f t="shared" si="162"/>
        <v>1</v>
      </c>
      <c r="T616" s="181" t="b">
        <f>COUNTIF('New Items'!$A$1:$A$175,A616)&gt;0</f>
        <v>0</v>
      </c>
      <c r="U616" s="181" t="b">
        <f>COUNTIF(Discontinued!$A$1:$A$150,A616)&gt;0</f>
        <v>0</v>
      </c>
    </row>
    <row r="617" spans="1:21" s="8" customFormat="1" ht="11.25" x14ac:dyDescent="0.2">
      <c r="A617" s="152">
        <v>10000701</v>
      </c>
      <c r="B617" s="10" t="s">
        <v>2516</v>
      </c>
      <c r="C617" s="12" t="s">
        <v>2517</v>
      </c>
      <c r="D617" s="11" t="s">
        <v>643</v>
      </c>
      <c r="E617" s="12" t="s">
        <v>2551</v>
      </c>
      <c r="F617" s="13">
        <v>1</v>
      </c>
      <c r="G617" s="22">
        <f>Overview!$B$42</f>
        <v>84</v>
      </c>
      <c r="H617" s="114">
        <f t="shared" si="163"/>
        <v>84</v>
      </c>
      <c r="I617" s="114">
        <f>Overview!$E$42</f>
        <v>0</v>
      </c>
      <c r="J617" s="115">
        <f t="shared" si="164"/>
        <v>0</v>
      </c>
      <c r="K617" s="116">
        <f>Overview!$H$42</f>
        <v>0</v>
      </c>
      <c r="L617" s="117" t="e">
        <f t="shared" si="165"/>
        <v>#DIV/0!</v>
      </c>
      <c r="M617" s="179" t="s">
        <v>951</v>
      </c>
      <c r="N617" s="179" t="s">
        <v>3127</v>
      </c>
      <c r="O617" s="141">
        <f t="shared" si="166"/>
        <v>0</v>
      </c>
      <c r="P617" s="181" t="b">
        <f>COUNTIF('Facility Data'!$A$1:$A$1500,"*"&amp;A617&amp;"*")&gt;0</f>
        <v>0</v>
      </c>
      <c r="Q617" s="181" t="b">
        <f>COUNTIF('Account Data'!$A$1:$A$1000,"*"&amp;A617&amp;"*")&gt;0</f>
        <v>0</v>
      </c>
      <c r="R617" s="182" t="b">
        <f t="shared" si="161"/>
        <v>0</v>
      </c>
      <c r="S617" s="182" t="b">
        <f t="shared" si="162"/>
        <v>0</v>
      </c>
      <c r="T617" s="181" t="b">
        <f>COUNTIF('New Items'!$A$1:$A$175,A617)&gt;0</f>
        <v>0</v>
      </c>
      <c r="U617" s="181" t="b">
        <f>COUNTIF(Discontinued!$A$1:$A$150,A617)&gt;0</f>
        <v>0</v>
      </c>
    </row>
    <row r="618" spans="1:21" s="8" customFormat="1" ht="11.25" x14ac:dyDescent="0.2">
      <c r="A618" s="152">
        <v>10000304</v>
      </c>
      <c r="B618" s="10" t="s">
        <v>2518</v>
      </c>
      <c r="C618" s="12" t="s">
        <v>2519</v>
      </c>
      <c r="D618" s="11" t="s">
        <v>2545</v>
      </c>
      <c r="E618" s="12" t="s">
        <v>2551</v>
      </c>
      <c r="F618" s="13">
        <v>1</v>
      </c>
      <c r="G618" s="22">
        <f>Overview!$B$42</f>
        <v>84</v>
      </c>
      <c r="H618" s="114">
        <f t="shared" si="163"/>
        <v>84</v>
      </c>
      <c r="I618" s="114">
        <f>Overview!$E$42</f>
        <v>0</v>
      </c>
      <c r="J618" s="115">
        <f t="shared" si="164"/>
        <v>0</v>
      </c>
      <c r="K618" s="116">
        <f>Overview!$H$42</f>
        <v>0</v>
      </c>
      <c r="L618" s="117" t="e">
        <f t="shared" si="165"/>
        <v>#DIV/0!</v>
      </c>
      <c r="M618" s="179" t="s">
        <v>2284</v>
      </c>
      <c r="N618" s="179" t="s">
        <v>3127</v>
      </c>
      <c r="O618" s="141">
        <f t="shared" si="166"/>
        <v>0</v>
      </c>
      <c r="P618" s="181" t="b">
        <f>COUNTIF('Facility Data'!$A$1:$A$1500,"*"&amp;A618&amp;"*")&gt;0</f>
        <v>0</v>
      </c>
      <c r="Q618" s="181" t="b">
        <f>COUNTIF('Account Data'!$A$1:$A$1000,"*"&amp;A618&amp;"*")&gt;0</f>
        <v>0</v>
      </c>
      <c r="R618" s="182" t="b">
        <f t="shared" si="161"/>
        <v>0</v>
      </c>
      <c r="S618" s="182" t="b">
        <f t="shared" si="162"/>
        <v>0</v>
      </c>
      <c r="T618" s="181" t="b">
        <f>COUNTIF('New Items'!$A$1:$A$175,A618)&gt;0</f>
        <v>0</v>
      </c>
      <c r="U618" s="181" t="b">
        <f>COUNTIF(Discontinued!$A$1:$A$150,A618)&gt;0</f>
        <v>0</v>
      </c>
    </row>
    <row r="619" spans="1:21" s="8" customFormat="1" ht="11.25" x14ac:dyDescent="0.2">
      <c r="A619" s="152">
        <v>10000315</v>
      </c>
      <c r="B619" s="10" t="s">
        <v>2520</v>
      </c>
      <c r="C619" s="12" t="s">
        <v>2521</v>
      </c>
      <c r="D619" s="11" t="s">
        <v>2546</v>
      </c>
      <c r="E619" s="12" t="s">
        <v>2551</v>
      </c>
      <c r="F619" s="13">
        <v>1</v>
      </c>
      <c r="G619" s="22">
        <f>Overview!$B$42</f>
        <v>84</v>
      </c>
      <c r="H619" s="114">
        <f t="shared" si="163"/>
        <v>84</v>
      </c>
      <c r="I619" s="114">
        <f>Overview!$E$42</f>
        <v>0</v>
      </c>
      <c r="J619" s="115">
        <f t="shared" si="164"/>
        <v>0</v>
      </c>
      <c r="K619" s="116">
        <f>Overview!$H$42</f>
        <v>0</v>
      </c>
      <c r="L619" s="117" t="e">
        <f t="shared" si="165"/>
        <v>#DIV/0!</v>
      </c>
      <c r="M619" s="179"/>
      <c r="N619" s="179" t="s">
        <v>3127</v>
      </c>
      <c r="O619" s="141">
        <f t="shared" si="166"/>
        <v>0</v>
      </c>
      <c r="P619" s="181" t="b">
        <f>COUNTIF('Facility Data'!$A$1:$A$1500,"*"&amp;A619&amp;"*")&gt;0</f>
        <v>0</v>
      </c>
      <c r="Q619" s="181" t="b">
        <f>COUNTIF('Account Data'!$A$1:$A$1000,"*"&amp;A619&amp;"*")&gt;0</f>
        <v>0</v>
      </c>
      <c r="R619" s="182" t="b">
        <f t="shared" si="161"/>
        <v>0</v>
      </c>
      <c r="S619" s="182" t="b">
        <f t="shared" si="162"/>
        <v>0</v>
      </c>
      <c r="T619" s="181" t="b">
        <f>COUNTIF('New Items'!$A$1:$A$175,A619)&gt;0</f>
        <v>0</v>
      </c>
      <c r="U619" s="181" t="b">
        <f>COUNTIF(Discontinued!$A$1:$A$150,A619)&gt;0</f>
        <v>0</v>
      </c>
    </row>
    <row r="620" spans="1:21" s="8" customFormat="1" ht="11.25" x14ac:dyDescent="0.2">
      <c r="A620" s="152">
        <v>10000715</v>
      </c>
      <c r="B620" s="10" t="s">
        <v>2522</v>
      </c>
      <c r="C620" s="12" t="s">
        <v>2523</v>
      </c>
      <c r="D620" s="11" t="s">
        <v>650</v>
      </c>
      <c r="E620" s="12" t="s">
        <v>2551</v>
      </c>
      <c r="F620" s="13">
        <v>1</v>
      </c>
      <c r="G620" s="22">
        <f>Overview!$B$42</f>
        <v>84</v>
      </c>
      <c r="H620" s="114">
        <f t="shared" si="163"/>
        <v>84</v>
      </c>
      <c r="I620" s="114">
        <f>Overview!$E$42</f>
        <v>0</v>
      </c>
      <c r="J620" s="115">
        <f t="shared" si="164"/>
        <v>0</v>
      </c>
      <c r="K620" s="116">
        <f>Overview!$H$42</f>
        <v>0</v>
      </c>
      <c r="L620" s="117" t="e">
        <f t="shared" si="165"/>
        <v>#DIV/0!</v>
      </c>
      <c r="M620" s="179" t="s">
        <v>4369</v>
      </c>
      <c r="N620" s="179" t="s">
        <v>3127</v>
      </c>
      <c r="O620" s="141">
        <f t="shared" si="166"/>
        <v>0</v>
      </c>
      <c r="P620" s="181" t="b">
        <f>COUNTIF('Facility Data'!$A$1:$A$1500,"*"&amp;A620&amp;"*")&gt;0</f>
        <v>1</v>
      </c>
      <c r="Q620" s="181" t="b">
        <f>COUNTIF('Account Data'!$A$1:$A$1000,"*"&amp;A620&amp;"*")&gt;0</f>
        <v>0</v>
      </c>
      <c r="R620" s="182" t="b">
        <f t="shared" si="161"/>
        <v>1</v>
      </c>
      <c r="S620" s="182" t="b">
        <f t="shared" si="162"/>
        <v>0</v>
      </c>
      <c r="T620" s="181" t="b">
        <f>COUNTIF('New Items'!$A$1:$A$175,A620)&gt;0</f>
        <v>0</v>
      </c>
      <c r="U620" s="181" t="b">
        <f>COUNTIF(Discontinued!$A$1:$A$150,A620)&gt;0</f>
        <v>0</v>
      </c>
    </row>
    <row r="621" spans="1:21" s="8" customFormat="1" ht="11.25" x14ac:dyDescent="0.2">
      <c r="A621" s="152">
        <v>10000706</v>
      </c>
      <c r="B621" s="10" t="s">
        <v>2524</v>
      </c>
      <c r="C621" s="12" t="s">
        <v>2525</v>
      </c>
      <c r="D621" s="11" t="s">
        <v>4116</v>
      </c>
      <c r="E621" s="12" t="s">
        <v>2551</v>
      </c>
      <c r="F621" s="13">
        <v>1</v>
      </c>
      <c r="G621" s="22">
        <f>Overview!$B$42</f>
        <v>84</v>
      </c>
      <c r="H621" s="114">
        <f t="shared" si="163"/>
        <v>84</v>
      </c>
      <c r="I621" s="114">
        <f>Overview!$E$42</f>
        <v>0</v>
      </c>
      <c r="J621" s="115">
        <f t="shared" si="164"/>
        <v>0</v>
      </c>
      <c r="K621" s="116">
        <f>Overview!$H$42</f>
        <v>0</v>
      </c>
      <c r="L621" s="117" t="e">
        <f t="shared" si="165"/>
        <v>#DIV/0!</v>
      </c>
      <c r="M621" s="179" t="s">
        <v>953</v>
      </c>
      <c r="N621" s="179" t="s">
        <v>3127</v>
      </c>
      <c r="O621" s="141">
        <f t="shared" si="166"/>
        <v>0</v>
      </c>
      <c r="P621" s="181" t="b">
        <f>COUNTIF('Facility Data'!$A$1:$A$1500,"*"&amp;A621&amp;"*")&gt;0</f>
        <v>0</v>
      </c>
      <c r="Q621" s="181" t="b">
        <f>COUNTIF('Account Data'!$A$1:$A$1000,"*"&amp;A621&amp;"*")&gt;0</f>
        <v>0</v>
      </c>
      <c r="R621" s="182" t="b">
        <f t="shared" si="161"/>
        <v>0</v>
      </c>
      <c r="S621" s="182" t="b">
        <f t="shared" si="162"/>
        <v>0</v>
      </c>
      <c r="T621" s="181" t="b">
        <f>COUNTIF('New Items'!$A$1:$A$175,A621)&gt;0</f>
        <v>0</v>
      </c>
      <c r="U621" s="181" t="b">
        <f>COUNTIF(Discontinued!$A$1:$A$150,A621)&gt;0</f>
        <v>0</v>
      </c>
    </row>
    <row r="622" spans="1:21" s="8" customFormat="1" ht="11.25" x14ac:dyDescent="0.2">
      <c r="A622" s="152">
        <v>10000708</v>
      </c>
      <c r="B622" s="10" t="s">
        <v>2526</v>
      </c>
      <c r="C622" s="12" t="s">
        <v>2527</v>
      </c>
      <c r="D622" s="11" t="s">
        <v>636</v>
      </c>
      <c r="E622" s="12" t="s">
        <v>2551</v>
      </c>
      <c r="F622" s="13">
        <v>1</v>
      </c>
      <c r="G622" s="22">
        <f>Overview!$B$42</f>
        <v>84</v>
      </c>
      <c r="H622" s="114">
        <f t="shared" si="163"/>
        <v>84</v>
      </c>
      <c r="I622" s="114">
        <f>Overview!$E$42</f>
        <v>0</v>
      </c>
      <c r="J622" s="115">
        <f t="shared" si="164"/>
        <v>0</v>
      </c>
      <c r="K622" s="116">
        <f>Overview!$H$42</f>
        <v>0</v>
      </c>
      <c r="L622" s="117" t="e">
        <f t="shared" si="165"/>
        <v>#DIV/0!</v>
      </c>
      <c r="M622" s="179" t="s">
        <v>4370</v>
      </c>
      <c r="N622" s="179" t="s">
        <v>3127</v>
      </c>
      <c r="O622" s="141">
        <f t="shared" si="166"/>
        <v>0</v>
      </c>
      <c r="P622" s="181" t="b">
        <f>COUNTIF('Facility Data'!$A$1:$A$1500,"*"&amp;A622&amp;"*")&gt;0</f>
        <v>0</v>
      </c>
      <c r="Q622" s="181" t="b">
        <f>COUNTIF('Account Data'!$A$1:$A$1000,"*"&amp;A622&amp;"*")&gt;0</f>
        <v>0</v>
      </c>
      <c r="R622" s="182" t="b">
        <f t="shared" si="161"/>
        <v>0</v>
      </c>
      <c r="S622" s="182" t="b">
        <f t="shared" si="162"/>
        <v>0</v>
      </c>
      <c r="T622" s="181" t="b">
        <f>COUNTIF('New Items'!$A$1:$A$175,A622)&gt;0</f>
        <v>0</v>
      </c>
      <c r="U622" s="181" t="b">
        <f>COUNTIF(Discontinued!$A$1:$A$150,A622)&gt;0</f>
        <v>0</v>
      </c>
    </row>
    <row r="623" spans="1:21" s="8" customFormat="1" ht="11.25" x14ac:dyDescent="0.2">
      <c r="A623" s="152">
        <v>10000306</v>
      </c>
      <c r="B623" s="10" t="s">
        <v>2530</v>
      </c>
      <c r="C623" s="12" t="s">
        <v>2531</v>
      </c>
      <c r="D623" s="11" t="s">
        <v>655</v>
      </c>
      <c r="E623" s="12" t="s">
        <v>2551</v>
      </c>
      <c r="F623" s="13">
        <v>1</v>
      </c>
      <c r="G623" s="22">
        <f>Overview!$B$42</f>
        <v>84</v>
      </c>
      <c r="H623" s="114">
        <f>G623-I623</f>
        <v>84</v>
      </c>
      <c r="I623" s="114">
        <f>Overview!$E$42</f>
        <v>0</v>
      </c>
      <c r="J623" s="115">
        <f>I623/F623</f>
        <v>0</v>
      </c>
      <c r="K623" s="116">
        <f>Overview!$H$42</f>
        <v>0</v>
      </c>
      <c r="L623" s="117" t="e">
        <f>(K623-J623)/K623</f>
        <v>#DIV/0!</v>
      </c>
      <c r="M623" s="179"/>
      <c r="N623" s="179" t="s">
        <v>3127</v>
      </c>
      <c r="O623" s="141">
        <f>I623</f>
        <v>0</v>
      </c>
      <c r="P623" s="181" t="b">
        <f>COUNTIF('Facility Data'!$A$1:$A$1500,"*"&amp;A623&amp;"*")&gt;0</f>
        <v>0</v>
      </c>
      <c r="Q623" s="181" t="b">
        <f>COUNTIF('Account Data'!$A$1:$A$1000,"*"&amp;A623&amp;"*")&gt;0</f>
        <v>0</v>
      </c>
      <c r="R623" s="182" t="b">
        <f t="shared" si="161"/>
        <v>0</v>
      </c>
      <c r="S623" s="182" t="b">
        <f t="shared" si="162"/>
        <v>0</v>
      </c>
      <c r="T623" s="181" t="b">
        <f>COUNTIF('New Items'!$A$1:$A$175,A623)&gt;0</f>
        <v>0</v>
      </c>
      <c r="U623" s="181" t="b">
        <f>COUNTIF(Discontinued!$A$1:$A$150,A623)&gt;0</f>
        <v>0</v>
      </c>
    </row>
    <row r="624" spans="1:21" s="8" customFormat="1" ht="11.25" x14ac:dyDescent="0.2">
      <c r="A624" s="152">
        <v>10088185</v>
      </c>
      <c r="B624" s="10" t="s">
        <v>2528</v>
      </c>
      <c r="C624" s="12" t="s">
        <v>2529</v>
      </c>
      <c r="D624" s="11" t="s">
        <v>2547</v>
      </c>
      <c r="E624" s="12" t="s">
        <v>2551</v>
      </c>
      <c r="F624" s="13">
        <v>1</v>
      </c>
      <c r="G624" s="22">
        <f>Overview!$B$42</f>
        <v>84</v>
      </c>
      <c r="H624" s="114">
        <f>G624-I624</f>
        <v>84</v>
      </c>
      <c r="I624" s="114">
        <f>Overview!$E$42</f>
        <v>0</v>
      </c>
      <c r="J624" s="115">
        <f>I624/F624</f>
        <v>0</v>
      </c>
      <c r="K624" s="116">
        <f>Overview!$H$42</f>
        <v>0</v>
      </c>
      <c r="L624" s="117" t="e">
        <f>(K624-J624)/K624</f>
        <v>#DIV/0!</v>
      </c>
      <c r="M624" s="179"/>
      <c r="N624" s="179" t="s">
        <v>3127</v>
      </c>
      <c r="O624" s="141">
        <f>I624</f>
        <v>0</v>
      </c>
      <c r="P624" s="181" t="b">
        <f>COUNTIF('Facility Data'!$A$1:$A$1500,"*"&amp;A624&amp;"*")&gt;0</f>
        <v>0</v>
      </c>
      <c r="Q624" s="181" t="b">
        <f>COUNTIF('Account Data'!$A$1:$A$1000,"*"&amp;A624&amp;"*")&gt;0</f>
        <v>0</v>
      </c>
      <c r="R624" s="182" t="b">
        <f t="shared" si="161"/>
        <v>0</v>
      </c>
      <c r="S624" s="182" t="b">
        <f t="shared" si="162"/>
        <v>0</v>
      </c>
      <c r="T624" s="181" t="b">
        <f>COUNTIF('New Items'!$A$1:$A$175,A624)&gt;0</f>
        <v>0</v>
      </c>
      <c r="U624" s="181" t="b">
        <f>COUNTIF(Discontinued!$A$1:$A$150,A624)&gt;0</f>
        <v>0</v>
      </c>
    </row>
    <row r="625" spans="1:21" s="8" customFormat="1" ht="11.25" x14ac:dyDescent="0.2">
      <c r="A625" s="152">
        <v>10000714</v>
      </c>
      <c r="B625" s="10" t="s">
        <v>2532</v>
      </c>
      <c r="C625" s="12" t="s">
        <v>2533</v>
      </c>
      <c r="D625" s="11" t="s">
        <v>640</v>
      </c>
      <c r="E625" s="12" t="s">
        <v>2551</v>
      </c>
      <c r="F625" s="13">
        <v>1</v>
      </c>
      <c r="G625" s="22">
        <f>Overview!$B$42</f>
        <v>84</v>
      </c>
      <c r="H625" s="114">
        <f t="shared" ref="H625:H630" si="167">G625-I625</f>
        <v>84</v>
      </c>
      <c r="I625" s="114">
        <f>Overview!$E$42</f>
        <v>0</v>
      </c>
      <c r="J625" s="115">
        <f t="shared" ref="J625:J630" si="168">I625/F625</f>
        <v>0</v>
      </c>
      <c r="K625" s="116">
        <f>Overview!$H$42</f>
        <v>0</v>
      </c>
      <c r="L625" s="117" t="e">
        <f t="shared" ref="L625:L630" si="169">(K625-J625)/K625</f>
        <v>#DIV/0!</v>
      </c>
      <c r="M625" s="179"/>
      <c r="N625" s="179" t="s">
        <v>3127</v>
      </c>
      <c r="O625" s="141">
        <f t="shared" ref="O625:O630" si="170">I625</f>
        <v>0</v>
      </c>
      <c r="P625" s="181" t="b">
        <f>COUNTIF('Facility Data'!$A$1:$A$1500,"*"&amp;A625&amp;"*")&gt;0</f>
        <v>1</v>
      </c>
      <c r="Q625" s="181" t="b">
        <f>COUNTIF('Account Data'!$A$1:$A$1000,"*"&amp;A625&amp;"*")&gt;0</f>
        <v>0</v>
      </c>
      <c r="R625" s="182" t="b">
        <f t="shared" si="161"/>
        <v>1</v>
      </c>
      <c r="S625" s="182" t="b">
        <f t="shared" si="162"/>
        <v>0</v>
      </c>
      <c r="T625" s="181" t="b">
        <f>COUNTIF('New Items'!$A$1:$A$175,A625)&gt;0</f>
        <v>0</v>
      </c>
      <c r="U625" s="181" t="b">
        <f>COUNTIF(Discontinued!$A$1:$A$150,A625)&gt;0</f>
        <v>0</v>
      </c>
    </row>
    <row r="626" spans="1:21" s="8" customFormat="1" ht="11.25" x14ac:dyDescent="0.2">
      <c r="A626" s="152">
        <v>10000299</v>
      </c>
      <c r="B626" s="10" t="s">
        <v>2534</v>
      </c>
      <c r="C626" s="12" t="s">
        <v>2535</v>
      </c>
      <c r="D626" s="11" t="s">
        <v>1272</v>
      </c>
      <c r="E626" s="12" t="s">
        <v>2551</v>
      </c>
      <c r="F626" s="13">
        <v>1</v>
      </c>
      <c r="G626" s="22">
        <f>Overview!$B$42</f>
        <v>84</v>
      </c>
      <c r="H626" s="114">
        <f t="shared" si="167"/>
        <v>84</v>
      </c>
      <c r="I626" s="114">
        <f>Overview!$E$42</f>
        <v>0</v>
      </c>
      <c r="J626" s="115">
        <f t="shared" si="168"/>
        <v>0</v>
      </c>
      <c r="K626" s="116">
        <f>Overview!$H$42</f>
        <v>0</v>
      </c>
      <c r="L626" s="117" t="e">
        <f t="shared" si="169"/>
        <v>#DIV/0!</v>
      </c>
      <c r="M626" s="179"/>
      <c r="N626" s="179" t="s">
        <v>3127</v>
      </c>
      <c r="O626" s="141">
        <f t="shared" si="170"/>
        <v>0</v>
      </c>
      <c r="P626" s="181" t="b">
        <f>COUNTIF('Facility Data'!$A$1:$A$1500,"*"&amp;A626&amp;"*")&gt;0</f>
        <v>0</v>
      </c>
      <c r="Q626" s="181" t="b">
        <f>COUNTIF('Account Data'!$A$1:$A$1000,"*"&amp;A626&amp;"*")&gt;0</f>
        <v>0</v>
      </c>
      <c r="R626" s="182" t="b">
        <f t="shared" si="161"/>
        <v>0</v>
      </c>
      <c r="S626" s="182" t="b">
        <f t="shared" si="162"/>
        <v>0</v>
      </c>
      <c r="T626" s="181" t="b">
        <f>COUNTIF('New Items'!$A$1:$A$175,A626)&gt;0</f>
        <v>0</v>
      </c>
      <c r="U626" s="181" t="b">
        <f>COUNTIF(Discontinued!$A$1:$A$150,A626)&gt;0</f>
        <v>0</v>
      </c>
    </row>
    <row r="627" spans="1:21" s="8" customFormat="1" ht="11.25" x14ac:dyDescent="0.2">
      <c r="A627" s="152">
        <v>10000705</v>
      </c>
      <c r="B627" s="10" t="s">
        <v>2536</v>
      </c>
      <c r="C627" s="12" t="s">
        <v>2537</v>
      </c>
      <c r="D627" s="11" t="s">
        <v>660</v>
      </c>
      <c r="E627" s="12" t="s">
        <v>2551</v>
      </c>
      <c r="F627" s="13">
        <v>1</v>
      </c>
      <c r="G627" s="22">
        <f>Overview!$B$42</f>
        <v>84</v>
      </c>
      <c r="H627" s="114">
        <f t="shared" si="167"/>
        <v>84</v>
      </c>
      <c r="I627" s="114">
        <f>Overview!$E$42</f>
        <v>0</v>
      </c>
      <c r="J627" s="115">
        <f t="shared" si="168"/>
        <v>0</v>
      </c>
      <c r="K627" s="116">
        <f>Overview!$H$42</f>
        <v>0</v>
      </c>
      <c r="L627" s="117" t="e">
        <f t="shared" si="169"/>
        <v>#DIV/0!</v>
      </c>
      <c r="M627" s="179"/>
      <c r="N627" s="179" t="s">
        <v>3127</v>
      </c>
      <c r="O627" s="141">
        <f t="shared" si="170"/>
        <v>0</v>
      </c>
      <c r="P627" s="181" t="b">
        <f>COUNTIF('Facility Data'!$A$1:$A$1500,"*"&amp;A627&amp;"*")&gt;0</f>
        <v>0</v>
      </c>
      <c r="Q627" s="181" t="b">
        <f>COUNTIF('Account Data'!$A$1:$A$1000,"*"&amp;A627&amp;"*")&gt;0</f>
        <v>0</v>
      </c>
      <c r="R627" s="182" t="b">
        <f t="shared" si="161"/>
        <v>0</v>
      </c>
      <c r="S627" s="182" t="b">
        <f t="shared" si="162"/>
        <v>0</v>
      </c>
      <c r="T627" s="181" t="b">
        <f>COUNTIF('New Items'!$A$1:$A$175,A627)&gt;0</f>
        <v>0</v>
      </c>
      <c r="U627" s="181" t="b">
        <f>COUNTIF(Discontinued!$A$1:$A$150,A627)&gt;0</f>
        <v>0</v>
      </c>
    </row>
    <row r="628" spans="1:21" s="8" customFormat="1" ht="11.25" x14ac:dyDescent="0.2">
      <c r="A628" s="152">
        <v>20000046</v>
      </c>
      <c r="B628" s="10" t="s">
        <v>2538</v>
      </c>
      <c r="C628" s="12" t="s">
        <v>2539</v>
      </c>
      <c r="D628" s="11" t="s">
        <v>2548</v>
      </c>
      <c r="E628" s="12" t="s">
        <v>2551</v>
      </c>
      <c r="F628" s="13">
        <v>1</v>
      </c>
      <c r="G628" s="22">
        <f>Overview!$B$42</f>
        <v>84</v>
      </c>
      <c r="H628" s="114">
        <f t="shared" si="167"/>
        <v>84</v>
      </c>
      <c r="I628" s="114">
        <f>Overview!$E$42</f>
        <v>0</v>
      </c>
      <c r="J628" s="115">
        <f t="shared" si="168"/>
        <v>0</v>
      </c>
      <c r="K628" s="116">
        <f>Overview!$H$42</f>
        <v>0</v>
      </c>
      <c r="L628" s="117" t="e">
        <f t="shared" si="169"/>
        <v>#DIV/0!</v>
      </c>
      <c r="M628" s="179"/>
      <c r="N628" s="179" t="s">
        <v>3127</v>
      </c>
      <c r="O628" s="141">
        <f t="shared" si="170"/>
        <v>0</v>
      </c>
      <c r="P628" s="181" t="b">
        <f>COUNTIF('Facility Data'!$A$1:$A$1500,"*"&amp;A628&amp;"*")&gt;0</f>
        <v>0</v>
      </c>
      <c r="Q628" s="181" t="b">
        <f>COUNTIF('Account Data'!$A$1:$A$1000,"*"&amp;A628&amp;"*")&gt;0</f>
        <v>0</v>
      </c>
      <c r="R628" s="182" t="b">
        <f t="shared" si="161"/>
        <v>0</v>
      </c>
      <c r="S628" s="182" t="b">
        <f t="shared" si="162"/>
        <v>0</v>
      </c>
      <c r="T628" s="181" t="b">
        <f>COUNTIF('New Items'!$A$1:$A$175,A628)&gt;0</f>
        <v>0</v>
      </c>
      <c r="U628" s="181" t="b">
        <f>COUNTIF(Discontinued!$A$1:$A$150,A628)&gt;0</f>
        <v>0</v>
      </c>
    </row>
    <row r="629" spans="1:21" s="8" customFormat="1" ht="11.25" x14ac:dyDescent="0.2">
      <c r="A629" s="152">
        <v>20000468</v>
      </c>
      <c r="B629" s="10" t="s">
        <v>2540</v>
      </c>
      <c r="C629" s="12" t="s">
        <v>2541</v>
      </c>
      <c r="D629" s="11" t="s">
        <v>2549</v>
      </c>
      <c r="E629" s="12" t="s">
        <v>2551</v>
      </c>
      <c r="F629" s="13">
        <v>1</v>
      </c>
      <c r="G629" s="22">
        <f>Overview!$B$42</f>
        <v>84</v>
      </c>
      <c r="H629" s="114">
        <f t="shared" si="167"/>
        <v>84</v>
      </c>
      <c r="I629" s="114">
        <f>Overview!$E$42</f>
        <v>0</v>
      </c>
      <c r="J629" s="115">
        <f t="shared" si="168"/>
        <v>0</v>
      </c>
      <c r="K629" s="116">
        <f>Overview!$H$42</f>
        <v>0</v>
      </c>
      <c r="L629" s="117" t="e">
        <f t="shared" si="169"/>
        <v>#DIV/0!</v>
      </c>
      <c r="M629" s="179"/>
      <c r="N629" s="179" t="s">
        <v>3127</v>
      </c>
      <c r="O629" s="141">
        <f t="shared" si="170"/>
        <v>0</v>
      </c>
      <c r="P629" s="181" t="b">
        <f>COUNTIF('Facility Data'!$A$1:$A$1500,"*"&amp;A629&amp;"*")&gt;0</f>
        <v>0</v>
      </c>
      <c r="Q629" s="181" t="b">
        <f>COUNTIF('Account Data'!$A$1:$A$1000,"*"&amp;A629&amp;"*")&gt;0</f>
        <v>0</v>
      </c>
      <c r="R629" s="182" t="b">
        <f t="shared" si="161"/>
        <v>0</v>
      </c>
      <c r="S629" s="182" t="b">
        <f t="shared" si="162"/>
        <v>0</v>
      </c>
      <c r="T629" s="181" t="b">
        <f>COUNTIF('New Items'!$A$1:$A$175,A629)&gt;0</f>
        <v>0</v>
      </c>
      <c r="U629" s="181" t="b">
        <f>COUNTIF(Discontinued!$A$1:$A$150,A629)&gt;0</f>
        <v>0</v>
      </c>
    </row>
    <row r="630" spans="1:21" s="8" customFormat="1" ht="12" thickBot="1" x14ac:dyDescent="0.25">
      <c r="A630" s="152">
        <v>20000467</v>
      </c>
      <c r="B630" s="10" t="s">
        <v>2542</v>
      </c>
      <c r="C630" s="12" t="s">
        <v>2543</v>
      </c>
      <c r="D630" s="11" t="s">
        <v>2550</v>
      </c>
      <c r="E630" s="12" t="s">
        <v>2551</v>
      </c>
      <c r="F630" s="13">
        <v>1</v>
      </c>
      <c r="G630" s="22">
        <f>Overview!$B$42</f>
        <v>84</v>
      </c>
      <c r="H630" s="114">
        <f t="shared" si="167"/>
        <v>84</v>
      </c>
      <c r="I630" s="114">
        <f>Overview!$E$42</f>
        <v>0</v>
      </c>
      <c r="J630" s="115">
        <f t="shared" si="168"/>
        <v>0</v>
      </c>
      <c r="K630" s="116">
        <f>Overview!$H$42</f>
        <v>0</v>
      </c>
      <c r="L630" s="117" t="e">
        <f t="shared" si="169"/>
        <v>#DIV/0!</v>
      </c>
      <c r="M630" s="179"/>
      <c r="N630" s="179" t="s">
        <v>3127</v>
      </c>
      <c r="O630" s="141">
        <f t="shared" si="170"/>
        <v>0</v>
      </c>
      <c r="P630" s="181" t="b">
        <f>COUNTIF('Facility Data'!$A$1:$A$1500,"*"&amp;A630&amp;"*")&gt;0</f>
        <v>0</v>
      </c>
      <c r="Q630" s="181" t="b">
        <f>COUNTIF('Account Data'!$A$1:$A$1000,"*"&amp;A630&amp;"*")&gt;0</f>
        <v>0</v>
      </c>
      <c r="R630" s="182" t="b">
        <f t="shared" si="161"/>
        <v>0</v>
      </c>
      <c r="S630" s="182" t="b">
        <f t="shared" si="162"/>
        <v>0</v>
      </c>
      <c r="T630" s="181" t="b">
        <f>COUNTIF('New Items'!$A$1:$A$175,A630)&gt;0</f>
        <v>0</v>
      </c>
      <c r="U630" s="181" t="b">
        <f>COUNTIF(Discontinued!$A$1:$A$150,A630)&gt;0</f>
        <v>0</v>
      </c>
    </row>
    <row r="631" spans="1:21" s="8" customFormat="1" ht="13.5" thickBot="1" x14ac:dyDescent="0.25">
      <c r="A631" s="300" t="s">
        <v>2552</v>
      </c>
      <c r="B631" s="301"/>
      <c r="C631" s="301"/>
      <c r="D631" s="301"/>
      <c r="E631" s="301"/>
      <c r="F631" s="301"/>
      <c r="G631" s="301"/>
      <c r="H631" s="301"/>
      <c r="I631" s="301"/>
      <c r="J631" s="301"/>
      <c r="K631" s="301"/>
      <c r="L631" s="302"/>
      <c r="M631" s="179" t="s">
        <v>4361</v>
      </c>
      <c r="N631" s="179" t="s">
        <v>3128</v>
      </c>
      <c r="O631" s="141">
        <f>AVERAGE(O632:O641)</f>
        <v>0</v>
      </c>
      <c r="P631" s="181" t="b">
        <f>COUNTIF(P632:P641,TRUE)&gt;0</f>
        <v>0</v>
      </c>
      <c r="Q631" s="181" t="b">
        <f>COUNTIF(Q632:Q641,TRUE)&gt;0</f>
        <v>0</v>
      </c>
      <c r="R631" s="181" t="b">
        <f>COUNTIF(R632:R641,TRUE)&gt;0</f>
        <v>0</v>
      </c>
      <c r="S631" s="181" t="b">
        <f>COUNTIF(S632:S641,TRUE)&gt;0</f>
        <v>0</v>
      </c>
      <c r="T631" s="181" t="b">
        <f>COUNTIF(T632:T641,TRUE)&gt;0</f>
        <v>0</v>
      </c>
      <c r="U631" s="181"/>
    </row>
    <row r="632" spans="1:21" s="8" customFormat="1" ht="11.25" x14ac:dyDescent="0.2">
      <c r="A632" s="152">
        <v>20000503</v>
      </c>
      <c r="B632" s="10" t="s">
        <v>2553</v>
      </c>
      <c r="C632" s="12" t="s">
        <v>2554</v>
      </c>
      <c r="D632" s="11" t="s">
        <v>2571</v>
      </c>
      <c r="E632" s="12" t="s">
        <v>2580</v>
      </c>
      <c r="F632" s="13">
        <v>1</v>
      </c>
      <c r="G632" s="22">
        <f>Overview!$B$43</f>
        <v>84</v>
      </c>
      <c r="H632" s="114">
        <f>G632-I632</f>
        <v>84</v>
      </c>
      <c r="I632" s="114">
        <f>Overview!$E$43</f>
        <v>0</v>
      </c>
      <c r="J632" s="115">
        <f>I632/F632</f>
        <v>0</v>
      </c>
      <c r="K632" s="116">
        <f>Overview!$H$43</f>
        <v>0</v>
      </c>
      <c r="L632" s="117" t="e">
        <f>(K632-J632)/K632</f>
        <v>#DIV/0!</v>
      </c>
      <c r="M632" s="179"/>
      <c r="N632" s="179" t="s">
        <v>3128</v>
      </c>
      <c r="O632" s="141">
        <f>I632</f>
        <v>0</v>
      </c>
      <c r="P632" s="181" t="b">
        <f>COUNTIF('Facility Data'!$A$1:$A$1500,"*"&amp;A632&amp;"*")&gt;0</f>
        <v>0</v>
      </c>
      <c r="Q632" s="181" t="b">
        <f>COUNTIF('Account Data'!$A$1:$A$1000,"*"&amp;A632&amp;"*")&gt;0</f>
        <v>0</v>
      </c>
      <c r="R632" s="182" t="b">
        <f t="shared" ref="R632:R641" si="171">IF(OR(P632=TRUE,T632=TRUE),TRUE,FALSE)</f>
        <v>0</v>
      </c>
      <c r="S632" s="182" t="b">
        <f t="shared" ref="S632:S641" si="172">IF(OR(Q632=TRUE,T632=TRUE),TRUE,FALSE)</f>
        <v>0</v>
      </c>
      <c r="T632" s="181" t="b">
        <f>COUNTIF('New Items'!$A$1:$A$175,A632)&gt;0</f>
        <v>0</v>
      </c>
      <c r="U632" s="181" t="b">
        <f>COUNTIF(Discontinued!$A$1:$A$150,A632)&gt;0</f>
        <v>0</v>
      </c>
    </row>
    <row r="633" spans="1:21" s="8" customFormat="1" ht="11.25" x14ac:dyDescent="0.2">
      <c r="A633" s="152">
        <v>20000505</v>
      </c>
      <c r="B633" s="10" t="s">
        <v>2555</v>
      </c>
      <c r="C633" s="12" t="s">
        <v>2556</v>
      </c>
      <c r="D633" s="11" t="s">
        <v>2572</v>
      </c>
      <c r="E633" s="12" t="s">
        <v>2580</v>
      </c>
      <c r="F633" s="13">
        <v>1</v>
      </c>
      <c r="G633" s="22">
        <f>Overview!$B$43</f>
        <v>84</v>
      </c>
      <c r="H633" s="114">
        <f t="shared" ref="H633:H641" si="173">G633-I633</f>
        <v>84</v>
      </c>
      <c r="I633" s="114">
        <f>Overview!$E$43</f>
        <v>0</v>
      </c>
      <c r="J633" s="115">
        <f t="shared" ref="J633:J641" si="174">I633/F633</f>
        <v>0</v>
      </c>
      <c r="K633" s="116">
        <f>Overview!$H$43</f>
        <v>0</v>
      </c>
      <c r="L633" s="117" t="e">
        <f t="shared" ref="L633:L641" si="175">(K633-J633)/K633</f>
        <v>#DIV/0!</v>
      </c>
      <c r="M633" s="179"/>
      <c r="N633" s="179" t="s">
        <v>3128</v>
      </c>
      <c r="O633" s="141">
        <f t="shared" ref="O633:O641" si="176">I633</f>
        <v>0</v>
      </c>
      <c r="P633" s="181" t="b">
        <f>COUNTIF('Facility Data'!$A$1:$A$1500,"*"&amp;A633&amp;"*")&gt;0</f>
        <v>0</v>
      </c>
      <c r="Q633" s="181" t="b">
        <f>COUNTIF('Account Data'!$A$1:$A$1000,"*"&amp;A633&amp;"*")&gt;0</f>
        <v>0</v>
      </c>
      <c r="R633" s="182" t="b">
        <f t="shared" si="171"/>
        <v>0</v>
      </c>
      <c r="S633" s="182" t="b">
        <f t="shared" si="172"/>
        <v>0</v>
      </c>
      <c r="T633" s="181" t="b">
        <f>COUNTIF('New Items'!$A$1:$A$175,A633)&gt;0</f>
        <v>0</v>
      </c>
      <c r="U633" s="181" t="b">
        <f>COUNTIF(Discontinued!$A$1:$A$150,A633)&gt;0</f>
        <v>0</v>
      </c>
    </row>
    <row r="634" spans="1:21" s="8" customFormat="1" ht="11.25" x14ac:dyDescent="0.2">
      <c r="A634" s="152">
        <v>20000500</v>
      </c>
      <c r="B634" s="10" t="s">
        <v>3786</v>
      </c>
      <c r="C634" s="12" t="s">
        <v>3787</v>
      </c>
      <c r="D634" s="11" t="s">
        <v>2667</v>
      </c>
      <c r="E634" s="12" t="s">
        <v>2580</v>
      </c>
      <c r="F634" s="13">
        <v>1</v>
      </c>
      <c r="G634" s="22">
        <f>Overview!$B$43</f>
        <v>84</v>
      </c>
      <c r="H634" s="114">
        <f>G634-I634</f>
        <v>84</v>
      </c>
      <c r="I634" s="114">
        <f>Overview!$E$43</f>
        <v>0</v>
      </c>
      <c r="J634" s="115">
        <f>I634/F634</f>
        <v>0</v>
      </c>
      <c r="K634" s="116">
        <f>Overview!$H$43</f>
        <v>0</v>
      </c>
      <c r="L634" s="117" t="e">
        <f>(K634-J634)/K634</f>
        <v>#DIV/0!</v>
      </c>
      <c r="M634" s="179"/>
      <c r="N634" s="179" t="s">
        <v>3128</v>
      </c>
      <c r="O634" s="141">
        <f>I634</f>
        <v>0</v>
      </c>
      <c r="P634" s="181" t="b">
        <f>COUNTIF('Facility Data'!$A$1:$A$1500,"*"&amp;A634&amp;"*")&gt;0</f>
        <v>0</v>
      </c>
      <c r="Q634" s="181" t="b">
        <f>COUNTIF('Account Data'!$A$1:$A$1000,"*"&amp;A634&amp;"*")&gt;0</f>
        <v>0</v>
      </c>
      <c r="R634" s="182" t="b">
        <f t="shared" si="171"/>
        <v>0</v>
      </c>
      <c r="S634" s="182" t="b">
        <f>IF(OR(Q634=TRUE,T634=TRUE),TRUE,FALSE)</f>
        <v>0</v>
      </c>
      <c r="T634" s="181" t="b">
        <f>COUNTIF('New Items'!$A$1:$A$175,A634)&gt;0</f>
        <v>0</v>
      </c>
      <c r="U634" s="181" t="b">
        <f>COUNTIF(Discontinued!$A$1:$A$150,A634)&gt;0</f>
        <v>0</v>
      </c>
    </row>
    <row r="635" spans="1:21" s="8" customFormat="1" ht="11.25" x14ac:dyDescent="0.2">
      <c r="A635" s="152">
        <v>20000522</v>
      </c>
      <c r="B635" s="10" t="s">
        <v>2557</v>
      </c>
      <c r="C635" s="12" t="s">
        <v>2558</v>
      </c>
      <c r="D635" s="11" t="s">
        <v>2573</v>
      </c>
      <c r="E635" s="12" t="s">
        <v>2580</v>
      </c>
      <c r="F635" s="13">
        <v>1</v>
      </c>
      <c r="G635" s="22">
        <f>Overview!$B$43</f>
        <v>84</v>
      </c>
      <c r="H635" s="114">
        <f t="shared" si="173"/>
        <v>84</v>
      </c>
      <c r="I635" s="114">
        <f>Overview!$E$43</f>
        <v>0</v>
      </c>
      <c r="J635" s="115">
        <f t="shared" si="174"/>
        <v>0</v>
      </c>
      <c r="K635" s="116">
        <f>Overview!$H$43</f>
        <v>0</v>
      </c>
      <c r="L635" s="117" t="e">
        <f t="shared" si="175"/>
        <v>#DIV/0!</v>
      </c>
      <c r="M635" s="179"/>
      <c r="N635" s="179" t="s">
        <v>3128</v>
      </c>
      <c r="O635" s="141">
        <f t="shared" si="176"/>
        <v>0</v>
      </c>
      <c r="P635" s="181" t="b">
        <f>COUNTIF('Facility Data'!$A$1:$A$1500,"*"&amp;A635&amp;"*")&gt;0</f>
        <v>0</v>
      </c>
      <c r="Q635" s="181" t="b">
        <f>COUNTIF('Account Data'!$A$1:$A$1000,"*"&amp;A635&amp;"*")&gt;0</f>
        <v>0</v>
      </c>
      <c r="R635" s="182" t="b">
        <f t="shared" si="171"/>
        <v>0</v>
      </c>
      <c r="S635" s="182" t="b">
        <f t="shared" si="172"/>
        <v>0</v>
      </c>
      <c r="T635" s="181" t="b">
        <f>COUNTIF('New Items'!$A$1:$A$175,A635)&gt;0</f>
        <v>0</v>
      </c>
      <c r="U635" s="181" t="b">
        <f>COUNTIF(Discontinued!$A$1:$A$150,A635)&gt;0</f>
        <v>0</v>
      </c>
    </row>
    <row r="636" spans="1:21" s="8" customFormat="1" ht="11.25" x14ac:dyDescent="0.2">
      <c r="A636" s="152">
        <v>20000509</v>
      </c>
      <c r="B636" s="10" t="s">
        <v>2559</v>
      </c>
      <c r="C636" s="12" t="s">
        <v>2560</v>
      </c>
      <c r="D636" s="11" t="s">
        <v>2574</v>
      </c>
      <c r="E636" s="12" t="s">
        <v>2580</v>
      </c>
      <c r="F636" s="13">
        <v>1</v>
      </c>
      <c r="G636" s="22">
        <f>Overview!$B$43</f>
        <v>84</v>
      </c>
      <c r="H636" s="114">
        <f t="shared" si="173"/>
        <v>84</v>
      </c>
      <c r="I636" s="114">
        <f>Overview!$E$43</f>
        <v>0</v>
      </c>
      <c r="J636" s="115">
        <f t="shared" si="174"/>
        <v>0</v>
      </c>
      <c r="K636" s="116">
        <f>Overview!$H$43</f>
        <v>0</v>
      </c>
      <c r="L636" s="117" t="e">
        <f t="shared" si="175"/>
        <v>#DIV/0!</v>
      </c>
      <c r="M636" s="179"/>
      <c r="N636" s="179" t="s">
        <v>3128</v>
      </c>
      <c r="O636" s="141">
        <f t="shared" si="176"/>
        <v>0</v>
      </c>
      <c r="P636" s="181" t="b">
        <f>COUNTIF('Facility Data'!$A$1:$A$1500,"*"&amp;A636&amp;"*")&gt;0</f>
        <v>0</v>
      </c>
      <c r="Q636" s="181" t="b">
        <f>COUNTIF('Account Data'!$A$1:$A$1000,"*"&amp;A636&amp;"*")&gt;0</f>
        <v>0</v>
      </c>
      <c r="R636" s="182" t="b">
        <f t="shared" si="171"/>
        <v>0</v>
      </c>
      <c r="S636" s="182" t="b">
        <f t="shared" si="172"/>
        <v>0</v>
      </c>
      <c r="T636" s="181" t="b">
        <f>COUNTIF('New Items'!$A$1:$A$175,A636)&gt;0</f>
        <v>0</v>
      </c>
      <c r="U636" s="181" t="b">
        <f>COUNTIF(Discontinued!$A$1:$A$150,A636)&gt;0</f>
        <v>0</v>
      </c>
    </row>
    <row r="637" spans="1:21" s="8" customFormat="1" ht="11.25" x14ac:dyDescent="0.2">
      <c r="A637" s="152">
        <v>20000499</v>
      </c>
      <c r="B637" s="10" t="s">
        <v>2561</v>
      </c>
      <c r="C637" s="12" t="s">
        <v>2562</v>
      </c>
      <c r="D637" s="11" t="s">
        <v>2575</v>
      </c>
      <c r="E637" s="12" t="s">
        <v>2580</v>
      </c>
      <c r="F637" s="13">
        <v>1</v>
      </c>
      <c r="G637" s="22">
        <f>Overview!$B$43</f>
        <v>84</v>
      </c>
      <c r="H637" s="114">
        <f t="shared" si="173"/>
        <v>84</v>
      </c>
      <c r="I637" s="114">
        <f>Overview!$E$43</f>
        <v>0</v>
      </c>
      <c r="J637" s="115">
        <f t="shared" si="174"/>
        <v>0</v>
      </c>
      <c r="K637" s="116">
        <f>Overview!$H$43</f>
        <v>0</v>
      </c>
      <c r="L637" s="117" t="e">
        <f t="shared" si="175"/>
        <v>#DIV/0!</v>
      </c>
      <c r="M637" s="179"/>
      <c r="N637" s="179" t="s">
        <v>3128</v>
      </c>
      <c r="O637" s="141">
        <f t="shared" si="176"/>
        <v>0</v>
      </c>
      <c r="P637" s="181" t="b">
        <f>COUNTIF('Facility Data'!$A$1:$A$1500,"*"&amp;A637&amp;"*")&gt;0</f>
        <v>0</v>
      </c>
      <c r="Q637" s="181" t="b">
        <f>COUNTIF('Account Data'!$A$1:$A$1000,"*"&amp;A637&amp;"*")&gt;0</f>
        <v>0</v>
      </c>
      <c r="R637" s="182" t="b">
        <f t="shared" si="171"/>
        <v>0</v>
      </c>
      <c r="S637" s="182" t="b">
        <f t="shared" si="172"/>
        <v>0</v>
      </c>
      <c r="T637" s="181" t="b">
        <f>COUNTIF('New Items'!$A$1:$A$175,A637)&gt;0</f>
        <v>0</v>
      </c>
      <c r="U637" s="181" t="b">
        <f>COUNTIF(Discontinued!$A$1:$A$150,A637)&gt;0</f>
        <v>0</v>
      </c>
    </row>
    <row r="638" spans="1:21" s="8" customFormat="1" ht="11.25" x14ac:dyDescent="0.2">
      <c r="A638" s="152">
        <v>20000515</v>
      </c>
      <c r="B638" s="10" t="s">
        <v>2563</v>
      </c>
      <c r="C638" s="12" t="s">
        <v>2564</v>
      </c>
      <c r="D638" s="11" t="s">
        <v>2576</v>
      </c>
      <c r="E638" s="12" t="s">
        <v>2580</v>
      </c>
      <c r="F638" s="13">
        <v>1</v>
      </c>
      <c r="G638" s="22">
        <f>Overview!$B$43</f>
        <v>84</v>
      </c>
      <c r="H638" s="114">
        <f t="shared" si="173"/>
        <v>84</v>
      </c>
      <c r="I638" s="114">
        <f>Overview!$E$43</f>
        <v>0</v>
      </c>
      <c r="J638" s="115">
        <f t="shared" si="174"/>
        <v>0</v>
      </c>
      <c r="K638" s="116">
        <f>Overview!$H$43</f>
        <v>0</v>
      </c>
      <c r="L638" s="117" t="e">
        <f t="shared" si="175"/>
        <v>#DIV/0!</v>
      </c>
      <c r="M638" s="179"/>
      <c r="N638" s="179" t="s">
        <v>3128</v>
      </c>
      <c r="O638" s="141">
        <f t="shared" si="176"/>
        <v>0</v>
      </c>
      <c r="P638" s="181" t="b">
        <f>COUNTIF('Facility Data'!$A$1:$A$1500,"*"&amp;A638&amp;"*")&gt;0</f>
        <v>0</v>
      </c>
      <c r="Q638" s="181" t="b">
        <f>COUNTIF('Account Data'!$A$1:$A$1000,"*"&amp;A638&amp;"*")&gt;0</f>
        <v>0</v>
      </c>
      <c r="R638" s="182" t="b">
        <f t="shared" si="171"/>
        <v>0</v>
      </c>
      <c r="S638" s="182" t="b">
        <f t="shared" si="172"/>
        <v>0</v>
      </c>
      <c r="T638" s="181" t="b">
        <f>COUNTIF('New Items'!$A$1:$A$175,A638)&gt;0</f>
        <v>0</v>
      </c>
      <c r="U638" s="181" t="b">
        <f>COUNTIF(Discontinued!$A$1:$A$150,A638)&gt;0</f>
        <v>0</v>
      </c>
    </row>
    <row r="639" spans="1:21" s="8" customFormat="1" ht="11.25" x14ac:dyDescent="0.2">
      <c r="A639" s="152">
        <v>20000508</v>
      </c>
      <c r="B639" s="10" t="s">
        <v>2565</v>
      </c>
      <c r="C639" s="12" t="s">
        <v>2566</v>
      </c>
      <c r="D639" s="11" t="s">
        <v>2577</v>
      </c>
      <c r="E639" s="12" t="s">
        <v>2580</v>
      </c>
      <c r="F639" s="13">
        <v>1</v>
      </c>
      <c r="G639" s="22">
        <f>Overview!$B$43</f>
        <v>84</v>
      </c>
      <c r="H639" s="114">
        <f t="shared" si="173"/>
        <v>84</v>
      </c>
      <c r="I639" s="114">
        <f>Overview!$E$43</f>
        <v>0</v>
      </c>
      <c r="J639" s="115">
        <f t="shared" si="174"/>
        <v>0</v>
      </c>
      <c r="K639" s="116">
        <f>Overview!$H$43</f>
        <v>0</v>
      </c>
      <c r="L639" s="117" t="e">
        <f t="shared" si="175"/>
        <v>#DIV/0!</v>
      </c>
      <c r="M639" s="179"/>
      <c r="N639" s="179" t="s">
        <v>3128</v>
      </c>
      <c r="O639" s="141">
        <f t="shared" si="176"/>
        <v>0</v>
      </c>
      <c r="P639" s="181" t="b">
        <f>COUNTIF('Facility Data'!$A$1:$A$1500,"*"&amp;A639&amp;"*")&gt;0</f>
        <v>0</v>
      </c>
      <c r="Q639" s="181" t="b">
        <f>COUNTIF('Account Data'!$A$1:$A$1000,"*"&amp;A639&amp;"*")&gt;0</f>
        <v>0</v>
      </c>
      <c r="R639" s="182" t="b">
        <f t="shared" si="171"/>
        <v>0</v>
      </c>
      <c r="S639" s="182" t="b">
        <f t="shared" si="172"/>
        <v>0</v>
      </c>
      <c r="T639" s="181" t="b">
        <f>COUNTIF('New Items'!$A$1:$A$175,A639)&gt;0</f>
        <v>0</v>
      </c>
      <c r="U639" s="181" t="b">
        <f>COUNTIF(Discontinued!$A$1:$A$150,A639)&gt;0</f>
        <v>0</v>
      </c>
    </row>
    <row r="640" spans="1:21" s="8" customFormat="1" ht="11.25" x14ac:dyDescent="0.2">
      <c r="A640" s="152">
        <v>20000498</v>
      </c>
      <c r="B640" s="10" t="s">
        <v>2567</v>
      </c>
      <c r="C640" s="12" t="s">
        <v>2568</v>
      </c>
      <c r="D640" s="11" t="s">
        <v>2578</v>
      </c>
      <c r="E640" s="12" t="s">
        <v>2580</v>
      </c>
      <c r="F640" s="13">
        <v>1</v>
      </c>
      <c r="G640" s="22">
        <f>Overview!$B$43</f>
        <v>84</v>
      </c>
      <c r="H640" s="114">
        <f t="shared" si="173"/>
        <v>84</v>
      </c>
      <c r="I640" s="114">
        <f>Overview!$E$43</f>
        <v>0</v>
      </c>
      <c r="J640" s="115">
        <f t="shared" si="174"/>
        <v>0</v>
      </c>
      <c r="K640" s="116">
        <f>Overview!$H$43</f>
        <v>0</v>
      </c>
      <c r="L640" s="117" t="e">
        <f t="shared" si="175"/>
        <v>#DIV/0!</v>
      </c>
      <c r="M640" s="179"/>
      <c r="N640" s="179" t="s">
        <v>3128</v>
      </c>
      <c r="O640" s="141">
        <f t="shared" si="176"/>
        <v>0</v>
      </c>
      <c r="P640" s="181" t="b">
        <f>COUNTIF('Facility Data'!$A$1:$A$1500,"*"&amp;A640&amp;"*")&gt;0</f>
        <v>0</v>
      </c>
      <c r="Q640" s="181" t="b">
        <f>COUNTIF('Account Data'!$A$1:$A$1000,"*"&amp;A640&amp;"*")&gt;0</f>
        <v>0</v>
      </c>
      <c r="R640" s="182" t="b">
        <f t="shared" si="171"/>
        <v>0</v>
      </c>
      <c r="S640" s="182" t="b">
        <f t="shared" si="172"/>
        <v>0</v>
      </c>
      <c r="T640" s="181" t="b">
        <f>COUNTIF('New Items'!$A$1:$A$175,A640)&gt;0</f>
        <v>0</v>
      </c>
      <c r="U640" s="181" t="b">
        <f>COUNTIF(Discontinued!$A$1:$A$150,A640)&gt;0</f>
        <v>0</v>
      </c>
    </row>
    <row r="641" spans="1:21" s="8" customFormat="1" ht="12" thickBot="1" x14ac:dyDescent="0.25">
      <c r="A641" s="152">
        <v>20000516</v>
      </c>
      <c r="B641" s="10" t="s">
        <v>2569</v>
      </c>
      <c r="C641" s="12" t="s">
        <v>2570</v>
      </c>
      <c r="D641" s="11" t="s">
        <v>2579</v>
      </c>
      <c r="E641" s="12" t="s">
        <v>2580</v>
      </c>
      <c r="F641" s="13">
        <v>1</v>
      </c>
      <c r="G641" s="22">
        <f>Overview!$B$43</f>
        <v>84</v>
      </c>
      <c r="H641" s="114">
        <f t="shared" si="173"/>
        <v>84</v>
      </c>
      <c r="I641" s="114">
        <f>Overview!$E$43</f>
        <v>0</v>
      </c>
      <c r="J641" s="115">
        <f t="shared" si="174"/>
        <v>0</v>
      </c>
      <c r="K641" s="116">
        <f>Overview!$H$43</f>
        <v>0</v>
      </c>
      <c r="L641" s="117" t="e">
        <f t="shared" si="175"/>
        <v>#DIV/0!</v>
      </c>
      <c r="M641" s="179"/>
      <c r="N641" s="179" t="s">
        <v>3128</v>
      </c>
      <c r="O641" s="141">
        <f t="shared" si="176"/>
        <v>0</v>
      </c>
      <c r="P641" s="181" t="b">
        <f>COUNTIF('Facility Data'!$A$1:$A$1500,"*"&amp;A641&amp;"*")&gt;0</f>
        <v>0</v>
      </c>
      <c r="Q641" s="181" t="b">
        <f>COUNTIF('Account Data'!$A$1:$A$1000,"*"&amp;A641&amp;"*")&gt;0</f>
        <v>0</v>
      </c>
      <c r="R641" s="182" t="b">
        <f t="shared" si="171"/>
        <v>0</v>
      </c>
      <c r="S641" s="182" t="b">
        <f t="shared" si="172"/>
        <v>0</v>
      </c>
      <c r="T641" s="181" t="b">
        <f>COUNTIF('New Items'!$A$1:$A$175,A641)&gt;0</f>
        <v>0</v>
      </c>
      <c r="U641" s="181" t="b">
        <f>COUNTIF(Discontinued!$A$1:$A$150,A641)&gt;0</f>
        <v>0</v>
      </c>
    </row>
    <row r="642" spans="1:21" s="8" customFormat="1" ht="13.5" thickBot="1" x14ac:dyDescent="0.25">
      <c r="A642" s="300" t="s">
        <v>2581</v>
      </c>
      <c r="B642" s="301"/>
      <c r="C642" s="301"/>
      <c r="D642" s="301"/>
      <c r="E642" s="301"/>
      <c r="F642" s="301"/>
      <c r="G642" s="301"/>
      <c r="H642" s="301"/>
      <c r="I642" s="301"/>
      <c r="J642" s="301"/>
      <c r="K642" s="301"/>
      <c r="L642" s="302"/>
      <c r="M642" s="179" t="s">
        <v>4361</v>
      </c>
      <c r="N642" s="179" t="s">
        <v>3129</v>
      </c>
      <c r="O642" s="141">
        <f>AVERAGE(O643:O678)</f>
        <v>0</v>
      </c>
      <c r="P642" s="181" t="b">
        <f>COUNTIF(P643:P678,TRUE)&gt;0</f>
        <v>0</v>
      </c>
      <c r="Q642" s="181" t="b">
        <f>COUNTIF(Q643:Q678,TRUE)&gt;0</f>
        <v>1</v>
      </c>
      <c r="R642" s="181" t="b">
        <f>COUNTIF(R643:R678,TRUE)&gt;0</f>
        <v>0</v>
      </c>
      <c r="S642" s="181" t="b">
        <f>COUNTIF(S643:S678,TRUE)&gt;0</f>
        <v>1</v>
      </c>
      <c r="T642" s="181" t="b">
        <f>COUNTIF(T643:T678,TRUE)&gt;0</f>
        <v>0</v>
      </c>
      <c r="U642" s="181"/>
    </row>
    <row r="643" spans="1:21" s="8" customFormat="1" ht="11.25" x14ac:dyDescent="0.2">
      <c r="A643" s="152">
        <v>10000320</v>
      </c>
      <c r="B643" s="10" t="s">
        <v>2583</v>
      </c>
      <c r="C643" s="12" t="s">
        <v>2584</v>
      </c>
      <c r="D643" s="11" t="s">
        <v>629</v>
      </c>
      <c r="E643" s="12" t="s">
        <v>2582</v>
      </c>
      <c r="F643" s="13">
        <v>1</v>
      </c>
      <c r="G643" s="22">
        <f>Overview!$B$44</f>
        <v>44</v>
      </c>
      <c r="H643" s="114">
        <f>G643-I643</f>
        <v>44</v>
      </c>
      <c r="I643" s="114">
        <f>Overview!$E$44</f>
        <v>0</v>
      </c>
      <c r="J643" s="115">
        <f>I643/F643</f>
        <v>0</v>
      </c>
      <c r="K643" s="116">
        <f>Overview!$H$44</f>
        <v>0</v>
      </c>
      <c r="L643" s="117" t="e">
        <f>(K643-J643)/K643</f>
        <v>#DIV/0!</v>
      </c>
      <c r="M643" s="179" t="s">
        <v>951</v>
      </c>
      <c r="N643" s="179" t="s">
        <v>3129</v>
      </c>
      <c r="O643" s="141">
        <f>I643</f>
        <v>0</v>
      </c>
      <c r="P643" s="181" t="b">
        <f>COUNTIF('Facility Data'!$A$1:$A$1500,"*"&amp;A643&amp;"*")&gt;0</f>
        <v>0</v>
      </c>
      <c r="Q643" s="181" t="b">
        <f>COUNTIF('Account Data'!$A$1:$A$1000,"*"&amp;A643&amp;"*")&gt;0</f>
        <v>0</v>
      </c>
      <c r="R643" s="182" t="b">
        <f t="shared" ref="R643:R678" si="177">IF(OR(P643=TRUE,T643=TRUE),TRUE,FALSE)</f>
        <v>0</v>
      </c>
      <c r="S643" s="182" t="b">
        <f t="shared" ref="S643:S678" si="178">IF(OR(Q643=TRUE,T643=TRUE),TRUE,FALSE)</f>
        <v>0</v>
      </c>
      <c r="T643" s="181" t="b">
        <f>COUNTIF('New Items'!$A$1:$A$175,A643)&gt;0</f>
        <v>0</v>
      </c>
      <c r="U643" s="181" t="b">
        <f>COUNTIF(Discontinued!$A$1:$A$150,A643)&gt;0</f>
        <v>0</v>
      </c>
    </row>
    <row r="644" spans="1:21" s="8" customFormat="1" ht="11.25" x14ac:dyDescent="0.2">
      <c r="A644" s="152">
        <v>10000331</v>
      </c>
      <c r="B644" s="10" t="s">
        <v>4123</v>
      </c>
      <c r="C644" s="12" t="s">
        <v>4124</v>
      </c>
      <c r="D644" s="11" t="s">
        <v>4121</v>
      </c>
      <c r="E644" s="12" t="s">
        <v>2582</v>
      </c>
      <c r="F644" s="13">
        <v>1</v>
      </c>
      <c r="G644" s="22">
        <f>Overview!$B$44</f>
        <v>44</v>
      </c>
      <c r="H644" s="114">
        <f>G644-I644</f>
        <v>44</v>
      </c>
      <c r="I644" s="114">
        <f>Overview!$E$44</f>
        <v>0</v>
      </c>
      <c r="J644" s="115">
        <f>I644/F644</f>
        <v>0</v>
      </c>
      <c r="K644" s="116">
        <f>Overview!$H$44</f>
        <v>0</v>
      </c>
      <c r="L644" s="117" t="e">
        <f>(K644-J644)/K644</f>
        <v>#DIV/0!</v>
      </c>
      <c r="M644" s="179" t="s">
        <v>951</v>
      </c>
      <c r="N644" s="179" t="s">
        <v>3129</v>
      </c>
      <c r="O644" s="141">
        <f>I644</f>
        <v>0</v>
      </c>
      <c r="P644" s="181" t="b">
        <f>COUNTIF('Facility Data'!$A$1:$A$1500,"*"&amp;A644&amp;"*")&gt;0</f>
        <v>0</v>
      </c>
      <c r="Q644" s="181" t="b">
        <f>COUNTIF('Account Data'!$A$1:$A$1000,"*"&amp;A644&amp;"*")&gt;0</f>
        <v>0</v>
      </c>
      <c r="R644" s="182" t="b">
        <f t="shared" si="177"/>
        <v>0</v>
      </c>
      <c r="S644" s="182" t="b">
        <f>IF(OR(Q644=TRUE,T644=TRUE),TRUE,FALSE)</f>
        <v>0</v>
      </c>
      <c r="T644" s="181" t="b">
        <f>COUNTIF('New Items'!$A$1:$A$175,A644)&gt;0</f>
        <v>0</v>
      </c>
      <c r="U644" s="181" t="b">
        <f>COUNTIF(Discontinued!$A$1:$A$150,A644)&gt;0</f>
        <v>0</v>
      </c>
    </row>
    <row r="645" spans="1:21" s="8" customFormat="1" ht="11.25" x14ac:dyDescent="0.2">
      <c r="A645" s="152">
        <v>10001622</v>
      </c>
      <c r="B645" s="10" t="s">
        <v>2585</v>
      </c>
      <c r="C645" s="12" t="s">
        <v>2586</v>
      </c>
      <c r="D645" s="11" t="s">
        <v>631</v>
      </c>
      <c r="E645" s="12" t="s">
        <v>2582</v>
      </c>
      <c r="F645" s="13">
        <v>1</v>
      </c>
      <c r="G645" s="22">
        <f>Overview!$B$44</f>
        <v>44</v>
      </c>
      <c r="H645" s="114">
        <f t="shared" ref="H645:H651" si="179">G645-I645</f>
        <v>44</v>
      </c>
      <c r="I645" s="114">
        <f>Overview!$E$44</f>
        <v>0</v>
      </c>
      <c r="J645" s="115">
        <f t="shared" ref="J645:J651" si="180">I645/F645</f>
        <v>0</v>
      </c>
      <c r="K645" s="116">
        <f>Overview!$H$44</f>
        <v>0</v>
      </c>
      <c r="L645" s="117" t="e">
        <f t="shared" ref="L645:L651" si="181">(K645-J645)/K645</f>
        <v>#DIV/0!</v>
      </c>
      <c r="M645" s="179" t="s">
        <v>951</v>
      </c>
      <c r="N645" s="179" t="s">
        <v>3129</v>
      </c>
      <c r="O645" s="141">
        <f>I645</f>
        <v>0</v>
      </c>
      <c r="P645" s="181" t="b">
        <f>COUNTIF('Facility Data'!$A$1:$A$1500,"*"&amp;A645&amp;"*")&gt;0</f>
        <v>0</v>
      </c>
      <c r="Q645" s="181" t="b">
        <f>COUNTIF('Account Data'!$A$1:$A$1000,"*"&amp;A645&amp;"*")&gt;0</f>
        <v>1</v>
      </c>
      <c r="R645" s="182" t="b">
        <f t="shared" si="177"/>
        <v>0</v>
      </c>
      <c r="S645" s="182" t="b">
        <f t="shared" si="178"/>
        <v>1</v>
      </c>
      <c r="T645" s="181" t="b">
        <f>COUNTIF('New Items'!$A$1:$A$175,A645)&gt;0</f>
        <v>0</v>
      </c>
      <c r="U645" s="181" t="b">
        <f>COUNTIF(Discontinued!$A$1:$A$150,A645)&gt;0</f>
        <v>0</v>
      </c>
    </row>
    <row r="646" spans="1:21" s="8" customFormat="1" ht="11.25" x14ac:dyDescent="0.2">
      <c r="A646" s="152">
        <v>10000321</v>
      </c>
      <c r="B646" s="10" t="s">
        <v>2587</v>
      </c>
      <c r="C646" s="12" t="s">
        <v>2588</v>
      </c>
      <c r="D646" s="11" t="s">
        <v>643</v>
      </c>
      <c r="E646" s="12" t="s">
        <v>2582</v>
      </c>
      <c r="F646" s="13">
        <v>1</v>
      </c>
      <c r="G646" s="22">
        <f>Overview!$B$44</f>
        <v>44</v>
      </c>
      <c r="H646" s="114">
        <f t="shared" si="179"/>
        <v>44</v>
      </c>
      <c r="I646" s="114">
        <f>Overview!$E$44</f>
        <v>0</v>
      </c>
      <c r="J646" s="115">
        <f t="shared" si="180"/>
        <v>0</v>
      </c>
      <c r="K646" s="116">
        <f>Overview!$H$44</f>
        <v>0</v>
      </c>
      <c r="L646" s="117" t="e">
        <f t="shared" si="181"/>
        <v>#DIV/0!</v>
      </c>
      <c r="M646" s="179"/>
      <c r="N646" s="179" t="s">
        <v>3129</v>
      </c>
      <c r="O646" s="141">
        <f t="shared" ref="O646:O651" si="182">I646</f>
        <v>0</v>
      </c>
      <c r="P646" s="181" t="b">
        <f>COUNTIF('Facility Data'!$A$1:$A$1500,"*"&amp;A646&amp;"*")&gt;0</f>
        <v>0</v>
      </c>
      <c r="Q646" s="181" t="b">
        <f>COUNTIF('Account Data'!$A$1:$A$1000,"*"&amp;A646&amp;"*")&gt;0</f>
        <v>1</v>
      </c>
      <c r="R646" s="182" t="b">
        <f t="shared" si="177"/>
        <v>0</v>
      </c>
      <c r="S646" s="182" t="b">
        <f t="shared" si="178"/>
        <v>1</v>
      </c>
      <c r="T646" s="181" t="b">
        <f>COUNTIF('New Items'!$A$1:$A$175,A646)&gt;0</f>
        <v>0</v>
      </c>
      <c r="U646" s="181" t="b">
        <f>COUNTIF(Discontinued!$A$1:$A$150,A646)&gt;0</f>
        <v>0</v>
      </c>
    </row>
    <row r="647" spans="1:21" s="8" customFormat="1" ht="11.25" x14ac:dyDescent="0.2">
      <c r="A647" s="152">
        <v>10000322</v>
      </c>
      <c r="B647" s="10" t="s">
        <v>2589</v>
      </c>
      <c r="C647" s="12" t="s">
        <v>2590</v>
      </c>
      <c r="D647" s="11" t="s">
        <v>644</v>
      </c>
      <c r="E647" s="12" t="s">
        <v>2582</v>
      </c>
      <c r="F647" s="13">
        <v>1</v>
      </c>
      <c r="G647" s="22">
        <f>Overview!$B$44</f>
        <v>44</v>
      </c>
      <c r="H647" s="114">
        <f t="shared" si="179"/>
        <v>44</v>
      </c>
      <c r="I647" s="114">
        <f>Overview!$E$44</f>
        <v>0</v>
      </c>
      <c r="J647" s="115">
        <f t="shared" si="180"/>
        <v>0</v>
      </c>
      <c r="K647" s="116">
        <f>Overview!$H$44</f>
        <v>0</v>
      </c>
      <c r="L647" s="117" t="e">
        <f t="shared" si="181"/>
        <v>#DIV/0!</v>
      </c>
      <c r="M647" s="179"/>
      <c r="N647" s="179" t="s">
        <v>3129</v>
      </c>
      <c r="O647" s="141">
        <f t="shared" si="182"/>
        <v>0</v>
      </c>
      <c r="P647" s="181" t="b">
        <f>COUNTIF('Facility Data'!$A$1:$A$1500,"*"&amp;A647&amp;"*")&gt;0</f>
        <v>0</v>
      </c>
      <c r="Q647" s="181" t="b">
        <f>COUNTIF('Account Data'!$A$1:$A$1000,"*"&amp;A647&amp;"*")&gt;0</f>
        <v>0</v>
      </c>
      <c r="R647" s="182" t="b">
        <f t="shared" si="177"/>
        <v>0</v>
      </c>
      <c r="S647" s="182" t="b">
        <f t="shared" si="178"/>
        <v>0</v>
      </c>
      <c r="T647" s="181" t="b">
        <f>COUNTIF('New Items'!$A$1:$A$175,A647)&gt;0</f>
        <v>0</v>
      </c>
      <c r="U647" s="181" t="b">
        <f>COUNTIF(Discontinued!$A$1:$A$150,A647)&gt;0</f>
        <v>0</v>
      </c>
    </row>
    <row r="648" spans="1:21" s="8" customFormat="1" ht="11.25" x14ac:dyDescent="0.2">
      <c r="A648" s="152">
        <v>10001732</v>
      </c>
      <c r="B648" s="10" t="s">
        <v>2591</v>
      </c>
      <c r="C648" s="12" t="s">
        <v>2592</v>
      </c>
      <c r="D648" s="11" t="s">
        <v>2545</v>
      </c>
      <c r="E648" s="12" t="s">
        <v>2582</v>
      </c>
      <c r="F648" s="13">
        <v>1</v>
      </c>
      <c r="G648" s="22">
        <f>Overview!$B$44</f>
        <v>44</v>
      </c>
      <c r="H648" s="114">
        <f t="shared" si="179"/>
        <v>44</v>
      </c>
      <c r="I648" s="114">
        <f>Overview!$E$44</f>
        <v>0</v>
      </c>
      <c r="J648" s="115">
        <f t="shared" si="180"/>
        <v>0</v>
      </c>
      <c r="K648" s="116">
        <f>Overview!$H$44</f>
        <v>0</v>
      </c>
      <c r="L648" s="117" t="e">
        <f t="shared" si="181"/>
        <v>#DIV/0!</v>
      </c>
      <c r="M648" s="179" t="s">
        <v>2284</v>
      </c>
      <c r="N648" s="179" t="s">
        <v>3129</v>
      </c>
      <c r="O648" s="141">
        <f t="shared" si="182"/>
        <v>0</v>
      </c>
      <c r="P648" s="181" t="b">
        <f>COUNTIF('Facility Data'!$A$1:$A$1500,"*"&amp;A648&amp;"*")&gt;0</f>
        <v>0</v>
      </c>
      <c r="Q648" s="181" t="b">
        <f>COUNTIF('Account Data'!$A$1:$A$1000,"*"&amp;A648&amp;"*")&gt;0</f>
        <v>0</v>
      </c>
      <c r="R648" s="182" t="b">
        <f t="shared" si="177"/>
        <v>0</v>
      </c>
      <c r="S648" s="182" t="b">
        <f t="shared" si="178"/>
        <v>0</v>
      </c>
      <c r="T648" s="181" t="b">
        <f>COUNTIF('New Items'!$A$1:$A$175,A648)&gt;0</f>
        <v>0</v>
      </c>
      <c r="U648" s="181" t="b">
        <f>COUNTIF(Discontinued!$A$1:$A$150,A648)&gt;0</f>
        <v>0</v>
      </c>
    </row>
    <row r="649" spans="1:21" s="8" customFormat="1" ht="11.25" x14ac:dyDescent="0.2">
      <c r="A649" s="152">
        <v>10012014</v>
      </c>
      <c r="B649" s="10" t="s">
        <v>2593</v>
      </c>
      <c r="C649" s="12" t="s">
        <v>2594</v>
      </c>
      <c r="D649" s="11" t="s">
        <v>648</v>
      </c>
      <c r="E649" s="12" t="s">
        <v>2582</v>
      </c>
      <c r="F649" s="13">
        <v>1</v>
      </c>
      <c r="G649" s="22">
        <f>Overview!$B$44</f>
        <v>44</v>
      </c>
      <c r="H649" s="114">
        <f t="shared" si="179"/>
        <v>44</v>
      </c>
      <c r="I649" s="114">
        <f>Overview!$E$44</f>
        <v>0</v>
      </c>
      <c r="J649" s="115">
        <f t="shared" si="180"/>
        <v>0</v>
      </c>
      <c r="K649" s="116">
        <f>Overview!$H$44</f>
        <v>0</v>
      </c>
      <c r="L649" s="117" t="e">
        <f t="shared" si="181"/>
        <v>#DIV/0!</v>
      </c>
      <c r="M649" s="179"/>
      <c r="N649" s="179" t="s">
        <v>3129</v>
      </c>
      <c r="O649" s="141">
        <f t="shared" si="182"/>
        <v>0</v>
      </c>
      <c r="P649" s="181" t="b">
        <f>COUNTIF('Facility Data'!$A$1:$A$1500,"*"&amp;A649&amp;"*")&gt;0</f>
        <v>0</v>
      </c>
      <c r="Q649" s="181" t="b">
        <f>COUNTIF('Account Data'!$A$1:$A$1000,"*"&amp;A649&amp;"*")&gt;0</f>
        <v>0</v>
      </c>
      <c r="R649" s="182" t="b">
        <f t="shared" si="177"/>
        <v>0</v>
      </c>
      <c r="S649" s="182" t="b">
        <f t="shared" si="178"/>
        <v>0</v>
      </c>
      <c r="T649" s="181" t="b">
        <f>COUNTIF('New Items'!$A$1:$A$175,A649)&gt;0</f>
        <v>0</v>
      </c>
      <c r="U649" s="181" t="b">
        <f>COUNTIF(Discontinued!$A$1:$A$150,A649)&gt;0</f>
        <v>0</v>
      </c>
    </row>
    <row r="650" spans="1:21" s="8" customFormat="1" ht="11.25" x14ac:dyDescent="0.2">
      <c r="A650" s="152">
        <v>10000327</v>
      </c>
      <c r="B650" s="10" t="s">
        <v>2595</v>
      </c>
      <c r="C650" s="12" t="s">
        <v>2596</v>
      </c>
      <c r="D650" s="11" t="s">
        <v>650</v>
      </c>
      <c r="E650" s="12" t="s">
        <v>2582</v>
      </c>
      <c r="F650" s="13">
        <v>1</v>
      </c>
      <c r="G650" s="22">
        <f>Overview!$B$44</f>
        <v>44</v>
      </c>
      <c r="H650" s="114">
        <f t="shared" si="179"/>
        <v>44</v>
      </c>
      <c r="I650" s="114">
        <f>Overview!$E$44</f>
        <v>0</v>
      </c>
      <c r="J650" s="115">
        <f t="shared" si="180"/>
        <v>0</v>
      </c>
      <c r="K650" s="116">
        <f>Overview!$H$44</f>
        <v>0</v>
      </c>
      <c r="L650" s="117" t="e">
        <f t="shared" si="181"/>
        <v>#DIV/0!</v>
      </c>
      <c r="M650" s="179" t="s">
        <v>4369</v>
      </c>
      <c r="N650" s="179" t="s">
        <v>3129</v>
      </c>
      <c r="O650" s="141">
        <f t="shared" si="182"/>
        <v>0</v>
      </c>
      <c r="P650" s="181" t="b">
        <f>COUNTIF('Facility Data'!$A$1:$A$1500,"*"&amp;A650&amp;"*")&gt;0</f>
        <v>0</v>
      </c>
      <c r="Q650" s="181" t="b">
        <f>COUNTIF('Account Data'!$A$1:$A$1000,"*"&amp;A650&amp;"*")&gt;0</f>
        <v>1</v>
      </c>
      <c r="R650" s="182" t="b">
        <f t="shared" si="177"/>
        <v>0</v>
      </c>
      <c r="S650" s="182" t="b">
        <f t="shared" si="178"/>
        <v>1</v>
      </c>
      <c r="T650" s="181" t="b">
        <f>COUNTIF('New Items'!$A$1:$A$175,A650)&gt;0</f>
        <v>0</v>
      </c>
      <c r="U650" s="181" t="b">
        <f>COUNTIF(Discontinued!$A$1:$A$150,A650)&gt;0</f>
        <v>0</v>
      </c>
    </row>
    <row r="651" spans="1:21" s="8" customFormat="1" ht="11.25" x14ac:dyDescent="0.2">
      <c r="A651" s="152">
        <v>10078956</v>
      </c>
      <c r="B651" s="10" t="s">
        <v>2597</v>
      </c>
      <c r="C651" s="12" t="s">
        <v>2598</v>
      </c>
      <c r="D651" s="11" t="s">
        <v>634</v>
      </c>
      <c r="E651" s="12" t="s">
        <v>2582</v>
      </c>
      <c r="F651" s="13">
        <v>1</v>
      </c>
      <c r="G651" s="22">
        <f>Overview!$B$44</f>
        <v>44</v>
      </c>
      <c r="H651" s="114">
        <f t="shared" si="179"/>
        <v>44</v>
      </c>
      <c r="I651" s="114">
        <f>Overview!$E$44</f>
        <v>0</v>
      </c>
      <c r="J651" s="115">
        <f t="shared" si="180"/>
        <v>0</v>
      </c>
      <c r="K651" s="116">
        <f>Overview!$H$44</f>
        <v>0</v>
      </c>
      <c r="L651" s="117" t="e">
        <f t="shared" si="181"/>
        <v>#DIV/0!</v>
      </c>
      <c r="M651" s="179" t="s">
        <v>4369</v>
      </c>
      <c r="N651" s="179" t="s">
        <v>3129</v>
      </c>
      <c r="O651" s="141">
        <f t="shared" si="182"/>
        <v>0</v>
      </c>
      <c r="P651" s="181" t="b">
        <f>COUNTIF('Facility Data'!$A$1:$A$1500,"*"&amp;A651&amp;"*")&gt;0</f>
        <v>0</v>
      </c>
      <c r="Q651" s="181" t="b">
        <f>COUNTIF('Account Data'!$A$1:$A$1000,"*"&amp;A651&amp;"*")&gt;0</f>
        <v>0</v>
      </c>
      <c r="R651" s="182" t="b">
        <f t="shared" si="177"/>
        <v>0</v>
      </c>
      <c r="S651" s="182" t="b">
        <f t="shared" si="178"/>
        <v>0</v>
      </c>
      <c r="T651" s="181" t="b">
        <f>COUNTIF('New Items'!$A$1:$A$175,A651)&gt;0</f>
        <v>0</v>
      </c>
      <c r="U651" s="181" t="b">
        <f>COUNTIF(Discontinued!$A$1:$A$150,A651)&gt;0</f>
        <v>0</v>
      </c>
    </row>
    <row r="652" spans="1:21" s="8" customFormat="1" ht="11.25" x14ac:dyDescent="0.2">
      <c r="A652" s="152">
        <v>10078957</v>
      </c>
      <c r="B652" s="10" t="s">
        <v>2599</v>
      </c>
      <c r="C652" s="12" t="s">
        <v>2600</v>
      </c>
      <c r="D652" s="11" t="s">
        <v>635</v>
      </c>
      <c r="E652" s="12" t="s">
        <v>2582</v>
      </c>
      <c r="F652" s="13">
        <v>1</v>
      </c>
      <c r="G652" s="22">
        <f>Overview!$B$44</f>
        <v>44</v>
      </c>
      <c r="H652" s="114">
        <f>G652-I652</f>
        <v>44</v>
      </c>
      <c r="I652" s="114">
        <f>Overview!$E$44</f>
        <v>0</v>
      </c>
      <c r="J652" s="115">
        <f>I652/F652</f>
        <v>0</v>
      </c>
      <c r="K652" s="116">
        <f>Overview!$H$44</f>
        <v>0</v>
      </c>
      <c r="L652" s="117" t="e">
        <f>(K652-J652)/K652</f>
        <v>#DIV/0!</v>
      </c>
      <c r="M652" s="179" t="s">
        <v>4369</v>
      </c>
      <c r="N652" s="179" t="s">
        <v>3129</v>
      </c>
      <c r="O652" s="141">
        <f>I652</f>
        <v>0</v>
      </c>
      <c r="P652" s="181" t="b">
        <f>COUNTIF('Facility Data'!$A$1:$A$1500,"*"&amp;A652&amp;"*")&gt;0</f>
        <v>0</v>
      </c>
      <c r="Q652" s="181" t="b">
        <f>COUNTIF('Account Data'!$A$1:$A$1000,"*"&amp;A652&amp;"*")&gt;0</f>
        <v>0</v>
      </c>
      <c r="R652" s="182" t="b">
        <f t="shared" si="177"/>
        <v>0</v>
      </c>
      <c r="S652" s="182" t="b">
        <f t="shared" si="178"/>
        <v>0</v>
      </c>
      <c r="T652" s="181" t="b">
        <f>COUNTIF('New Items'!$A$1:$A$175,A652)&gt;0</f>
        <v>0</v>
      </c>
      <c r="U652" s="181" t="b">
        <f>COUNTIF(Discontinued!$A$1:$A$150,A652)&gt;0</f>
        <v>0</v>
      </c>
    </row>
    <row r="653" spans="1:21" s="8" customFormat="1" ht="11.25" x14ac:dyDescent="0.2">
      <c r="A653" s="152">
        <v>10000328</v>
      </c>
      <c r="B653" s="10" t="s">
        <v>2601</v>
      </c>
      <c r="C653" s="12" t="s">
        <v>2602</v>
      </c>
      <c r="D653" s="11" t="s">
        <v>1268</v>
      </c>
      <c r="E653" s="12" t="s">
        <v>2582</v>
      </c>
      <c r="F653" s="13">
        <v>1</v>
      </c>
      <c r="G653" s="22">
        <f>Overview!$B$44</f>
        <v>44</v>
      </c>
      <c r="H653" s="114">
        <f>G653-I653</f>
        <v>44</v>
      </c>
      <c r="I653" s="114">
        <f>Overview!$E$44</f>
        <v>0</v>
      </c>
      <c r="J653" s="115">
        <f>I653/F653</f>
        <v>0</v>
      </c>
      <c r="K653" s="116">
        <f>Overview!$H$44</f>
        <v>0</v>
      </c>
      <c r="L653" s="117" t="e">
        <f>(K653-J653)/K653</f>
        <v>#DIV/0!</v>
      </c>
      <c r="M653" s="179" t="s">
        <v>4369</v>
      </c>
      <c r="N653" s="179" t="s">
        <v>3129</v>
      </c>
      <c r="O653" s="141">
        <f>I653</f>
        <v>0</v>
      </c>
      <c r="P653" s="181" t="b">
        <f>COUNTIF('Facility Data'!$A$1:$A$1500,"*"&amp;A653&amp;"*")&gt;0</f>
        <v>0</v>
      </c>
      <c r="Q653" s="181" t="b">
        <f>COUNTIF('Account Data'!$A$1:$A$1000,"*"&amp;A653&amp;"*")&gt;0</f>
        <v>0</v>
      </c>
      <c r="R653" s="182" t="b">
        <f t="shared" si="177"/>
        <v>0</v>
      </c>
      <c r="S653" s="182" t="b">
        <f>IF(OR(Q653=TRUE,T653=TRUE),TRUE,FALSE)</f>
        <v>0</v>
      </c>
      <c r="T653" s="181" t="b">
        <f>COUNTIF('New Items'!$A$1:$A$175,A653)&gt;0</f>
        <v>0</v>
      </c>
      <c r="U653" s="181" t="b">
        <f>COUNTIF(Discontinued!$A$1:$A$150,A653)&gt;0</f>
        <v>0</v>
      </c>
    </row>
    <row r="654" spans="1:21" s="8" customFormat="1" ht="11.25" x14ac:dyDescent="0.2">
      <c r="A654" s="152">
        <v>10000333</v>
      </c>
      <c r="B654" s="10" t="s">
        <v>3789</v>
      </c>
      <c r="C654" s="12" t="s">
        <v>3790</v>
      </c>
      <c r="D654" s="11" t="s">
        <v>3788</v>
      </c>
      <c r="E654" s="12" t="s">
        <v>2582</v>
      </c>
      <c r="F654" s="13">
        <v>1</v>
      </c>
      <c r="G654" s="22">
        <f>Overview!$B$44</f>
        <v>44</v>
      </c>
      <c r="H654" s="114">
        <f>G654-I654</f>
        <v>44</v>
      </c>
      <c r="I654" s="114">
        <f>Overview!$E$44</f>
        <v>0</v>
      </c>
      <c r="J654" s="115">
        <f>I654/F654</f>
        <v>0</v>
      </c>
      <c r="K654" s="116">
        <f>Overview!$H$44</f>
        <v>0</v>
      </c>
      <c r="L654" s="117" t="e">
        <f>(K654-J654)/K654</f>
        <v>#DIV/0!</v>
      </c>
      <c r="M654" s="179" t="s">
        <v>4369</v>
      </c>
      <c r="N654" s="179" t="s">
        <v>3129</v>
      </c>
      <c r="O654" s="141">
        <f>I654</f>
        <v>0</v>
      </c>
      <c r="P654" s="181" t="b">
        <f>COUNTIF('Facility Data'!$A$1:$A$1500,"*"&amp;A654&amp;"*")&gt;0</f>
        <v>0</v>
      </c>
      <c r="Q654" s="181" t="b">
        <f>COUNTIF('Account Data'!$A$1:$A$1000,"*"&amp;A654&amp;"*")&gt;0</f>
        <v>0</v>
      </c>
      <c r="R654" s="182" t="b">
        <f t="shared" si="177"/>
        <v>0</v>
      </c>
      <c r="S654" s="182" t="b">
        <f t="shared" si="178"/>
        <v>0</v>
      </c>
      <c r="T654" s="181" t="b">
        <f>COUNTIF('New Items'!$A$1:$A$175,A654)&gt;0</f>
        <v>0</v>
      </c>
      <c r="U654" s="181" t="b">
        <f>COUNTIF(Discontinued!$A$1:$A$150,A654)&gt;0</f>
        <v>0</v>
      </c>
    </row>
    <row r="655" spans="1:21" s="8" customFormat="1" ht="11.25" x14ac:dyDescent="0.2">
      <c r="A655" s="152">
        <v>10066318</v>
      </c>
      <c r="B655" s="10" t="s">
        <v>2603</v>
      </c>
      <c r="C655" s="12" t="s">
        <v>2604</v>
      </c>
      <c r="D655" s="11" t="s">
        <v>652</v>
      </c>
      <c r="E655" s="12" t="s">
        <v>2582</v>
      </c>
      <c r="F655" s="13">
        <v>1</v>
      </c>
      <c r="G655" s="22">
        <f>Overview!$B$44</f>
        <v>44</v>
      </c>
      <c r="H655" s="114">
        <f t="shared" ref="H655:H660" si="183">G655-I655</f>
        <v>44</v>
      </c>
      <c r="I655" s="114">
        <f>Overview!$E$44</f>
        <v>0</v>
      </c>
      <c r="J655" s="115">
        <f t="shared" ref="J655:J660" si="184">I655/F655</f>
        <v>0</v>
      </c>
      <c r="K655" s="116">
        <f>Overview!$H$44</f>
        <v>0</v>
      </c>
      <c r="L655" s="117" t="e">
        <f t="shared" ref="L655:L660" si="185">(K655-J655)/K655</f>
        <v>#DIV/0!</v>
      </c>
      <c r="M655" s="179"/>
      <c r="N655" s="179" t="s">
        <v>3129</v>
      </c>
      <c r="O655" s="141">
        <f t="shared" ref="O655:O660" si="186">I655</f>
        <v>0</v>
      </c>
      <c r="P655" s="181" t="b">
        <f>COUNTIF('Facility Data'!$A$1:$A$1500,"*"&amp;A655&amp;"*")&gt;0</f>
        <v>0</v>
      </c>
      <c r="Q655" s="181" t="b">
        <f>COUNTIF('Account Data'!$A$1:$A$1000,"*"&amp;A655&amp;"*")&gt;0</f>
        <v>0</v>
      </c>
      <c r="R655" s="182" t="b">
        <f t="shared" si="177"/>
        <v>0</v>
      </c>
      <c r="S655" s="182" t="b">
        <f t="shared" si="178"/>
        <v>0</v>
      </c>
      <c r="T655" s="181" t="b">
        <f>COUNTIF('New Items'!$A$1:$A$175,A655)&gt;0</f>
        <v>0</v>
      </c>
      <c r="U655" s="181" t="b">
        <f>COUNTIF(Discontinued!$A$1:$A$150,A655)&gt;0</f>
        <v>0</v>
      </c>
    </row>
    <row r="656" spans="1:21" s="8" customFormat="1" ht="11.25" x14ac:dyDescent="0.2">
      <c r="A656" s="152">
        <v>10000330</v>
      </c>
      <c r="B656" s="10" t="s">
        <v>2605</v>
      </c>
      <c r="C656" s="12" t="s">
        <v>2606</v>
      </c>
      <c r="D656" s="11" t="s">
        <v>675</v>
      </c>
      <c r="E656" s="12" t="s">
        <v>2582</v>
      </c>
      <c r="F656" s="13">
        <v>1</v>
      </c>
      <c r="G656" s="22">
        <f>Overview!$B$44</f>
        <v>44</v>
      </c>
      <c r="H656" s="114">
        <f t="shared" si="183"/>
        <v>44</v>
      </c>
      <c r="I656" s="114">
        <f>Overview!$E$44</f>
        <v>0</v>
      </c>
      <c r="J656" s="115">
        <f t="shared" si="184"/>
        <v>0</v>
      </c>
      <c r="K656" s="116">
        <f>Overview!$H$44</f>
        <v>0</v>
      </c>
      <c r="L656" s="117" t="e">
        <f t="shared" si="185"/>
        <v>#DIV/0!</v>
      </c>
      <c r="M656" s="179"/>
      <c r="N656" s="179" t="s">
        <v>3129</v>
      </c>
      <c r="O656" s="141">
        <f t="shared" si="186"/>
        <v>0</v>
      </c>
      <c r="P656" s="181" t="b">
        <f>COUNTIF('Facility Data'!$A$1:$A$1500,"*"&amp;A656&amp;"*")&gt;0</f>
        <v>0</v>
      </c>
      <c r="Q656" s="181" t="b">
        <f>COUNTIF('Account Data'!$A$1:$A$1000,"*"&amp;A656&amp;"*")&gt;0</f>
        <v>0</v>
      </c>
      <c r="R656" s="182" t="b">
        <f t="shared" si="177"/>
        <v>0</v>
      </c>
      <c r="S656" s="182" t="b">
        <f t="shared" si="178"/>
        <v>0</v>
      </c>
      <c r="T656" s="181" t="b">
        <f>COUNTIF('New Items'!$A$1:$A$175,A656)&gt;0</f>
        <v>0</v>
      </c>
      <c r="U656" s="181" t="b">
        <f>COUNTIF(Discontinued!$A$1:$A$150,A656)&gt;0</f>
        <v>0</v>
      </c>
    </row>
    <row r="657" spans="1:21" s="8" customFormat="1" ht="11.25" x14ac:dyDescent="0.2">
      <c r="A657" s="152">
        <v>10000232</v>
      </c>
      <c r="B657" s="10" t="s">
        <v>2607</v>
      </c>
      <c r="C657" s="12" t="s">
        <v>2608</v>
      </c>
      <c r="D657" s="11" t="s">
        <v>636</v>
      </c>
      <c r="E657" s="12" t="s">
        <v>2582</v>
      </c>
      <c r="F657" s="13">
        <v>1</v>
      </c>
      <c r="G657" s="22">
        <f>Overview!$B$44</f>
        <v>44</v>
      </c>
      <c r="H657" s="114">
        <f t="shared" si="183"/>
        <v>44</v>
      </c>
      <c r="I657" s="114">
        <f>Overview!$E$44</f>
        <v>0</v>
      </c>
      <c r="J657" s="115">
        <f t="shared" si="184"/>
        <v>0</v>
      </c>
      <c r="K657" s="116">
        <f>Overview!$H$44</f>
        <v>0</v>
      </c>
      <c r="L657" s="117" t="e">
        <f t="shared" si="185"/>
        <v>#DIV/0!</v>
      </c>
      <c r="M657" s="179" t="s">
        <v>4370</v>
      </c>
      <c r="N657" s="179" t="s">
        <v>3129</v>
      </c>
      <c r="O657" s="141">
        <f t="shared" si="186"/>
        <v>0</v>
      </c>
      <c r="P657" s="181" t="b">
        <f>COUNTIF('Facility Data'!$A$1:$A$1500,"*"&amp;A657&amp;"*")&gt;0</f>
        <v>0</v>
      </c>
      <c r="Q657" s="181" t="b">
        <f>COUNTIF('Account Data'!$A$1:$A$1000,"*"&amp;A657&amp;"*")&gt;0</f>
        <v>1</v>
      </c>
      <c r="R657" s="182" t="b">
        <f t="shared" si="177"/>
        <v>0</v>
      </c>
      <c r="S657" s="182" t="b">
        <f t="shared" si="178"/>
        <v>1</v>
      </c>
      <c r="T657" s="181" t="b">
        <f>COUNTIF('New Items'!$A$1:$A$175,A657)&gt;0</f>
        <v>0</v>
      </c>
      <c r="U657" s="181" t="b">
        <f>COUNTIF(Discontinued!$A$1:$A$150,A657)&gt;0</f>
        <v>0</v>
      </c>
    </row>
    <row r="658" spans="1:21" s="8" customFormat="1" ht="11.25" x14ac:dyDescent="0.2">
      <c r="A658" s="152">
        <v>10000329</v>
      </c>
      <c r="B658" s="10" t="s">
        <v>2609</v>
      </c>
      <c r="C658" s="12" t="s">
        <v>2610</v>
      </c>
      <c r="D658" s="11" t="s">
        <v>655</v>
      </c>
      <c r="E658" s="12" t="s">
        <v>2582</v>
      </c>
      <c r="F658" s="13">
        <v>1</v>
      </c>
      <c r="G658" s="22">
        <f>Overview!$B$44</f>
        <v>44</v>
      </c>
      <c r="H658" s="114">
        <f t="shared" si="183"/>
        <v>44</v>
      </c>
      <c r="I658" s="114">
        <f>Overview!$E$44</f>
        <v>0</v>
      </c>
      <c r="J658" s="115">
        <f t="shared" si="184"/>
        <v>0</v>
      </c>
      <c r="K658" s="116">
        <f>Overview!$H$44</f>
        <v>0</v>
      </c>
      <c r="L658" s="117" t="e">
        <f t="shared" si="185"/>
        <v>#DIV/0!</v>
      </c>
      <c r="M658" s="179"/>
      <c r="N658" s="179" t="s">
        <v>3129</v>
      </c>
      <c r="O658" s="141">
        <f t="shared" si="186"/>
        <v>0</v>
      </c>
      <c r="P658" s="181" t="b">
        <f>COUNTIF('Facility Data'!$A$1:$A$1500,"*"&amp;A658&amp;"*")&gt;0</f>
        <v>0</v>
      </c>
      <c r="Q658" s="181" t="b">
        <f>COUNTIF('Account Data'!$A$1:$A$1000,"*"&amp;A658&amp;"*")&gt;0</f>
        <v>0</v>
      </c>
      <c r="R658" s="182" t="b">
        <f t="shared" si="177"/>
        <v>0</v>
      </c>
      <c r="S658" s="182" t="b">
        <f t="shared" si="178"/>
        <v>0</v>
      </c>
      <c r="T658" s="181" t="b">
        <f>COUNTIF('New Items'!$A$1:$A$175,A658)&gt;0</f>
        <v>0</v>
      </c>
      <c r="U658" s="181" t="b">
        <f>COUNTIF(Discontinued!$A$1:$A$150,A658)&gt;0</f>
        <v>0</v>
      </c>
    </row>
    <row r="659" spans="1:21" s="8" customFormat="1" ht="11.25" x14ac:dyDescent="0.2">
      <c r="A659" s="152">
        <v>10010403</v>
      </c>
      <c r="B659" s="10" t="s">
        <v>2611</v>
      </c>
      <c r="C659" s="12" t="s">
        <v>2612</v>
      </c>
      <c r="D659" s="11" t="s">
        <v>2649</v>
      </c>
      <c r="E659" s="12" t="s">
        <v>2582</v>
      </c>
      <c r="F659" s="13">
        <v>1</v>
      </c>
      <c r="G659" s="22">
        <f>Overview!$B$44</f>
        <v>44</v>
      </c>
      <c r="H659" s="114">
        <f t="shared" si="183"/>
        <v>44</v>
      </c>
      <c r="I659" s="114">
        <f>Overview!$E$44</f>
        <v>0</v>
      </c>
      <c r="J659" s="115">
        <f t="shared" si="184"/>
        <v>0</v>
      </c>
      <c r="K659" s="116">
        <f>Overview!$H$44</f>
        <v>0</v>
      </c>
      <c r="L659" s="117" t="e">
        <f t="shared" si="185"/>
        <v>#DIV/0!</v>
      </c>
      <c r="M659" s="179"/>
      <c r="N659" s="179" t="s">
        <v>3129</v>
      </c>
      <c r="O659" s="141">
        <f t="shared" si="186"/>
        <v>0</v>
      </c>
      <c r="P659" s="181" t="b">
        <f>COUNTIF('Facility Data'!$A$1:$A$1500,"*"&amp;A659&amp;"*")&gt;0</f>
        <v>0</v>
      </c>
      <c r="Q659" s="181" t="b">
        <f>COUNTIF('Account Data'!$A$1:$A$1000,"*"&amp;A659&amp;"*")&gt;0</f>
        <v>0</v>
      </c>
      <c r="R659" s="182" t="b">
        <f t="shared" si="177"/>
        <v>0</v>
      </c>
      <c r="S659" s="182" t="b">
        <f t="shared" si="178"/>
        <v>0</v>
      </c>
      <c r="T659" s="181" t="b">
        <f>COUNTIF('New Items'!$A$1:$A$175,A659)&gt;0</f>
        <v>0</v>
      </c>
      <c r="U659" s="181" t="b">
        <f>COUNTIF(Discontinued!$A$1:$A$150,A659)&gt;0</f>
        <v>0</v>
      </c>
    </row>
    <row r="660" spans="1:21" s="8" customFormat="1" ht="11.25" x14ac:dyDescent="0.2">
      <c r="A660" s="152">
        <v>10088270</v>
      </c>
      <c r="B660" s="10" t="s">
        <v>2613</v>
      </c>
      <c r="C660" s="12" t="s">
        <v>2614</v>
      </c>
      <c r="D660" s="11" t="s">
        <v>2547</v>
      </c>
      <c r="E660" s="12" t="s">
        <v>2582</v>
      </c>
      <c r="F660" s="13">
        <v>1</v>
      </c>
      <c r="G660" s="22">
        <f>Overview!$B$44</f>
        <v>44</v>
      </c>
      <c r="H660" s="114">
        <f t="shared" si="183"/>
        <v>44</v>
      </c>
      <c r="I660" s="114">
        <f>Overview!$E$44</f>
        <v>0</v>
      </c>
      <c r="J660" s="115">
        <f t="shared" si="184"/>
        <v>0</v>
      </c>
      <c r="K660" s="116">
        <f>Overview!$H$44</f>
        <v>0</v>
      </c>
      <c r="L660" s="117" t="e">
        <f t="shared" si="185"/>
        <v>#DIV/0!</v>
      </c>
      <c r="M660" s="179"/>
      <c r="N660" s="179" t="s">
        <v>3129</v>
      </c>
      <c r="O660" s="141">
        <f t="shared" si="186"/>
        <v>0</v>
      </c>
      <c r="P660" s="181" t="b">
        <f>COUNTIF('Facility Data'!$A$1:$A$1500,"*"&amp;A660&amp;"*")&gt;0</f>
        <v>0</v>
      </c>
      <c r="Q660" s="181" t="b">
        <f>COUNTIF('Account Data'!$A$1:$A$1000,"*"&amp;A660&amp;"*")&gt;0</f>
        <v>1</v>
      </c>
      <c r="R660" s="182" t="b">
        <f t="shared" si="177"/>
        <v>0</v>
      </c>
      <c r="S660" s="182" t="b">
        <f t="shared" si="178"/>
        <v>1</v>
      </c>
      <c r="T660" s="181" t="b">
        <f>COUNTIF('New Items'!$A$1:$A$175,A660)&gt;0</f>
        <v>0</v>
      </c>
      <c r="U660" s="181" t="b">
        <f>COUNTIF(Discontinued!$A$1:$A$150,A660)&gt;0</f>
        <v>0</v>
      </c>
    </row>
    <row r="661" spans="1:21" s="8" customFormat="1" ht="11.25" x14ac:dyDescent="0.2">
      <c r="A661" s="152">
        <v>10088970</v>
      </c>
      <c r="B661" s="10" t="s">
        <v>2615</v>
      </c>
      <c r="C661" s="12" t="s">
        <v>2616</v>
      </c>
      <c r="D661" s="11" t="s">
        <v>2650</v>
      </c>
      <c r="E661" s="12" t="s">
        <v>2582</v>
      </c>
      <c r="F661" s="13">
        <v>1</v>
      </c>
      <c r="G661" s="22">
        <f>Overview!$B$44</f>
        <v>44</v>
      </c>
      <c r="H661" s="114">
        <f t="shared" ref="H661:H670" si="187">G661-I661</f>
        <v>44</v>
      </c>
      <c r="I661" s="114">
        <f>Overview!$E$44</f>
        <v>0</v>
      </c>
      <c r="J661" s="115">
        <f t="shared" ref="J661:J670" si="188">I661/F661</f>
        <v>0</v>
      </c>
      <c r="K661" s="116">
        <f>Overview!$H$44</f>
        <v>0</v>
      </c>
      <c r="L661" s="117" t="e">
        <f t="shared" ref="L661:L670" si="189">(K661-J661)/K661</f>
        <v>#DIV/0!</v>
      </c>
      <c r="M661" s="179"/>
      <c r="N661" s="179" t="s">
        <v>3129</v>
      </c>
      <c r="O661" s="141">
        <f>I661</f>
        <v>0</v>
      </c>
      <c r="P661" s="181" t="b">
        <f>COUNTIF('Facility Data'!$A$1:$A$1500,"*"&amp;A661&amp;"*")&gt;0</f>
        <v>0</v>
      </c>
      <c r="Q661" s="181" t="b">
        <f>COUNTIF('Account Data'!$A$1:$A$1000,"*"&amp;A661&amp;"*")&gt;0</f>
        <v>0</v>
      </c>
      <c r="R661" s="182" t="b">
        <f t="shared" si="177"/>
        <v>0</v>
      </c>
      <c r="S661" s="182" t="b">
        <f t="shared" si="178"/>
        <v>0</v>
      </c>
      <c r="T661" s="181" t="b">
        <f>COUNTIF('New Items'!$A$1:$A$175,A661)&gt;0</f>
        <v>0</v>
      </c>
      <c r="U661" s="181" t="b">
        <f>COUNTIF(Discontinued!$A$1:$A$150,A661)&gt;0</f>
        <v>0</v>
      </c>
    </row>
    <row r="662" spans="1:21" s="8" customFormat="1" ht="11.25" x14ac:dyDescent="0.2">
      <c r="A662" s="152">
        <v>10000324</v>
      </c>
      <c r="B662" s="10" t="s">
        <v>2617</v>
      </c>
      <c r="C662" s="12" t="s">
        <v>2618</v>
      </c>
      <c r="D662" s="11" t="s">
        <v>640</v>
      </c>
      <c r="E662" s="12" t="s">
        <v>2582</v>
      </c>
      <c r="F662" s="13">
        <v>1</v>
      </c>
      <c r="G662" s="22">
        <f>Overview!$B$44</f>
        <v>44</v>
      </c>
      <c r="H662" s="114">
        <f t="shared" si="187"/>
        <v>44</v>
      </c>
      <c r="I662" s="114">
        <f>Overview!$E$44</f>
        <v>0</v>
      </c>
      <c r="J662" s="115">
        <f t="shared" si="188"/>
        <v>0</v>
      </c>
      <c r="K662" s="116">
        <f>Overview!$H$44</f>
        <v>0</v>
      </c>
      <c r="L662" s="117" t="e">
        <f t="shared" si="189"/>
        <v>#DIV/0!</v>
      </c>
      <c r="M662" s="179"/>
      <c r="N662" s="179" t="s">
        <v>3129</v>
      </c>
      <c r="O662" s="141">
        <f t="shared" ref="O662:O670" si="190">I662</f>
        <v>0</v>
      </c>
      <c r="P662" s="181" t="b">
        <f>COUNTIF('Facility Data'!$A$1:$A$1500,"*"&amp;A662&amp;"*")&gt;0</f>
        <v>0</v>
      </c>
      <c r="Q662" s="181" t="b">
        <f>COUNTIF('Account Data'!$A$1:$A$1000,"*"&amp;A662&amp;"*")&gt;0</f>
        <v>0</v>
      </c>
      <c r="R662" s="182" t="b">
        <f t="shared" si="177"/>
        <v>0</v>
      </c>
      <c r="S662" s="182" t="b">
        <f t="shared" si="178"/>
        <v>0</v>
      </c>
      <c r="T662" s="181" t="b">
        <f>COUNTIF('New Items'!$A$1:$A$175,A662)&gt;0</f>
        <v>0</v>
      </c>
      <c r="U662" s="181" t="b">
        <f>COUNTIF(Discontinued!$A$1:$A$150,A662)&gt;0</f>
        <v>0</v>
      </c>
    </row>
    <row r="663" spans="1:21" s="8" customFormat="1" ht="11.25" x14ac:dyDescent="0.2">
      <c r="A663" s="152">
        <v>10000332</v>
      </c>
      <c r="B663" s="10" t="s">
        <v>4125</v>
      </c>
      <c r="C663" s="12" t="s">
        <v>4126</v>
      </c>
      <c r="D663" s="11" t="s">
        <v>4122</v>
      </c>
      <c r="E663" s="12" t="s">
        <v>2582</v>
      </c>
      <c r="F663" s="13">
        <v>1</v>
      </c>
      <c r="G663" s="22">
        <f>Overview!$B$44</f>
        <v>44</v>
      </c>
      <c r="H663" s="114">
        <f>G663-I663</f>
        <v>44</v>
      </c>
      <c r="I663" s="114">
        <f>Overview!$E$44</f>
        <v>0</v>
      </c>
      <c r="J663" s="115">
        <f>I663/F663</f>
        <v>0</v>
      </c>
      <c r="K663" s="116">
        <f>Overview!$H$44</f>
        <v>0</v>
      </c>
      <c r="L663" s="117" t="e">
        <f>(K663-J663)/K663</f>
        <v>#DIV/0!</v>
      </c>
      <c r="M663" s="179"/>
      <c r="N663" s="179" t="s">
        <v>3129</v>
      </c>
      <c r="O663" s="141">
        <f>I663</f>
        <v>0</v>
      </c>
      <c r="P663" s="181" t="b">
        <f>COUNTIF('Facility Data'!$A$1:$A$1500,"*"&amp;A663&amp;"*")&gt;0</f>
        <v>0</v>
      </c>
      <c r="Q663" s="181" t="b">
        <f>COUNTIF('Account Data'!$A$1:$A$1000,"*"&amp;A663&amp;"*")&gt;0</f>
        <v>0</v>
      </c>
      <c r="R663" s="182" t="b">
        <f t="shared" si="177"/>
        <v>0</v>
      </c>
      <c r="S663" s="182" t="b">
        <f>IF(OR(Q663=TRUE,T663=TRUE),TRUE,FALSE)</f>
        <v>0</v>
      </c>
      <c r="T663" s="181" t="b">
        <f>COUNTIF('New Items'!$A$1:$A$175,A663)&gt;0</f>
        <v>0</v>
      </c>
      <c r="U663" s="181" t="b">
        <f>COUNTIF(Discontinued!$A$1:$A$150,A663)&gt;0</f>
        <v>0</v>
      </c>
    </row>
    <row r="664" spans="1:21" s="8" customFormat="1" ht="11.25" x14ac:dyDescent="0.2">
      <c r="A664" s="152">
        <v>10000260</v>
      </c>
      <c r="B664" s="10" t="s">
        <v>2619</v>
      </c>
      <c r="C664" s="12" t="s">
        <v>2620</v>
      </c>
      <c r="D664" s="11" t="s">
        <v>658</v>
      </c>
      <c r="E664" s="12" t="s">
        <v>2582</v>
      </c>
      <c r="F664" s="13">
        <v>1</v>
      </c>
      <c r="G664" s="22">
        <f>Overview!$B$44</f>
        <v>44</v>
      </c>
      <c r="H664" s="114">
        <f t="shared" si="187"/>
        <v>44</v>
      </c>
      <c r="I664" s="114">
        <f>Overview!$E$44</f>
        <v>0</v>
      </c>
      <c r="J664" s="115">
        <f t="shared" si="188"/>
        <v>0</v>
      </c>
      <c r="K664" s="116">
        <f>Overview!$H$44</f>
        <v>0</v>
      </c>
      <c r="L664" s="117" t="e">
        <f t="shared" si="189"/>
        <v>#DIV/0!</v>
      </c>
      <c r="M664" s="179"/>
      <c r="N664" s="179" t="s">
        <v>3129</v>
      </c>
      <c r="O664" s="141">
        <f t="shared" si="190"/>
        <v>0</v>
      </c>
      <c r="P664" s="181" t="b">
        <f>COUNTIF('Facility Data'!$A$1:$A$1500,"*"&amp;A664&amp;"*")&gt;0</f>
        <v>0</v>
      </c>
      <c r="Q664" s="181" t="b">
        <f>COUNTIF('Account Data'!$A$1:$A$1000,"*"&amp;A664&amp;"*")&gt;0</f>
        <v>1</v>
      </c>
      <c r="R664" s="182" t="b">
        <f t="shared" si="177"/>
        <v>0</v>
      </c>
      <c r="S664" s="182" t="b">
        <f t="shared" si="178"/>
        <v>1</v>
      </c>
      <c r="T664" s="181" t="b">
        <f>COUNTIF('New Items'!$A$1:$A$175,A664)&gt;0</f>
        <v>0</v>
      </c>
      <c r="U664" s="181" t="b">
        <f>COUNTIF(Discontinued!$A$1:$A$150,A664)&gt;0</f>
        <v>0</v>
      </c>
    </row>
    <row r="665" spans="1:21" s="8" customFormat="1" ht="11.25" x14ac:dyDescent="0.2">
      <c r="A665" s="152">
        <v>10000323</v>
      </c>
      <c r="B665" s="10" t="s">
        <v>2621</v>
      </c>
      <c r="C665" s="12" t="s">
        <v>2622</v>
      </c>
      <c r="D665" s="11" t="s">
        <v>1272</v>
      </c>
      <c r="E665" s="12" t="s">
        <v>2582</v>
      </c>
      <c r="F665" s="13">
        <v>1</v>
      </c>
      <c r="G665" s="22">
        <f>Overview!$B$44</f>
        <v>44</v>
      </c>
      <c r="H665" s="114">
        <f t="shared" si="187"/>
        <v>44</v>
      </c>
      <c r="I665" s="114">
        <f>Overview!$E$44</f>
        <v>0</v>
      </c>
      <c r="J665" s="115">
        <f t="shared" si="188"/>
        <v>0</v>
      </c>
      <c r="K665" s="116">
        <f>Overview!$H$44</f>
        <v>0</v>
      </c>
      <c r="L665" s="117" t="e">
        <f t="shared" si="189"/>
        <v>#DIV/0!</v>
      </c>
      <c r="M665" s="179"/>
      <c r="N665" s="179" t="s">
        <v>3129</v>
      </c>
      <c r="O665" s="141">
        <f t="shared" si="190"/>
        <v>0</v>
      </c>
      <c r="P665" s="181" t="b">
        <f>COUNTIF('Facility Data'!$A$1:$A$1500,"*"&amp;A665&amp;"*")&gt;0</f>
        <v>0</v>
      </c>
      <c r="Q665" s="181" t="b">
        <f>COUNTIF('Account Data'!$A$1:$A$1000,"*"&amp;A665&amp;"*")&gt;0</f>
        <v>0</v>
      </c>
      <c r="R665" s="182" t="b">
        <f t="shared" si="177"/>
        <v>0</v>
      </c>
      <c r="S665" s="182" t="b">
        <f t="shared" si="178"/>
        <v>0</v>
      </c>
      <c r="T665" s="181" t="b">
        <f>COUNTIF('New Items'!$A$1:$A$175,A665)&gt;0</f>
        <v>0</v>
      </c>
      <c r="U665" s="181" t="b">
        <f>COUNTIF(Discontinued!$A$1:$A$150,A665)&gt;0</f>
        <v>0</v>
      </c>
    </row>
    <row r="666" spans="1:21" s="8" customFormat="1" ht="11.25" x14ac:dyDescent="0.2">
      <c r="A666" s="152">
        <v>10000261</v>
      </c>
      <c r="B666" s="10" t="s">
        <v>2623</v>
      </c>
      <c r="C666" s="12" t="s">
        <v>2624</v>
      </c>
      <c r="D666" s="11" t="s">
        <v>660</v>
      </c>
      <c r="E666" s="12" t="s">
        <v>2582</v>
      </c>
      <c r="F666" s="13">
        <v>1</v>
      </c>
      <c r="G666" s="22">
        <f>Overview!$B$44</f>
        <v>44</v>
      </c>
      <c r="H666" s="114">
        <f t="shared" si="187"/>
        <v>44</v>
      </c>
      <c r="I666" s="114">
        <f>Overview!$E$44</f>
        <v>0</v>
      </c>
      <c r="J666" s="115">
        <f t="shared" si="188"/>
        <v>0</v>
      </c>
      <c r="K666" s="116">
        <f>Overview!$H$44</f>
        <v>0</v>
      </c>
      <c r="L666" s="117" t="e">
        <f t="shared" si="189"/>
        <v>#DIV/0!</v>
      </c>
      <c r="M666" s="179"/>
      <c r="N666" s="179" t="s">
        <v>3129</v>
      </c>
      <c r="O666" s="141">
        <f t="shared" si="190"/>
        <v>0</v>
      </c>
      <c r="P666" s="181" t="b">
        <f>COUNTIF('Facility Data'!$A$1:$A$1500,"*"&amp;A666&amp;"*")&gt;0</f>
        <v>0</v>
      </c>
      <c r="Q666" s="181" t="b">
        <f>COUNTIF('Account Data'!$A$1:$A$1000,"*"&amp;A666&amp;"*")&gt;0</f>
        <v>1</v>
      </c>
      <c r="R666" s="182" t="b">
        <f t="shared" si="177"/>
        <v>0</v>
      </c>
      <c r="S666" s="182" t="b">
        <f t="shared" si="178"/>
        <v>1</v>
      </c>
      <c r="T666" s="181" t="b">
        <f>COUNTIF('New Items'!$A$1:$A$175,A666)&gt;0</f>
        <v>0</v>
      </c>
      <c r="U666" s="181" t="b">
        <f>COUNTIF(Discontinued!$A$1:$A$150,A666)&gt;0</f>
        <v>0</v>
      </c>
    </row>
    <row r="667" spans="1:21" s="8" customFormat="1" ht="11.25" x14ac:dyDescent="0.2">
      <c r="A667" s="152">
        <v>10120827</v>
      </c>
      <c r="B667" s="10" t="s">
        <v>2625</v>
      </c>
      <c r="C667" s="12" t="s">
        <v>2626</v>
      </c>
      <c r="D667" s="11" t="s">
        <v>2651</v>
      </c>
      <c r="E667" s="12" t="s">
        <v>2582</v>
      </c>
      <c r="F667" s="13">
        <v>1</v>
      </c>
      <c r="G667" s="22">
        <f>Overview!$B$44</f>
        <v>44</v>
      </c>
      <c r="H667" s="114">
        <f t="shared" si="187"/>
        <v>44</v>
      </c>
      <c r="I667" s="114">
        <f>Overview!$E$44</f>
        <v>0</v>
      </c>
      <c r="J667" s="115">
        <f t="shared" si="188"/>
        <v>0</v>
      </c>
      <c r="K667" s="116">
        <f>Overview!$H$44</f>
        <v>0</v>
      </c>
      <c r="L667" s="117" t="e">
        <f t="shared" si="189"/>
        <v>#DIV/0!</v>
      </c>
      <c r="M667" s="179"/>
      <c r="N667" s="179" t="s">
        <v>3129</v>
      </c>
      <c r="O667" s="141">
        <f t="shared" si="190"/>
        <v>0</v>
      </c>
      <c r="P667" s="181" t="b">
        <f>COUNTIF('Facility Data'!$A$1:$A$1500,"*"&amp;A667&amp;"*")&gt;0</f>
        <v>0</v>
      </c>
      <c r="Q667" s="181" t="b">
        <f>COUNTIF('Account Data'!$A$1:$A$1000,"*"&amp;A667&amp;"*")&gt;0</f>
        <v>0</v>
      </c>
      <c r="R667" s="182" t="b">
        <f t="shared" si="177"/>
        <v>0</v>
      </c>
      <c r="S667" s="182" t="b">
        <f t="shared" si="178"/>
        <v>0</v>
      </c>
      <c r="T667" s="181" t="b">
        <f>COUNTIF('New Items'!$A$1:$A$175,A667)&gt;0</f>
        <v>0</v>
      </c>
      <c r="U667" s="181" t="b">
        <f>COUNTIF(Discontinued!$A$1:$A$150,A667)&gt;0</f>
        <v>0</v>
      </c>
    </row>
    <row r="668" spans="1:21" s="8" customFormat="1" ht="11.25" x14ac:dyDescent="0.2">
      <c r="A668" s="152">
        <v>10100225</v>
      </c>
      <c r="B668" s="10" t="s">
        <v>2627</v>
      </c>
      <c r="C668" s="12" t="s">
        <v>2628</v>
      </c>
      <c r="D668" s="11" t="s">
        <v>2652</v>
      </c>
      <c r="E668" s="12" t="s">
        <v>2582</v>
      </c>
      <c r="F668" s="13">
        <v>1</v>
      </c>
      <c r="G668" s="22">
        <f>Overview!$B$44</f>
        <v>44</v>
      </c>
      <c r="H668" s="114">
        <f t="shared" si="187"/>
        <v>44</v>
      </c>
      <c r="I668" s="114">
        <f>Overview!$E$44</f>
        <v>0</v>
      </c>
      <c r="J668" s="115">
        <f t="shared" si="188"/>
        <v>0</v>
      </c>
      <c r="K668" s="116">
        <f>Overview!$H$44</f>
        <v>0</v>
      </c>
      <c r="L668" s="117" t="e">
        <f t="shared" si="189"/>
        <v>#DIV/0!</v>
      </c>
      <c r="M668" s="179"/>
      <c r="N668" s="179" t="s">
        <v>3129</v>
      </c>
      <c r="O668" s="141">
        <f t="shared" si="190"/>
        <v>0</v>
      </c>
      <c r="P668" s="181" t="b">
        <f>COUNTIF('Facility Data'!$A$1:$A$1500,"*"&amp;A668&amp;"*")&gt;0</f>
        <v>0</v>
      </c>
      <c r="Q668" s="181" t="b">
        <f>COUNTIF('Account Data'!$A$1:$A$1000,"*"&amp;A668&amp;"*")&gt;0</f>
        <v>0</v>
      </c>
      <c r="R668" s="182" t="b">
        <f t="shared" si="177"/>
        <v>0</v>
      </c>
      <c r="S668" s="182" t="b">
        <f t="shared" si="178"/>
        <v>0</v>
      </c>
      <c r="T668" s="181" t="b">
        <f>COUNTIF('New Items'!$A$1:$A$175,A668)&gt;0</f>
        <v>0</v>
      </c>
      <c r="U668" s="181" t="b">
        <f>COUNTIF(Discontinued!$A$1:$A$150,A668)&gt;0</f>
        <v>0</v>
      </c>
    </row>
    <row r="669" spans="1:21" s="8" customFormat="1" ht="11.25" x14ac:dyDescent="0.2">
      <c r="A669" s="152">
        <v>10100219</v>
      </c>
      <c r="B669" s="10" t="s">
        <v>2629</v>
      </c>
      <c r="C669" s="12" t="s">
        <v>2630</v>
      </c>
      <c r="D669" s="11" t="s">
        <v>2653</v>
      </c>
      <c r="E669" s="12" t="s">
        <v>2582</v>
      </c>
      <c r="F669" s="13">
        <v>1</v>
      </c>
      <c r="G669" s="22">
        <f>Overview!$B$44</f>
        <v>44</v>
      </c>
      <c r="H669" s="114">
        <f t="shared" si="187"/>
        <v>44</v>
      </c>
      <c r="I669" s="114">
        <f>Overview!$E$44</f>
        <v>0</v>
      </c>
      <c r="J669" s="115">
        <f t="shared" si="188"/>
        <v>0</v>
      </c>
      <c r="K669" s="116">
        <f>Overview!$H$44</f>
        <v>0</v>
      </c>
      <c r="L669" s="117" t="e">
        <f t="shared" si="189"/>
        <v>#DIV/0!</v>
      </c>
      <c r="M669" s="179"/>
      <c r="N669" s="179" t="s">
        <v>3129</v>
      </c>
      <c r="O669" s="141">
        <f t="shared" si="190"/>
        <v>0</v>
      </c>
      <c r="P669" s="181" t="b">
        <f>COUNTIF('Facility Data'!$A$1:$A$1500,"*"&amp;A669&amp;"*")&gt;0</f>
        <v>0</v>
      </c>
      <c r="Q669" s="181" t="b">
        <f>COUNTIF('Account Data'!$A$1:$A$1000,"*"&amp;A669&amp;"*")&gt;0</f>
        <v>0</v>
      </c>
      <c r="R669" s="182" t="b">
        <f t="shared" si="177"/>
        <v>0</v>
      </c>
      <c r="S669" s="182" t="b">
        <f t="shared" si="178"/>
        <v>0</v>
      </c>
      <c r="T669" s="181" t="b">
        <f>COUNTIF('New Items'!$A$1:$A$175,A669)&gt;0</f>
        <v>0</v>
      </c>
      <c r="U669" s="181" t="b">
        <f>COUNTIF(Discontinued!$A$1:$A$150,A669)&gt;0</f>
        <v>0</v>
      </c>
    </row>
    <row r="670" spans="1:21" s="8" customFormat="1" ht="11.25" x14ac:dyDescent="0.2">
      <c r="A670" s="152">
        <v>10100210</v>
      </c>
      <c r="B670" s="10" t="s">
        <v>2631</v>
      </c>
      <c r="C670" s="12" t="s">
        <v>2632</v>
      </c>
      <c r="D670" s="11" t="s">
        <v>2654</v>
      </c>
      <c r="E670" s="12" t="s">
        <v>2582</v>
      </c>
      <c r="F670" s="13">
        <v>1</v>
      </c>
      <c r="G670" s="22">
        <f>Overview!$B$44</f>
        <v>44</v>
      </c>
      <c r="H670" s="114">
        <f t="shared" si="187"/>
        <v>44</v>
      </c>
      <c r="I670" s="114">
        <f>Overview!$E$44</f>
        <v>0</v>
      </c>
      <c r="J670" s="115">
        <f t="shared" si="188"/>
        <v>0</v>
      </c>
      <c r="K670" s="116">
        <f>Overview!$H$44</f>
        <v>0</v>
      </c>
      <c r="L670" s="117" t="e">
        <f t="shared" si="189"/>
        <v>#DIV/0!</v>
      </c>
      <c r="M670" s="179"/>
      <c r="N670" s="179" t="s">
        <v>3129</v>
      </c>
      <c r="O670" s="141">
        <f t="shared" si="190"/>
        <v>0</v>
      </c>
      <c r="P670" s="181" t="b">
        <f>COUNTIF('Facility Data'!$A$1:$A$1500,"*"&amp;A670&amp;"*")&gt;0</f>
        <v>0</v>
      </c>
      <c r="Q670" s="181" t="b">
        <f>COUNTIF('Account Data'!$A$1:$A$1000,"*"&amp;A670&amp;"*")&gt;0</f>
        <v>0</v>
      </c>
      <c r="R670" s="182" t="b">
        <f t="shared" si="177"/>
        <v>0</v>
      </c>
      <c r="S670" s="182" t="b">
        <f t="shared" si="178"/>
        <v>0</v>
      </c>
      <c r="T670" s="181" t="b">
        <f>COUNTIF('New Items'!$A$1:$A$175,A670)&gt;0</f>
        <v>0</v>
      </c>
      <c r="U670" s="181" t="b">
        <f>COUNTIF(Discontinued!$A$1:$A$150,A670)&gt;0</f>
        <v>0</v>
      </c>
    </row>
    <row r="671" spans="1:21" s="8" customFormat="1" ht="11.25" x14ac:dyDescent="0.2">
      <c r="A671" s="152">
        <v>10100221</v>
      </c>
      <c r="B671" s="10" t="s">
        <v>2633</v>
      </c>
      <c r="C671" s="12" t="s">
        <v>2634</v>
      </c>
      <c r="D671" s="11" t="s">
        <v>2655</v>
      </c>
      <c r="E671" s="12" t="s">
        <v>2582</v>
      </c>
      <c r="F671" s="13">
        <v>1</v>
      </c>
      <c r="G671" s="22">
        <f>Overview!$B$44</f>
        <v>44</v>
      </c>
      <c r="H671" s="114">
        <f>G671-I671</f>
        <v>44</v>
      </c>
      <c r="I671" s="114">
        <f>Overview!$E$44</f>
        <v>0</v>
      </c>
      <c r="J671" s="115">
        <f>I671/F671</f>
        <v>0</v>
      </c>
      <c r="K671" s="116">
        <f>Overview!$H$44</f>
        <v>0</v>
      </c>
      <c r="L671" s="117" t="e">
        <f>(K671-J671)/K671</f>
        <v>#DIV/0!</v>
      </c>
      <c r="M671" s="179"/>
      <c r="N671" s="179" t="s">
        <v>3129</v>
      </c>
      <c r="O671" s="141">
        <f>I671</f>
        <v>0</v>
      </c>
      <c r="P671" s="181" t="b">
        <f>COUNTIF('Facility Data'!$A$1:$A$1500,"*"&amp;A671&amp;"*")&gt;0</f>
        <v>0</v>
      </c>
      <c r="Q671" s="181" t="b">
        <f>COUNTIF('Account Data'!$A$1:$A$1000,"*"&amp;A671&amp;"*")&gt;0</f>
        <v>0</v>
      </c>
      <c r="R671" s="182" t="b">
        <f t="shared" si="177"/>
        <v>0</v>
      </c>
      <c r="S671" s="182" t="b">
        <f t="shared" si="178"/>
        <v>0</v>
      </c>
      <c r="T671" s="181" t="b">
        <f>COUNTIF('New Items'!$A$1:$A$175,A671)&gt;0</f>
        <v>0</v>
      </c>
      <c r="U671" s="181" t="b">
        <f>COUNTIF(Discontinued!$A$1:$A$150,A671)&gt;0</f>
        <v>0</v>
      </c>
    </row>
    <row r="672" spans="1:21" s="8" customFormat="1" ht="11.25" x14ac:dyDescent="0.2">
      <c r="A672" s="152">
        <v>10100211</v>
      </c>
      <c r="B672" s="10" t="s">
        <v>2635</v>
      </c>
      <c r="C672" s="12" t="s">
        <v>2636</v>
      </c>
      <c r="D672" s="11" t="s">
        <v>2656</v>
      </c>
      <c r="E672" s="12" t="s">
        <v>2582</v>
      </c>
      <c r="F672" s="13">
        <v>1</v>
      </c>
      <c r="G672" s="22">
        <f>Overview!$B$44</f>
        <v>44</v>
      </c>
      <c r="H672" s="114">
        <f>G672-I672</f>
        <v>44</v>
      </c>
      <c r="I672" s="114">
        <f>Overview!$E$44</f>
        <v>0</v>
      </c>
      <c r="J672" s="115">
        <f>I672/F672</f>
        <v>0</v>
      </c>
      <c r="K672" s="116">
        <f>Overview!$H$44</f>
        <v>0</v>
      </c>
      <c r="L672" s="117" t="e">
        <f>(K672-J672)/K672</f>
        <v>#DIV/0!</v>
      </c>
      <c r="M672" s="179"/>
      <c r="N672" s="179" t="s">
        <v>3129</v>
      </c>
      <c r="O672" s="141">
        <f>I672</f>
        <v>0</v>
      </c>
      <c r="P672" s="181" t="b">
        <f>COUNTIF('Facility Data'!$A$1:$A$1500,"*"&amp;A672&amp;"*")&gt;0</f>
        <v>0</v>
      </c>
      <c r="Q672" s="181" t="b">
        <f>COUNTIF('Account Data'!$A$1:$A$1000,"*"&amp;A672&amp;"*")&gt;0</f>
        <v>0</v>
      </c>
      <c r="R672" s="182" t="b">
        <f t="shared" si="177"/>
        <v>0</v>
      </c>
      <c r="S672" s="182" t="b">
        <f t="shared" si="178"/>
        <v>0</v>
      </c>
      <c r="T672" s="181" t="b">
        <f>COUNTIF('New Items'!$A$1:$A$175,A672)&gt;0</f>
        <v>0</v>
      </c>
      <c r="U672" s="181" t="b">
        <f>COUNTIF(Discontinued!$A$1:$A$150,A672)&gt;0</f>
        <v>0</v>
      </c>
    </row>
    <row r="673" spans="1:21" s="8" customFormat="1" ht="11.25" x14ac:dyDescent="0.2">
      <c r="A673" s="152">
        <v>10100217</v>
      </c>
      <c r="B673" s="10" t="s">
        <v>2637</v>
      </c>
      <c r="C673" s="12" t="s">
        <v>2638</v>
      </c>
      <c r="D673" s="11" t="s">
        <v>2657</v>
      </c>
      <c r="E673" s="12" t="s">
        <v>2582</v>
      </c>
      <c r="F673" s="13">
        <v>1</v>
      </c>
      <c r="G673" s="22">
        <f>Overview!$B$44</f>
        <v>44</v>
      </c>
      <c r="H673" s="114">
        <f t="shared" ref="H673:H678" si="191">G673-I673</f>
        <v>44</v>
      </c>
      <c r="I673" s="114">
        <f>Overview!$E$44</f>
        <v>0</v>
      </c>
      <c r="J673" s="115">
        <f t="shared" ref="J673:J678" si="192">I673/F673</f>
        <v>0</v>
      </c>
      <c r="K673" s="116">
        <f>Overview!$H$44</f>
        <v>0</v>
      </c>
      <c r="L673" s="117" t="e">
        <f t="shared" ref="L673:L678" si="193">(K673-J673)/K673</f>
        <v>#DIV/0!</v>
      </c>
      <c r="M673" s="179"/>
      <c r="N673" s="179" t="s">
        <v>3129</v>
      </c>
      <c r="O673" s="141">
        <f t="shared" ref="O673:O678" si="194">I673</f>
        <v>0</v>
      </c>
      <c r="P673" s="181" t="b">
        <f>COUNTIF('Facility Data'!$A$1:$A$1500,"*"&amp;A673&amp;"*")&gt;0</f>
        <v>0</v>
      </c>
      <c r="Q673" s="181" t="b">
        <f>COUNTIF('Account Data'!$A$1:$A$1000,"*"&amp;A673&amp;"*")&gt;0</f>
        <v>0</v>
      </c>
      <c r="R673" s="182" t="b">
        <f t="shared" si="177"/>
        <v>0</v>
      </c>
      <c r="S673" s="182" t="b">
        <f t="shared" si="178"/>
        <v>0</v>
      </c>
      <c r="T673" s="181" t="b">
        <f>COUNTIF('New Items'!$A$1:$A$175,A673)&gt;0</f>
        <v>0</v>
      </c>
      <c r="U673" s="181" t="b">
        <f>COUNTIF(Discontinued!$A$1:$A$150,A673)&gt;0</f>
        <v>0</v>
      </c>
    </row>
    <row r="674" spans="1:21" s="8" customFormat="1" ht="11.25" x14ac:dyDescent="0.2">
      <c r="A674" s="152">
        <v>10100195</v>
      </c>
      <c r="B674" s="10" t="s">
        <v>2639</v>
      </c>
      <c r="C674" s="12" t="s">
        <v>2640</v>
      </c>
      <c r="D674" s="11" t="s">
        <v>2658</v>
      </c>
      <c r="E674" s="12" t="s">
        <v>2582</v>
      </c>
      <c r="F674" s="13">
        <v>1</v>
      </c>
      <c r="G674" s="22">
        <f>Overview!$B$44</f>
        <v>44</v>
      </c>
      <c r="H674" s="114">
        <f t="shared" si="191"/>
        <v>44</v>
      </c>
      <c r="I674" s="114">
        <f>Overview!$E$44</f>
        <v>0</v>
      </c>
      <c r="J674" s="115">
        <f t="shared" si="192"/>
        <v>0</v>
      </c>
      <c r="K674" s="116">
        <f>Overview!$H$44</f>
        <v>0</v>
      </c>
      <c r="L674" s="117" t="e">
        <f t="shared" si="193"/>
        <v>#DIV/0!</v>
      </c>
      <c r="M674" s="179"/>
      <c r="N674" s="179" t="s">
        <v>3129</v>
      </c>
      <c r="O674" s="141">
        <f t="shared" si="194"/>
        <v>0</v>
      </c>
      <c r="P674" s="181" t="b">
        <f>COUNTIF('Facility Data'!$A$1:$A$1500,"*"&amp;A674&amp;"*")&gt;0</f>
        <v>0</v>
      </c>
      <c r="Q674" s="181" t="b">
        <f>COUNTIF('Account Data'!$A$1:$A$1000,"*"&amp;A674&amp;"*")&gt;0</f>
        <v>0</v>
      </c>
      <c r="R674" s="182" t="b">
        <f t="shared" si="177"/>
        <v>0</v>
      </c>
      <c r="S674" s="182" t="b">
        <f t="shared" si="178"/>
        <v>0</v>
      </c>
      <c r="T674" s="181" t="b">
        <f>COUNTIF('New Items'!$A$1:$A$175,A674)&gt;0</f>
        <v>0</v>
      </c>
      <c r="U674" s="181" t="b">
        <f>COUNTIF(Discontinued!$A$1:$A$150,A674)&gt;0</f>
        <v>0</v>
      </c>
    </row>
    <row r="675" spans="1:21" s="8" customFormat="1" ht="11.25" x14ac:dyDescent="0.2">
      <c r="A675" s="152">
        <v>10100209</v>
      </c>
      <c r="B675" s="10" t="s">
        <v>2641</v>
      </c>
      <c r="C675" s="12" t="s">
        <v>2642</v>
      </c>
      <c r="D675" s="11" t="s">
        <v>2659</v>
      </c>
      <c r="E675" s="12" t="s">
        <v>2582</v>
      </c>
      <c r="F675" s="13">
        <v>1</v>
      </c>
      <c r="G675" s="22">
        <f>Overview!$B$44</f>
        <v>44</v>
      </c>
      <c r="H675" s="114">
        <f t="shared" si="191"/>
        <v>44</v>
      </c>
      <c r="I675" s="114">
        <f>Overview!$E$44</f>
        <v>0</v>
      </c>
      <c r="J675" s="115">
        <f t="shared" si="192"/>
        <v>0</v>
      </c>
      <c r="K675" s="116">
        <f>Overview!$H$44</f>
        <v>0</v>
      </c>
      <c r="L675" s="117" t="e">
        <f t="shared" si="193"/>
        <v>#DIV/0!</v>
      </c>
      <c r="M675" s="179"/>
      <c r="N675" s="179" t="s">
        <v>3129</v>
      </c>
      <c r="O675" s="141">
        <f t="shared" si="194"/>
        <v>0</v>
      </c>
      <c r="P675" s="181" t="b">
        <f>COUNTIF('Facility Data'!$A$1:$A$1500,"*"&amp;A675&amp;"*")&gt;0</f>
        <v>0</v>
      </c>
      <c r="Q675" s="181" t="b">
        <f>COUNTIF('Account Data'!$A$1:$A$1000,"*"&amp;A675&amp;"*")&gt;0</f>
        <v>0</v>
      </c>
      <c r="R675" s="182" t="b">
        <f t="shared" si="177"/>
        <v>0</v>
      </c>
      <c r="S675" s="182" t="b">
        <f t="shared" si="178"/>
        <v>0</v>
      </c>
      <c r="T675" s="181" t="b">
        <f>COUNTIF('New Items'!$A$1:$A$175,A675)&gt;0</f>
        <v>0</v>
      </c>
      <c r="U675" s="181" t="b">
        <f>COUNTIF(Discontinued!$A$1:$A$150,A675)&gt;0</f>
        <v>0</v>
      </c>
    </row>
    <row r="676" spans="1:21" s="8" customFormat="1" ht="11.25" x14ac:dyDescent="0.2">
      <c r="A676" s="152">
        <v>20000472</v>
      </c>
      <c r="B676" s="10" t="s">
        <v>2643</v>
      </c>
      <c r="C676" s="12" t="s">
        <v>2644</v>
      </c>
      <c r="D676" s="11" t="s">
        <v>2660</v>
      </c>
      <c r="E676" s="12" t="s">
        <v>2582</v>
      </c>
      <c r="F676" s="13">
        <v>1</v>
      </c>
      <c r="G676" s="22">
        <f>Overview!$B$44</f>
        <v>44</v>
      </c>
      <c r="H676" s="114">
        <f t="shared" si="191"/>
        <v>44</v>
      </c>
      <c r="I676" s="114">
        <f>Overview!$E$44</f>
        <v>0</v>
      </c>
      <c r="J676" s="115">
        <f t="shared" si="192"/>
        <v>0</v>
      </c>
      <c r="K676" s="116">
        <f>Overview!$H$44</f>
        <v>0</v>
      </c>
      <c r="L676" s="117" t="e">
        <f t="shared" si="193"/>
        <v>#DIV/0!</v>
      </c>
      <c r="M676" s="179"/>
      <c r="N676" s="179" t="s">
        <v>3129</v>
      </c>
      <c r="O676" s="141">
        <f t="shared" si="194"/>
        <v>0</v>
      </c>
      <c r="P676" s="181" t="b">
        <f>COUNTIF('Facility Data'!$A$1:$A$1500,"*"&amp;A676&amp;"*")&gt;0</f>
        <v>0</v>
      </c>
      <c r="Q676" s="181" t="b">
        <f>COUNTIF('Account Data'!$A$1:$A$1000,"*"&amp;A676&amp;"*")&gt;0</f>
        <v>0</v>
      </c>
      <c r="R676" s="182" t="b">
        <f t="shared" si="177"/>
        <v>0</v>
      </c>
      <c r="S676" s="182" t="b">
        <f t="shared" si="178"/>
        <v>0</v>
      </c>
      <c r="T676" s="181" t="b">
        <f>COUNTIF('New Items'!$A$1:$A$175,A676)&gt;0</f>
        <v>0</v>
      </c>
      <c r="U676" s="181" t="b">
        <f>COUNTIF(Discontinued!$A$1:$A$150,A676)&gt;0</f>
        <v>0</v>
      </c>
    </row>
    <row r="677" spans="1:21" s="8" customFormat="1" ht="11.25" x14ac:dyDescent="0.2">
      <c r="A677" s="152">
        <v>10109324</v>
      </c>
      <c r="B677" s="10" t="s">
        <v>2645</v>
      </c>
      <c r="C677" s="12" t="s">
        <v>2646</v>
      </c>
      <c r="D677" s="11" t="s">
        <v>2661</v>
      </c>
      <c r="E677" s="12" t="s">
        <v>2582</v>
      </c>
      <c r="F677" s="13">
        <v>1</v>
      </c>
      <c r="G677" s="22">
        <f>Overview!$B$44</f>
        <v>44</v>
      </c>
      <c r="H677" s="114">
        <f t="shared" si="191"/>
        <v>44</v>
      </c>
      <c r="I677" s="114">
        <f>Overview!$E$44</f>
        <v>0</v>
      </c>
      <c r="J677" s="115">
        <f t="shared" si="192"/>
        <v>0</v>
      </c>
      <c r="K677" s="116">
        <f>Overview!$H$44</f>
        <v>0</v>
      </c>
      <c r="L677" s="117" t="e">
        <f t="shared" si="193"/>
        <v>#DIV/0!</v>
      </c>
      <c r="M677" s="179"/>
      <c r="N677" s="179" t="s">
        <v>3129</v>
      </c>
      <c r="O677" s="141">
        <f t="shared" si="194"/>
        <v>0</v>
      </c>
      <c r="P677" s="181" t="b">
        <f>COUNTIF('Facility Data'!$A$1:$A$1500,"*"&amp;A677&amp;"*")&gt;0</f>
        <v>0</v>
      </c>
      <c r="Q677" s="181" t="b">
        <f>COUNTIF('Account Data'!$A$1:$A$1000,"*"&amp;A677&amp;"*")&gt;0</f>
        <v>0</v>
      </c>
      <c r="R677" s="182" t="b">
        <f t="shared" si="177"/>
        <v>0</v>
      </c>
      <c r="S677" s="182" t="b">
        <f t="shared" si="178"/>
        <v>0</v>
      </c>
      <c r="T677" s="181" t="b">
        <f>COUNTIF('New Items'!$A$1:$A$175,A677)&gt;0</f>
        <v>0</v>
      </c>
      <c r="U677" s="181" t="b">
        <f>COUNTIF(Discontinued!$A$1:$A$150,A677)&gt;0</f>
        <v>0</v>
      </c>
    </row>
    <row r="678" spans="1:21" s="8" customFormat="1" ht="12" thickBot="1" x14ac:dyDescent="0.25">
      <c r="A678" s="152">
        <v>10109325</v>
      </c>
      <c r="B678" s="10" t="s">
        <v>2647</v>
      </c>
      <c r="C678" s="12" t="s">
        <v>2648</v>
      </c>
      <c r="D678" s="11" t="s">
        <v>2662</v>
      </c>
      <c r="E678" s="12" t="s">
        <v>2582</v>
      </c>
      <c r="F678" s="13">
        <v>1</v>
      </c>
      <c r="G678" s="22">
        <f>Overview!$B$44</f>
        <v>44</v>
      </c>
      <c r="H678" s="114">
        <f t="shared" si="191"/>
        <v>44</v>
      </c>
      <c r="I678" s="114">
        <f>Overview!$E$44</f>
        <v>0</v>
      </c>
      <c r="J678" s="115">
        <f t="shared" si="192"/>
        <v>0</v>
      </c>
      <c r="K678" s="116">
        <f>Overview!$H$44</f>
        <v>0</v>
      </c>
      <c r="L678" s="117" t="e">
        <f t="shared" si="193"/>
        <v>#DIV/0!</v>
      </c>
      <c r="M678" s="179"/>
      <c r="N678" s="179" t="s">
        <v>3129</v>
      </c>
      <c r="O678" s="141">
        <f t="shared" si="194"/>
        <v>0</v>
      </c>
      <c r="P678" s="181" t="b">
        <f>COUNTIF('Facility Data'!$A$1:$A$1500,"*"&amp;A678&amp;"*")&gt;0</f>
        <v>0</v>
      </c>
      <c r="Q678" s="181" t="b">
        <f>COUNTIF('Account Data'!$A$1:$A$1000,"*"&amp;A678&amp;"*")&gt;0</f>
        <v>0</v>
      </c>
      <c r="R678" s="182" t="b">
        <f t="shared" si="177"/>
        <v>0</v>
      </c>
      <c r="S678" s="182" t="b">
        <f t="shared" si="178"/>
        <v>0</v>
      </c>
      <c r="T678" s="181" t="b">
        <f>COUNTIF('New Items'!$A$1:$A$175,A678)&gt;0</f>
        <v>0</v>
      </c>
      <c r="U678" s="181" t="b">
        <f>COUNTIF(Discontinued!$A$1:$A$150,A678)&gt;0</f>
        <v>0</v>
      </c>
    </row>
    <row r="679" spans="1:21" s="8" customFormat="1" ht="13.5" thickBot="1" x14ac:dyDescent="0.25">
      <c r="A679" s="300" t="s">
        <v>2663</v>
      </c>
      <c r="B679" s="301"/>
      <c r="C679" s="301"/>
      <c r="D679" s="301"/>
      <c r="E679" s="301"/>
      <c r="F679" s="301"/>
      <c r="G679" s="301"/>
      <c r="H679" s="301"/>
      <c r="I679" s="301"/>
      <c r="J679" s="301"/>
      <c r="K679" s="301"/>
      <c r="L679" s="302"/>
      <c r="M679" s="179" t="s">
        <v>4361</v>
      </c>
      <c r="N679" s="179" t="s">
        <v>3130</v>
      </c>
      <c r="O679" s="141">
        <f>AVERAGE(O680:O681)</f>
        <v>0</v>
      </c>
      <c r="P679" s="181" t="b">
        <f>COUNTIF(P680:P681,TRUE)&gt;0</f>
        <v>0</v>
      </c>
      <c r="Q679" s="181" t="b">
        <f>COUNTIF(Q680:Q681,TRUE)&gt;0</f>
        <v>0</v>
      </c>
      <c r="R679" s="181" t="b">
        <f>COUNTIF(R680:R681,TRUE)&gt;0</f>
        <v>0</v>
      </c>
      <c r="S679" s="181" t="b">
        <f>COUNTIF(S680:S681,TRUE)&gt;0</f>
        <v>0</v>
      </c>
      <c r="T679" s="181" t="b">
        <f>COUNTIF(T680:T681,TRUE)&gt;0</f>
        <v>0</v>
      </c>
      <c r="U679" s="181"/>
    </row>
    <row r="680" spans="1:21" s="8" customFormat="1" ht="11.25" x14ac:dyDescent="0.2">
      <c r="A680" s="152">
        <v>20027930</v>
      </c>
      <c r="B680" s="10" t="s">
        <v>2664</v>
      </c>
      <c r="C680" s="12" t="s">
        <v>3356</v>
      </c>
      <c r="D680" s="11" t="s">
        <v>2667</v>
      </c>
      <c r="E680" s="12" t="s">
        <v>2669</v>
      </c>
      <c r="F680" s="13">
        <v>1</v>
      </c>
      <c r="G680" s="22">
        <f>Overview!$B$45</f>
        <v>44</v>
      </c>
      <c r="H680" s="114">
        <f>G680-I680</f>
        <v>44</v>
      </c>
      <c r="I680" s="114">
        <f>Overview!$E$45</f>
        <v>0</v>
      </c>
      <c r="J680" s="115">
        <f>I680/F680</f>
        <v>0</v>
      </c>
      <c r="K680" s="116">
        <f>Overview!$H$45</f>
        <v>0</v>
      </c>
      <c r="L680" s="117" t="e">
        <f>(K680-J680)/K680</f>
        <v>#DIV/0!</v>
      </c>
      <c r="M680" s="179"/>
      <c r="N680" s="179" t="s">
        <v>3130</v>
      </c>
      <c r="O680" s="141">
        <f>I680</f>
        <v>0</v>
      </c>
      <c r="P680" s="181" t="b">
        <f>COUNTIF('Facility Data'!$A$1:$A$1500,"*"&amp;A680&amp;"*")&gt;0</f>
        <v>0</v>
      </c>
      <c r="Q680" s="181" t="b">
        <f>COUNTIF('Account Data'!$A$1:$A$1000,"*"&amp;A680&amp;"*")&gt;0</f>
        <v>0</v>
      </c>
      <c r="R680" s="182" t="b">
        <f>IF(OR(P680=TRUE,T680=TRUE),TRUE,FALSE)</f>
        <v>0</v>
      </c>
      <c r="S680" s="182" t="b">
        <f>IF(OR(Q680=TRUE,T680=TRUE),TRUE,FALSE)</f>
        <v>0</v>
      </c>
      <c r="T680" s="181" t="b">
        <f>COUNTIF('New Items'!$A$1:$A$175,A680)&gt;0</f>
        <v>0</v>
      </c>
      <c r="U680" s="181" t="b">
        <f>COUNTIF(Discontinued!$A$1:$A$150,A680)&gt;0</f>
        <v>0</v>
      </c>
    </row>
    <row r="681" spans="1:21" s="8" customFormat="1" ht="12" thickBot="1" x14ac:dyDescent="0.25">
      <c r="A681" s="152">
        <v>20000538</v>
      </c>
      <c r="B681" s="10" t="s">
        <v>2665</v>
      </c>
      <c r="C681" s="12" t="s">
        <v>2666</v>
      </c>
      <c r="D681" s="11" t="s">
        <v>2668</v>
      </c>
      <c r="E681" s="12" t="s">
        <v>2669</v>
      </c>
      <c r="F681" s="13">
        <v>1</v>
      </c>
      <c r="G681" s="22">
        <f>Overview!$B$45</f>
        <v>44</v>
      </c>
      <c r="H681" s="114">
        <f>G681-I681</f>
        <v>44</v>
      </c>
      <c r="I681" s="114">
        <f>Overview!$E$45</f>
        <v>0</v>
      </c>
      <c r="J681" s="115">
        <f>I681/F681</f>
        <v>0</v>
      </c>
      <c r="K681" s="116">
        <f>Overview!$H$45</f>
        <v>0</v>
      </c>
      <c r="L681" s="117" t="e">
        <f>(K681-J681)/K681</f>
        <v>#DIV/0!</v>
      </c>
      <c r="M681" s="179"/>
      <c r="N681" s="179" t="s">
        <v>3130</v>
      </c>
      <c r="O681" s="141">
        <f>I681</f>
        <v>0</v>
      </c>
      <c r="P681" s="181" t="b">
        <f>COUNTIF('Facility Data'!$A$1:$A$1500,"*"&amp;A681&amp;"*")&gt;0</f>
        <v>0</v>
      </c>
      <c r="Q681" s="181" t="b">
        <f>COUNTIF('Account Data'!$A$1:$A$1000,"*"&amp;A681&amp;"*")&gt;0</f>
        <v>0</v>
      </c>
      <c r="R681" s="182" t="b">
        <f>IF(OR(P681=TRUE,T681=TRUE),TRUE,FALSE)</f>
        <v>0</v>
      </c>
      <c r="S681" s="182" t="b">
        <f>IF(OR(Q681=TRUE,T681=TRUE),TRUE,FALSE)</f>
        <v>0</v>
      </c>
      <c r="T681" s="181" t="b">
        <f>COUNTIF('New Items'!$A$1:$A$175,A681)&gt;0</f>
        <v>0</v>
      </c>
      <c r="U681" s="181" t="b">
        <f>COUNTIF(Discontinued!$A$1:$A$150,A681)&gt;0</f>
        <v>0</v>
      </c>
    </row>
    <row r="682" spans="1:21" s="8" customFormat="1" ht="13.5" thickBot="1" x14ac:dyDescent="0.25">
      <c r="A682" s="300" t="s">
        <v>3283</v>
      </c>
      <c r="B682" s="301"/>
      <c r="C682" s="301"/>
      <c r="D682" s="301"/>
      <c r="E682" s="301"/>
      <c r="F682" s="301"/>
      <c r="G682" s="301"/>
      <c r="H682" s="301"/>
      <c r="I682" s="301"/>
      <c r="J682" s="301"/>
      <c r="K682" s="301"/>
      <c r="L682" s="302"/>
      <c r="M682" s="179" t="s">
        <v>4361</v>
      </c>
      <c r="N682" s="179" t="s">
        <v>3167</v>
      </c>
      <c r="O682" s="141">
        <f>AVERAGE(O683:O692)</f>
        <v>0</v>
      </c>
      <c r="P682" s="181" t="b">
        <f>COUNTIF(P683:P692,TRUE)&gt;0</f>
        <v>1</v>
      </c>
      <c r="Q682" s="181" t="b">
        <f>COUNTIF(Q683:Q692,TRUE)&gt;0</f>
        <v>1</v>
      </c>
      <c r="R682" s="181" t="b">
        <f>COUNTIF(R683:R692,TRUE)&gt;0</f>
        <v>1</v>
      </c>
      <c r="S682" s="181" t="b">
        <f>COUNTIF(S683:S692,TRUE)&gt;0</f>
        <v>1</v>
      </c>
      <c r="T682" s="181" t="b">
        <f>COUNTIF(T683:T692,TRUE)&gt;0</f>
        <v>0</v>
      </c>
      <c r="U682" s="181"/>
    </row>
    <row r="683" spans="1:21" s="8" customFormat="1" ht="11.25" x14ac:dyDescent="0.2">
      <c r="A683" s="152">
        <v>10099690</v>
      </c>
      <c r="B683" s="10" t="s">
        <v>4040</v>
      </c>
      <c r="C683" s="12" t="s">
        <v>831</v>
      </c>
      <c r="D683" s="11" t="s">
        <v>668</v>
      </c>
      <c r="E683" s="12" t="s">
        <v>769</v>
      </c>
      <c r="F683" s="13">
        <v>3</v>
      </c>
      <c r="G683" s="22">
        <f>Overview!$B$48</f>
        <v>14</v>
      </c>
      <c r="H683" s="114">
        <f t="shared" ref="H683:H692" si="195">G683-I683</f>
        <v>14</v>
      </c>
      <c r="I683" s="114">
        <f>Overview!$E$48</f>
        <v>0</v>
      </c>
      <c r="J683" s="115">
        <f t="shared" ref="J683:J692" si="196">I683/F683</f>
        <v>0</v>
      </c>
      <c r="K683" s="116">
        <f>Overview!$H$48</f>
        <v>0</v>
      </c>
      <c r="L683" s="51" t="e">
        <f>(K683-J683)/K683</f>
        <v>#DIV/0!</v>
      </c>
      <c r="M683" s="179"/>
      <c r="N683" s="179" t="s">
        <v>3167</v>
      </c>
      <c r="O683" s="141">
        <f>I683</f>
        <v>0</v>
      </c>
      <c r="P683" s="181" t="b">
        <f>COUNTIF('Facility Data'!$A$1:$A$1500,"*"&amp;A683&amp;"*")&gt;0</f>
        <v>1</v>
      </c>
      <c r="Q683" s="181" t="b">
        <f>COUNTIF('Account Data'!$A$1:$A$1000,"*"&amp;A683&amp;"*")&gt;0</f>
        <v>1</v>
      </c>
      <c r="R683" s="182" t="b">
        <f t="shared" ref="R683:R692" si="197">IF(OR(P683=TRUE,T683=TRUE),TRUE,FALSE)</f>
        <v>1</v>
      </c>
      <c r="S683" s="182" t="b">
        <f t="shared" ref="S683:S692" si="198">IF(OR(Q683=TRUE,T683=TRUE),TRUE,FALSE)</f>
        <v>1</v>
      </c>
      <c r="T683" s="181" t="b">
        <f>COUNTIF('New Items'!$A$1:$A$175,A683)&gt;0</f>
        <v>0</v>
      </c>
      <c r="U683" s="181" t="b">
        <f>COUNTIF(Discontinued!$A$1:$A$150,A683)&gt;0</f>
        <v>0</v>
      </c>
    </row>
    <row r="684" spans="1:21" s="8" customFormat="1" ht="11.25" x14ac:dyDescent="0.2">
      <c r="A684" s="152">
        <v>10099689</v>
      </c>
      <c r="B684" s="10" t="s">
        <v>3284</v>
      </c>
      <c r="C684" s="12" t="s">
        <v>825</v>
      </c>
      <c r="D684" s="11" t="s">
        <v>669</v>
      </c>
      <c r="E684" s="12" t="s">
        <v>769</v>
      </c>
      <c r="F684" s="13">
        <v>3</v>
      </c>
      <c r="G684" s="22">
        <f>Overview!$B$48</f>
        <v>14</v>
      </c>
      <c r="H684" s="114">
        <f t="shared" si="195"/>
        <v>14</v>
      </c>
      <c r="I684" s="114">
        <f>Overview!$E$48</f>
        <v>0</v>
      </c>
      <c r="J684" s="115">
        <f t="shared" si="196"/>
        <v>0</v>
      </c>
      <c r="K684" s="116">
        <f>Overview!$H$48</f>
        <v>0</v>
      </c>
      <c r="L684" s="51" t="e">
        <f t="shared" ref="L684:L692" si="199">(K684-J684)/K684</f>
        <v>#DIV/0!</v>
      </c>
      <c r="M684" s="179"/>
      <c r="N684" s="179" t="s">
        <v>3167</v>
      </c>
      <c r="O684" s="141">
        <f t="shared" ref="O684:O692" si="200">I684</f>
        <v>0</v>
      </c>
      <c r="P684" s="181" t="b">
        <f>COUNTIF('Facility Data'!$A$1:$A$1500,"*"&amp;A684&amp;"*")&gt;0</f>
        <v>1</v>
      </c>
      <c r="Q684" s="181" t="b">
        <f>COUNTIF('Account Data'!$A$1:$A$1000,"*"&amp;A684&amp;"*")&gt;0</f>
        <v>1</v>
      </c>
      <c r="R684" s="182" t="b">
        <f t="shared" si="197"/>
        <v>1</v>
      </c>
      <c r="S684" s="182" t="b">
        <f t="shared" si="198"/>
        <v>1</v>
      </c>
      <c r="T684" s="181" t="b">
        <f>COUNTIF('New Items'!$A$1:$A$175,A684)&gt;0</f>
        <v>0</v>
      </c>
      <c r="U684" s="181" t="b">
        <f>COUNTIF(Discontinued!$A$1:$A$150,A684)&gt;0</f>
        <v>0</v>
      </c>
    </row>
    <row r="685" spans="1:21" s="8" customFormat="1" ht="11.25" x14ac:dyDescent="0.2">
      <c r="A685" s="152">
        <v>10099691</v>
      </c>
      <c r="B685" s="10" t="s">
        <v>4041</v>
      </c>
      <c r="C685" s="12" t="s">
        <v>830</v>
      </c>
      <c r="D685" s="11" t="s">
        <v>673</v>
      </c>
      <c r="E685" s="12" t="s">
        <v>769</v>
      </c>
      <c r="F685" s="13">
        <v>3</v>
      </c>
      <c r="G685" s="22">
        <f>Overview!$B$48</f>
        <v>14</v>
      </c>
      <c r="H685" s="114">
        <f t="shared" si="195"/>
        <v>14</v>
      </c>
      <c r="I685" s="114">
        <f>Overview!$E$48</f>
        <v>0</v>
      </c>
      <c r="J685" s="115">
        <f t="shared" si="196"/>
        <v>0</v>
      </c>
      <c r="K685" s="116">
        <f>Overview!$H$48</f>
        <v>0</v>
      </c>
      <c r="L685" s="51" t="e">
        <f t="shared" si="199"/>
        <v>#DIV/0!</v>
      </c>
      <c r="M685" s="179"/>
      <c r="N685" s="179" t="s">
        <v>3167</v>
      </c>
      <c r="O685" s="141">
        <f t="shared" si="200"/>
        <v>0</v>
      </c>
      <c r="P685" s="181" t="b">
        <f>COUNTIF('Facility Data'!$A$1:$A$1500,"*"&amp;A685&amp;"*")&gt;0</f>
        <v>0</v>
      </c>
      <c r="Q685" s="181" t="b">
        <f>COUNTIF('Account Data'!$A$1:$A$1000,"*"&amp;A685&amp;"*")&gt;0</f>
        <v>1</v>
      </c>
      <c r="R685" s="182" t="b">
        <f t="shared" si="197"/>
        <v>0</v>
      </c>
      <c r="S685" s="182" t="b">
        <f t="shared" si="198"/>
        <v>1</v>
      </c>
      <c r="T685" s="181" t="b">
        <f>COUNTIF('New Items'!$A$1:$A$175,A685)&gt;0</f>
        <v>0</v>
      </c>
      <c r="U685" s="181" t="b">
        <f>COUNTIF(Discontinued!$A$1:$A$150,A685)&gt;0</f>
        <v>0</v>
      </c>
    </row>
    <row r="686" spans="1:21" s="8" customFormat="1" ht="11.25" x14ac:dyDescent="0.2">
      <c r="A686" s="152">
        <v>10099692</v>
      </c>
      <c r="B686" s="10" t="s">
        <v>4042</v>
      </c>
      <c r="C686" s="12" t="s">
        <v>832</v>
      </c>
      <c r="D686" s="11" t="s">
        <v>670</v>
      </c>
      <c r="E686" s="12" t="s">
        <v>769</v>
      </c>
      <c r="F686" s="13">
        <v>3</v>
      </c>
      <c r="G686" s="22">
        <f>Overview!$B$48</f>
        <v>14</v>
      </c>
      <c r="H686" s="114">
        <f t="shared" si="195"/>
        <v>14</v>
      </c>
      <c r="I686" s="114">
        <f>Overview!$E$48</f>
        <v>0</v>
      </c>
      <c r="J686" s="115">
        <f t="shared" si="196"/>
        <v>0</v>
      </c>
      <c r="K686" s="116">
        <f>Overview!$H$48</f>
        <v>0</v>
      </c>
      <c r="L686" s="51" t="e">
        <f t="shared" si="199"/>
        <v>#DIV/0!</v>
      </c>
      <c r="M686" s="179"/>
      <c r="N686" s="179" t="s">
        <v>3167</v>
      </c>
      <c r="O686" s="141">
        <f t="shared" si="200"/>
        <v>0</v>
      </c>
      <c r="P686" s="181" t="b">
        <f>COUNTIF('Facility Data'!$A$1:$A$1500,"*"&amp;A686&amp;"*")&gt;0</f>
        <v>1</v>
      </c>
      <c r="Q686" s="181" t="b">
        <f>COUNTIF('Account Data'!$A$1:$A$1000,"*"&amp;A686&amp;"*")&gt;0</f>
        <v>1</v>
      </c>
      <c r="R686" s="182" t="b">
        <f t="shared" si="197"/>
        <v>1</v>
      </c>
      <c r="S686" s="182" t="b">
        <f t="shared" si="198"/>
        <v>1</v>
      </c>
      <c r="T686" s="181" t="b">
        <f>COUNTIF('New Items'!$A$1:$A$175,A686)&gt;0</f>
        <v>0</v>
      </c>
      <c r="U686" s="181" t="b">
        <f>COUNTIF(Discontinued!$A$1:$A$150,A686)&gt;0</f>
        <v>0</v>
      </c>
    </row>
    <row r="687" spans="1:21" s="8" customFormat="1" ht="11.25" x14ac:dyDescent="0.2">
      <c r="A687" s="152">
        <v>10099694</v>
      </c>
      <c r="B687" s="10" t="s">
        <v>3285</v>
      </c>
      <c r="C687" s="12" t="s">
        <v>827</v>
      </c>
      <c r="D687" s="11" t="s">
        <v>671</v>
      </c>
      <c r="E687" s="12" t="s">
        <v>769</v>
      </c>
      <c r="F687" s="13">
        <v>3</v>
      </c>
      <c r="G687" s="22">
        <f>Overview!$B$48</f>
        <v>14</v>
      </c>
      <c r="H687" s="114">
        <f t="shared" si="195"/>
        <v>14</v>
      </c>
      <c r="I687" s="114">
        <f>Overview!$E$48</f>
        <v>0</v>
      </c>
      <c r="J687" s="115">
        <f t="shared" si="196"/>
        <v>0</v>
      </c>
      <c r="K687" s="116">
        <f>Overview!$H$48</f>
        <v>0</v>
      </c>
      <c r="L687" s="51" t="e">
        <f t="shared" si="199"/>
        <v>#DIV/0!</v>
      </c>
      <c r="M687" s="179"/>
      <c r="N687" s="179" t="s">
        <v>3167</v>
      </c>
      <c r="O687" s="141">
        <f t="shared" si="200"/>
        <v>0</v>
      </c>
      <c r="P687" s="181" t="b">
        <f>COUNTIF('Facility Data'!$A$1:$A$1500,"*"&amp;A687&amp;"*")&gt;0</f>
        <v>1</v>
      </c>
      <c r="Q687" s="181" t="b">
        <f>COUNTIF('Account Data'!$A$1:$A$1000,"*"&amp;A687&amp;"*")&gt;0</f>
        <v>1</v>
      </c>
      <c r="R687" s="182" t="b">
        <f t="shared" si="197"/>
        <v>1</v>
      </c>
      <c r="S687" s="182" t="b">
        <f t="shared" si="198"/>
        <v>1</v>
      </c>
      <c r="T687" s="181" t="b">
        <f>COUNTIF('New Items'!$A$1:$A$175,A687)&gt;0</f>
        <v>0</v>
      </c>
      <c r="U687" s="181" t="b">
        <f>COUNTIF(Discontinued!$A$1:$A$150,A687)&gt;0</f>
        <v>0</v>
      </c>
    </row>
    <row r="688" spans="1:21" s="8" customFormat="1" ht="11.25" x14ac:dyDescent="0.2">
      <c r="A688" s="152">
        <v>10107362</v>
      </c>
      <c r="B688" s="10" t="s">
        <v>2201</v>
      </c>
      <c r="C688" s="12" t="s">
        <v>821</v>
      </c>
      <c r="D688" s="11" t="s">
        <v>820</v>
      </c>
      <c r="E688" s="12" t="s">
        <v>769</v>
      </c>
      <c r="F688" s="13">
        <v>3</v>
      </c>
      <c r="G688" s="22">
        <f>Overview!$B$48</f>
        <v>14</v>
      </c>
      <c r="H688" s="114">
        <f t="shared" si="195"/>
        <v>14</v>
      </c>
      <c r="I688" s="114">
        <f>Overview!$E$48</f>
        <v>0</v>
      </c>
      <c r="J688" s="115">
        <f t="shared" si="196"/>
        <v>0</v>
      </c>
      <c r="K688" s="116">
        <f>Overview!$H$48</f>
        <v>0</v>
      </c>
      <c r="L688" s="51" t="e">
        <f t="shared" si="199"/>
        <v>#DIV/0!</v>
      </c>
      <c r="M688" s="179"/>
      <c r="N688" s="179" t="s">
        <v>3167</v>
      </c>
      <c r="O688" s="141">
        <f t="shared" si="200"/>
        <v>0</v>
      </c>
      <c r="P688" s="181" t="b">
        <f>COUNTIF('Facility Data'!$A$1:$A$1500,"*"&amp;A688&amp;"*")&gt;0</f>
        <v>0</v>
      </c>
      <c r="Q688" s="181" t="b">
        <f>COUNTIF('Account Data'!$A$1:$A$1000,"*"&amp;A688&amp;"*")&gt;0</f>
        <v>1</v>
      </c>
      <c r="R688" s="182" t="b">
        <f t="shared" si="197"/>
        <v>0</v>
      </c>
      <c r="S688" s="182" t="b">
        <f t="shared" si="198"/>
        <v>1</v>
      </c>
      <c r="T688" s="181" t="b">
        <f>COUNTIF('New Items'!$A$1:$A$175,A688)&gt;0</f>
        <v>0</v>
      </c>
      <c r="U688" s="181" t="b">
        <f>COUNTIF(Discontinued!$A$1:$A$150,A688)&gt;0</f>
        <v>0</v>
      </c>
    </row>
    <row r="689" spans="1:21" s="8" customFormat="1" ht="11.25" x14ac:dyDescent="0.2">
      <c r="A689" s="152">
        <v>10107361</v>
      </c>
      <c r="B689" s="10" t="s">
        <v>2229</v>
      </c>
      <c r="C689" s="12" t="s">
        <v>823</v>
      </c>
      <c r="D689" s="11" t="s">
        <v>822</v>
      </c>
      <c r="E689" s="12" t="s">
        <v>769</v>
      </c>
      <c r="F689" s="13">
        <v>3</v>
      </c>
      <c r="G689" s="22">
        <f>Overview!$B$48</f>
        <v>14</v>
      </c>
      <c r="H689" s="114">
        <f t="shared" si="195"/>
        <v>14</v>
      </c>
      <c r="I689" s="114">
        <f>Overview!$E$48</f>
        <v>0</v>
      </c>
      <c r="J689" s="115">
        <f t="shared" si="196"/>
        <v>0</v>
      </c>
      <c r="K689" s="116">
        <f>Overview!$H$48</f>
        <v>0</v>
      </c>
      <c r="L689" s="51" t="e">
        <f t="shared" si="199"/>
        <v>#DIV/0!</v>
      </c>
      <c r="M689" s="179"/>
      <c r="N689" s="179" t="s">
        <v>3167</v>
      </c>
      <c r="O689" s="141">
        <f t="shared" si="200"/>
        <v>0</v>
      </c>
      <c r="P689" s="181" t="b">
        <f>COUNTIF('Facility Data'!$A$1:$A$1500,"*"&amp;A689&amp;"*")&gt;0</f>
        <v>0</v>
      </c>
      <c r="Q689" s="181" t="b">
        <f>COUNTIF('Account Data'!$A$1:$A$1000,"*"&amp;A689&amp;"*")&gt;0</f>
        <v>1</v>
      </c>
      <c r="R689" s="182" t="b">
        <f t="shared" si="197"/>
        <v>0</v>
      </c>
      <c r="S689" s="182" t="b">
        <f t="shared" si="198"/>
        <v>1</v>
      </c>
      <c r="T689" s="181" t="b">
        <f>COUNTIF('New Items'!$A$1:$A$175,A689)&gt;0</f>
        <v>0</v>
      </c>
      <c r="U689" s="181" t="b">
        <f>COUNTIF(Discontinued!$A$1:$A$150,A689)&gt;0</f>
        <v>0</v>
      </c>
    </row>
    <row r="690" spans="1:21" s="8" customFormat="1" ht="11.25" x14ac:dyDescent="0.2">
      <c r="A690" s="152">
        <v>10111508</v>
      </c>
      <c r="B690" s="10" t="s">
        <v>4044</v>
      </c>
      <c r="C690" s="12" t="s">
        <v>829</v>
      </c>
      <c r="D690" s="11" t="s">
        <v>828</v>
      </c>
      <c r="E690" s="12" t="s">
        <v>769</v>
      </c>
      <c r="F690" s="13">
        <v>3</v>
      </c>
      <c r="G690" s="22">
        <f>Overview!$B$48</f>
        <v>14</v>
      </c>
      <c r="H690" s="114">
        <f t="shared" si="195"/>
        <v>14</v>
      </c>
      <c r="I690" s="114">
        <f>Overview!$E$48</f>
        <v>0</v>
      </c>
      <c r="J690" s="115">
        <f t="shared" si="196"/>
        <v>0</v>
      </c>
      <c r="K690" s="116">
        <f>Overview!$H$48</f>
        <v>0</v>
      </c>
      <c r="L690" s="51" t="e">
        <f t="shared" si="199"/>
        <v>#DIV/0!</v>
      </c>
      <c r="M690" s="179"/>
      <c r="N690" s="179" t="s">
        <v>3167</v>
      </c>
      <c r="O690" s="141">
        <f t="shared" si="200"/>
        <v>0</v>
      </c>
      <c r="P690" s="181" t="b">
        <f>COUNTIF('Facility Data'!$A$1:$A$1500,"*"&amp;A690&amp;"*")&gt;0</f>
        <v>0</v>
      </c>
      <c r="Q690" s="181" t="b">
        <f>COUNTIF('Account Data'!$A$1:$A$1000,"*"&amp;A690&amp;"*")&gt;0</f>
        <v>0</v>
      </c>
      <c r="R690" s="182" t="b">
        <f t="shared" si="197"/>
        <v>0</v>
      </c>
      <c r="S690" s="182" t="b">
        <f t="shared" si="198"/>
        <v>0</v>
      </c>
      <c r="T690" s="181" t="b">
        <f>COUNTIF('New Items'!$A$1:$A$175,A690)&gt;0</f>
        <v>0</v>
      </c>
      <c r="U690" s="181" t="b">
        <f>COUNTIF(Discontinued!$A$1:$A$150,A690)&gt;0</f>
        <v>0</v>
      </c>
    </row>
    <row r="691" spans="1:21" s="8" customFormat="1" ht="11.25" x14ac:dyDescent="0.2">
      <c r="A691" s="155">
        <v>10114341</v>
      </c>
      <c r="B691" s="81" t="s">
        <v>4045</v>
      </c>
      <c r="C691" s="12" t="s">
        <v>864</v>
      </c>
      <c r="D691" s="11" t="s">
        <v>865</v>
      </c>
      <c r="E691" s="12" t="s">
        <v>769</v>
      </c>
      <c r="F691" s="13">
        <v>3</v>
      </c>
      <c r="G691" s="22">
        <f>Overview!$B$48</f>
        <v>14</v>
      </c>
      <c r="H691" s="114">
        <f t="shared" si="195"/>
        <v>14</v>
      </c>
      <c r="I691" s="114">
        <f>Overview!$E$48</f>
        <v>0</v>
      </c>
      <c r="J691" s="115">
        <f t="shared" si="196"/>
        <v>0</v>
      </c>
      <c r="K691" s="116">
        <f>Overview!$H$48</f>
        <v>0</v>
      </c>
      <c r="L691" s="51" t="e">
        <f t="shared" si="199"/>
        <v>#DIV/0!</v>
      </c>
      <c r="M691" s="179"/>
      <c r="N691" s="179" t="s">
        <v>3167</v>
      </c>
      <c r="O691" s="141">
        <f t="shared" si="200"/>
        <v>0</v>
      </c>
      <c r="P691" s="181" t="b">
        <f>COUNTIF('Facility Data'!$A$1:$A$1500,"*"&amp;A691&amp;"*")&gt;0</f>
        <v>0</v>
      </c>
      <c r="Q691" s="181" t="b">
        <f>COUNTIF('Account Data'!$A$1:$A$1000,"*"&amp;A691&amp;"*")&gt;0</f>
        <v>0</v>
      </c>
      <c r="R691" s="182" t="b">
        <f t="shared" si="197"/>
        <v>0</v>
      </c>
      <c r="S691" s="182" t="b">
        <f t="shared" si="198"/>
        <v>0</v>
      </c>
      <c r="T691" s="181" t="b">
        <f>COUNTIF('New Items'!$A$1:$A$175,A691)&gt;0</f>
        <v>0</v>
      </c>
      <c r="U691" s="181" t="b">
        <f>COUNTIF(Discontinued!$A$1:$A$150,A691)&gt;0</f>
        <v>0</v>
      </c>
    </row>
    <row r="692" spans="1:21" s="8" customFormat="1" ht="12" thickBot="1" x14ac:dyDescent="0.25">
      <c r="A692" s="152">
        <v>10099693</v>
      </c>
      <c r="B692" s="10" t="s">
        <v>4043</v>
      </c>
      <c r="C692" s="12" t="s">
        <v>833</v>
      </c>
      <c r="D692" s="11" t="s">
        <v>672</v>
      </c>
      <c r="E692" s="12" t="s">
        <v>769</v>
      </c>
      <c r="F692" s="13">
        <v>3</v>
      </c>
      <c r="G692" s="22">
        <f>Overview!$B$48</f>
        <v>14</v>
      </c>
      <c r="H692" s="114">
        <f t="shared" si="195"/>
        <v>14</v>
      </c>
      <c r="I692" s="114">
        <f>Overview!$E$48</f>
        <v>0</v>
      </c>
      <c r="J692" s="115">
        <f t="shared" si="196"/>
        <v>0</v>
      </c>
      <c r="K692" s="116">
        <f>Overview!$H$48</f>
        <v>0</v>
      </c>
      <c r="L692" s="51" t="e">
        <f t="shared" si="199"/>
        <v>#DIV/0!</v>
      </c>
      <c r="M692" s="179"/>
      <c r="N692" s="179" t="s">
        <v>3167</v>
      </c>
      <c r="O692" s="141">
        <f t="shared" si="200"/>
        <v>0</v>
      </c>
      <c r="P692" s="181" t="b">
        <f>COUNTIF('Facility Data'!$A$1:$A$1500,"*"&amp;A692&amp;"*")&gt;0</f>
        <v>0</v>
      </c>
      <c r="Q692" s="181" t="b">
        <f>COUNTIF('Account Data'!$A$1:$A$1000,"*"&amp;A692&amp;"*")&gt;0</f>
        <v>1</v>
      </c>
      <c r="R692" s="182" t="b">
        <f t="shared" si="197"/>
        <v>0</v>
      </c>
      <c r="S692" s="182" t="b">
        <f t="shared" si="198"/>
        <v>1</v>
      </c>
      <c r="T692" s="181" t="b">
        <f>COUNTIF('New Items'!$A$1:$A$175,A692)&gt;0</f>
        <v>0</v>
      </c>
      <c r="U692" s="181" t="b">
        <f>COUNTIF(Discontinued!$A$1:$A$150,A692)&gt;0</f>
        <v>0</v>
      </c>
    </row>
    <row r="693" spans="1:21" s="8" customFormat="1" ht="13.5" thickBot="1" x14ac:dyDescent="0.25">
      <c r="A693" s="300" t="s">
        <v>3286</v>
      </c>
      <c r="B693" s="301"/>
      <c r="C693" s="301"/>
      <c r="D693" s="301"/>
      <c r="E693" s="301"/>
      <c r="F693" s="301"/>
      <c r="G693" s="301"/>
      <c r="H693" s="301"/>
      <c r="I693" s="301"/>
      <c r="J693" s="301"/>
      <c r="K693" s="301"/>
      <c r="L693" s="302"/>
      <c r="M693" s="179" t="s">
        <v>4361</v>
      </c>
      <c r="N693" s="179" t="s">
        <v>3168</v>
      </c>
      <c r="O693" s="141">
        <f>AVERAGE(O694:O697)</f>
        <v>0</v>
      </c>
      <c r="P693" s="181" t="b">
        <f>COUNTIF(P694:P697,TRUE)&gt;0</f>
        <v>0</v>
      </c>
      <c r="Q693" s="181" t="b">
        <f>COUNTIF(Q694:Q697,TRUE)&gt;0</f>
        <v>0</v>
      </c>
      <c r="R693" s="181" t="b">
        <f>COUNTIF(R694:R697,TRUE)&gt;0</f>
        <v>0</v>
      </c>
      <c r="S693" s="181" t="b">
        <f>COUNTIF(S694:S697,TRUE)&gt;0</f>
        <v>0</v>
      </c>
      <c r="T693" s="181" t="b">
        <f>COUNTIF(T694:T697,TRUE)&gt;0</f>
        <v>0</v>
      </c>
      <c r="U693" s="181"/>
    </row>
    <row r="694" spans="1:21" s="8" customFormat="1" ht="11.25" x14ac:dyDescent="0.2">
      <c r="A694" s="152">
        <v>10000903</v>
      </c>
      <c r="B694" s="10" t="s">
        <v>1620</v>
      </c>
      <c r="C694" s="12" t="s">
        <v>1621</v>
      </c>
      <c r="D694" s="11" t="s">
        <v>668</v>
      </c>
      <c r="E694" s="12" t="s">
        <v>769</v>
      </c>
      <c r="F694" s="13">
        <v>2</v>
      </c>
      <c r="G694" s="22">
        <f>Overview!$B$49</f>
        <v>14</v>
      </c>
      <c r="H694" s="114">
        <f>G694-I694</f>
        <v>14</v>
      </c>
      <c r="I694" s="114">
        <f>Overview!$E$49</f>
        <v>0</v>
      </c>
      <c r="J694" s="115">
        <f>I694/F694</f>
        <v>0</v>
      </c>
      <c r="K694" s="116">
        <f>Overview!$H$49</f>
        <v>0</v>
      </c>
      <c r="L694" s="51" t="e">
        <f>(K694-J694)/K694</f>
        <v>#DIV/0!</v>
      </c>
      <c r="M694" s="179"/>
      <c r="N694" s="179" t="s">
        <v>3168</v>
      </c>
      <c r="O694" s="141">
        <f>I694</f>
        <v>0</v>
      </c>
      <c r="P694" s="181" t="b">
        <f>COUNTIF('Facility Data'!$A$1:$A$1500,"*"&amp;A694&amp;"*")&gt;0</f>
        <v>0</v>
      </c>
      <c r="Q694" s="181" t="b">
        <f>COUNTIF('Account Data'!$A$1:$A$1000,"*"&amp;A694&amp;"*")&gt;0</f>
        <v>0</v>
      </c>
      <c r="R694" s="182" t="b">
        <f>IF(OR(P694=TRUE,T694=TRUE),TRUE,FALSE)</f>
        <v>0</v>
      </c>
      <c r="S694" s="182" t="b">
        <f>IF(OR(Q694=TRUE,T694=TRUE),TRUE,FALSE)</f>
        <v>0</v>
      </c>
      <c r="T694" s="181" t="b">
        <f>COUNTIF('New Items'!$A$1:$A$175,A694)&gt;0</f>
        <v>0</v>
      </c>
      <c r="U694" s="181" t="b">
        <f>COUNTIF(Discontinued!$A$1:$A$150,A694)&gt;0</f>
        <v>0</v>
      </c>
    </row>
    <row r="695" spans="1:21" s="8" customFormat="1" ht="11.25" x14ac:dyDescent="0.2">
      <c r="A695" s="152">
        <v>10000906</v>
      </c>
      <c r="B695" s="10" t="s">
        <v>1624</v>
      </c>
      <c r="C695" s="12" t="s">
        <v>1625</v>
      </c>
      <c r="D695" s="11" t="s">
        <v>669</v>
      </c>
      <c r="E695" s="12" t="s">
        <v>769</v>
      </c>
      <c r="F695" s="13">
        <v>2</v>
      </c>
      <c r="G695" s="22">
        <f>Overview!$B$49</f>
        <v>14</v>
      </c>
      <c r="H695" s="114">
        <f>G695-I695</f>
        <v>14</v>
      </c>
      <c r="I695" s="114">
        <f>Overview!$E$49</f>
        <v>0</v>
      </c>
      <c r="J695" s="115">
        <f>I695/F695</f>
        <v>0</v>
      </c>
      <c r="K695" s="116">
        <f>Overview!$H$49</f>
        <v>0</v>
      </c>
      <c r="L695" s="51" t="e">
        <f>(K695-J695)/K695</f>
        <v>#DIV/0!</v>
      </c>
      <c r="M695" s="179"/>
      <c r="N695" s="179" t="s">
        <v>3168</v>
      </c>
      <c r="O695" s="141">
        <f>I695</f>
        <v>0</v>
      </c>
      <c r="P695" s="181" t="b">
        <f>COUNTIF('Facility Data'!$A$1:$A$1500,"*"&amp;A695&amp;"*")&gt;0</f>
        <v>0</v>
      </c>
      <c r="Q695" s="181" t="b">
        <f>COUNTIF('Account Data'!$A$1:$A$1000,"*"&amp;A695&amp;"*")&gt;0</f>
        <v>0</v>
      </c>
      <c r="R695" s="182" t="b">
        <f>IF(OR(P695=TRUE,T695=TRUE),TRUE,FALSE)</f>
        <v>0</v>
      </c>
      <c r="S695" s="182" t="b">
        <f>IF(OR(Q695=TRUE,T695=TRUE),TRUE,FALSE)</f>
        <v>0</v>
      </c>
      <c r="T695" s="181" t="b">
        <f>COUNTIF('New Items'!$A$1:$A$175,A695)&gt;0</f>
        <v>0</v>
      </c>
      <c r="U695" s="181" t="b">
        <f>COUNTIF(Discontinued!$A$1:$A$150,A695)&gt;0</f>
        <v>0</v>
      </c>
    </row>
    <row r="696" spans="1:21" s="8" customFormat="1" ht="11.25" x14ac:dyDescent="0.2">
      <c r="A696" s="152">
        <v>10000300</v>
      </c>
      <c r="B696" s="10" t="s">
        <v>1622</v>
      </c>
      <c r="C696" s="12" t="s">
        <v>1623</v>
      </c>
      <c r="D696" s="11" t="s">
        <v>671</v>
      </c>
      <c r="E696" s="12" t="s">
        <v>769</v>
      </c>
      <c r="F696" s="13">
        <v>2</v>
      </c>
      <c r="G696" s="22">
        <f>Overview!$B$49</f>
        <v>14</v>
      </c>
      <c r="H696" s="114">
        <f>G696-I696</f>
        <v>14</v>
      </c>
      <c r="I696" s="114">
        <f>Overview!$E$49</f>
        <v>0</v>
      </c>
      <c r="J696" s="115">
        <f>I696/F696</f>
        <v>0</v>
      </c>
      <c r="K696" s="116">
        <f>Overview!$H$49</f>
        <v>0</v>
      </c>
      <c r="L696" s="51" t="e">
        <f>(K696-J696)/K696</f>
        <v>#DIV/0!</v>
      </c>
      <c r="M696" s="179"/>
      <c r="N696" s="179" t="s">
        <v>3168</v>
      </c>
      <c r="O696" s="141">
        <f>I696</f>
        <v>0</v>
      </c>
      <c r="P696" s="181" t="b">
        <f>COUNTIF('Facility Data'!$A$1:$A$1500,"*"&amp;A696&amp;"*")&gt;0</f>
        <v>0</v>
      </c>
      <c r="Q696" s="181" t="b">
        <f>COUNTIF('Account Data'!$A$1:$A$1000,"*"&amp;A696&amp;"*")&gt;0</f>
        <v>0</v>
      </c>
      <c r="R696" s="182" t="b">
        <f>IF(OR(P696=TRUE,T696=TRUE),TRUE,FALSE)</f>
        <v>0</v>
      </c>
      <c r="S696" s="182" t="b">
        <f>IF(OR(Q696=TRUE,T696=TRUE),TRUE,FALSE)</f>
        <v>0</v>
      </c>
      <c r="T696" s="181" t="b">
        <f>COUNTIF('New Items'!$A$1:$A$175,A696)&gt;0</f>
        <v>0</v>
      </c>
      <c r="U696" s="181" t="b">
        <f>COUNTIF(Discontinued!$A$1:$A$150,A696)&gt;0</f>
        <v>0</v>
      </c>
    </row>
    <row r="697" spans="1:21" s="8" customFormat="1" ht="12" thickBot="1" x14ac:dyDescent="0.25">
      <c r="A697" s="152">
        <v>10006446</v>
      </c>
      <c r="B697" s="10" t="s">
        <v>1626</v>
      </c>
      <c r="C697" s="12" t="s">
        <v>1627</v>
      </c>
      <c r="D697" s="11" t="s">
        <v>674</v>
      </c>
      <c r="E697" s="12" t="s">
        <v>769</v>
      </c>
      <c r="F697" s="13">
        <v>2</v>
      </c>
      <c r="G697" s="22">
        <f>Overview!$B$49</f>
        <v>14</v>
      </c>
      <c r="H697" s="114">
        <f>G697-I697</f>
        <v>14</v>
      </c>
      <c r="I697" s="114">
        <f>Overview!$E$49</f>
        <v>0</v>
      </c>
      <c r="J697" s="115">
        <f>I697/F697</f>
        <v>0</v>
      </c>
      <c r="K697" s="116">
        <f>Overview!$H$49</f>
        <v>0</v>
      </c>
      <c r="L697" s="51" t="e">
        <f>(K697-J697)/K697</f>
        <v>#DIV/0!</v>
      </c>
      <c r="M697" s="179"/>
      <c r="N697" s="179" t="s">
        <v>3168</v>
      </c>
      <c r="O697" s="141">
        <f>I697</f>
        <v>0</v>
      </c>
      <c r="P697" s="181" t="b">
        <f>COUNTIF('Facility Data'!$A$1:$A$1500,"*"&amp;A697&amp;"*")&gt;0</f>
        <v>0</v>
      </c>
      <c r="Q697" s="181" t="b">
        <f>COUNTIF('Account Data'!$A$1:$A$1000,"*"&amp;A697&amp;"*")&gt;0</f>
        <v>0</v>
      </c>
      <c r="R697" s="182" t="b">
        <f>IF(OR(P697=TRUE,T697=TRUE),TRUE,FALSE)</f>
        <v>0</v>
      </c>
      <c r="S697" s="182" t="b">
        <f>IF(OR(Q697=TRUE,T697=TRUE),TRUE,FALSE)</f>
        <v>0</v>
      </c>
      <c r="T697" s="181" t="b">
        <f>COUNTIF('New Items'!$A$1:$A$175,A697)&gt;0</f>
        <v>0</v>
      </c>
      <c r="U697" s="181" t="b">
        <f>COUNTIF(Discontinued!$A$1:$A$150,A697)&gt;0</f>
        <v>0</v>
      </c>
    </row>
    <row r="698" spans="1:21" s="8" customFormat="1" ht="13.5" thickBot="1" x14ac:dyDescent="0.25">
      <c r="A698" s="300" t="s">
        <v>348</v>
      </c>
      <c r="B698" s="301"/>
      <c r="C698" s="301"/>
      <c r="D698" s="301"/>
      <c r="E698" s="301"/>
      <c r="F698" s="301"/>
      <c r="G698" s="301"/>
      <c r="H698" s="301"/>
      <c r="I698" s="301"/>
      <c r="J698" s="301"/>
      <c r="K698" s="301"/>
      <c r="L698" s="302"/>
      <c r="M698" s="179" t="s">
        <v>4361</v>
      </c>
      <c r="N698" s="179" t="s">
        <v>3169</v>
      </c>
      <c r="O698" s="141">
        <f>AVERAGE(O699:O703)</f>
        <v>0</v>
      </c>
      <c r="P698" s="181" t="b">
        <f>COUNTIF(P699:P703,TRUE)&gt;0</f>
        <v>0</v>
      </c>
      <c r="Q698" s="181" t="b">
        <f>COUNTIF(Q699:Q703,TRUE)&gt;0</f>
        <v>0</v>
      </c>
      <c r="R698" s="181" t="b">
        <f>COUNTIF(R699:R703,TRUE)&gt;0</f>
        <v>0</v>
      </c>
      <c r="S698" s="181" t="b">
        <f>COUNTIF(S699:S703,TRUE)&gt;0</f>
        <v>0</v>
      </c>
      <c r="T698" s="181" t="b">
        <f>COUNTIF(T699:T703,TRUE)&gt;0</f>
        <v>0</v>
      </c>
      <c r="U698" s="181"/>
    </row>
    <row r="699" spans="1:21" s="8" customFormat="1" ht="11.25" x14ac:dyDescent="0.2">
      <c r="A699" s="152">
        <v>10000018</v>
      </c>
      <c r="B699" s="10" t="s">
        <v>4030</v>
      </c>
      <c r="C699" s="12" t="s">
        <v>349</v>
      </c>
      <c r="D699" s="11" t="s">
        <v>668</v>
      </c>
      <c r="E699" s="12" t="s">
        <v>774</v>
      </c>
      <c r="F699" s="13">
        <v>4</v>
      </c>
      <c r="G699" s="22">
        <f>Overview!$B$50</f>
        <v>24</v>
      </c>
      <c r="H699" s="114">
        <f>G699-I699</f>
        <v>24</v>
      </c>
      <c r="I699" s="114">
        <f>Overview!$E$50</f>
        <v>0</v>
      </c>
      <c r="J699" s="115">
        <f>I699/F699</f>
        <v>0</v>
      </c>
      <c r="K699" s="116">
        <f>Overview!$H$50</f>
        <v>0</v>
      </c>
      <c r="L699" s="51" t="e">
        <f>(K699-J699)/K699</f>
        <v>#DIV/0!</v>
      </c>
      <c r="M699" s="179"/>
      <c r="N699" s="179" t="s">
        <v>3169</v>
      </c>
      <c r="O699" s="141">
        <f>I699</f>
        <v>0</v>
      </c>
      <c r="P699" s="181" t="b">
        <f>COUNTIF('Facility Data'!$A$1:$A$1500,"*"&amp;A699&amp;"*")&gt;0</f>
        <v>0</v>
      </c>
      <c r="Q699" s="181" t="b">
        <f>COUNTIF('Account Data'!$A$1:$A$1000,"*"&amp;A699&amp;"*")&gt;0</f>
        <v>0</v>
      </c>
      <c r="R699" s="182" t="b">
        <f>IF(OR(P699=TRUE,T699=TRUE),TRUE,FALSE)</f>
        <v>0</v>
      </c>
      <c r="S699" s="182" t="b">
        <f>IF(OR(Q699=TRUE,T699=TRUE),TRUE,FALSE)</f>
        <v>0</v>
      </c>
      <c r="T699" s="181" t="b">
        <f>COUNTIF('New Items'!$A$1:$A$175,A699)&gt;0</f>
        <v>0</v>
      </c>
      <c r="U699" s="181" t="b">
        <f>COUNTIF(Discontinued!$A$1:$A$150,A699)&gt;0</f>
        <v>0</v>
      </c>
    </row>
    <row r="700" spans="1:21" s="8" customFormat="1" ht="11.25" x14ac:dyDescent="0.2">
      <c r="A700" s="152">
        <v>10000020</v>
      </c>
      <c r="B700" s="10" t="s">
        <v>1325</v>
      </c>
      <c r="C700" s="12" t="s">
        <v>351</v>
      </c>
      <c r="D700" s="11" t="s">
        <v>669</v>
      </c>
      <c r="E700" s="12" t="s">
        <v>774</v>
      </c>
      <c r="F700" s="13">
        <v>4</v>
      </c>
      <c r="G700" s="22">
        <f>Overview!$B$50</f>
        <v>24</v>
      </c>
      <c r="H700" s="23">
        <f>G700-I700</f>
        <v>24</v>
      </c>
      <c r="I700" s="114">
        <f>Overview!$E$50</f>
        <v>0</v>
      </c>
      <c r="J700" s="24">
        <f>I700/F700</f>
        <v>0</v>
      </c>
      <c r="K700" s="116">
        <f>Overview!$H$50</f>
        <v>0</v>
      </c>
      <c r="L700" s="51" t="e">
        <f>(K700-J700)/K700</f>
        <v>#DIV/0!</v>
      </c>
      <c r="M700" s="179"/>
      <c r="N700" s="179" t="s">
        <v>3169</v>
      </c>
      <c r="O700" s="141">
        <f>I700</f>
        <v>0</v>
      </c>
      <c r="P700" s="181" t="b">
        <f>COUNTIF('Facility Data'!$A$1:$A$1500,"*"&amp;A700&amp;"*")&gt;0</f>
        <v>0</v>
      </c>
      <c r="Q700" s="181" t="b">
        <f>COUNTIF('Account Data'!$A$1:$A$1000,"*"&amp;A700&amp;"*")&gt;0</f>
        <v>0</v>
      </c>
      <c r="R700" s="182" t="b">
        <f>IF(OR(P700=TRUE,T700=TRUE),TRUE,FALSE)</f>
        <v>0</v>
      </c>
      <c r="S700" s="182" t="b">
        <f>IF(OR(Q700=TRUE,T700=TRUE),TRUE,FALSE)</f>
        <v>0</v>
      </c>
      <c r="T700" s="181" t="b">
        <f>COUNTIF('New Items'!$A$1:$A$175,A700)&gt;0</f>
        <v>0</v>
      </c>
      <c r="U700" s="181" t="b">
        <f>COUNTIF(Discontinued!$A$1:$A$150,A700)&gt;0</f>
        <v>0</v>
      </c>
    </row>
    <row r="701" spans="1:21" s="8" customFormat="1" ht="11.25" x14ac:dyDescent="0.2">
      <c r="A701" s="152">
        <v>10000021</v>
      </c>
      <c r="B701" s="10" t="s">
        <v>4032</v>
      </c>
      <c r="C701" s="12" t="s">
        <v>350</v>
      </c>
      <c r="D701" s="11" t="s">
        <v>670</v>
      </c>
      <c r="E701" s="12" t="s">
        <v>774</v>
      </c>
      <c r="F701" s="13">
        <v>4</v>
      </c>
      <c r="G701" s="22">
        <f>Overview!$B$50</f>
        <v>24</v>
      </c>
      <c r="H701" s="23">
        <f>G701-I701</f>
        <v>24</v>
      </c>
      <c r="I701" s="114">
        <f>Overview!$E$50</f>
        <v>0</v>
      </c>
      <c r="J701" s="24">
        <f>I701/F701</f>
        <v>0</v>
      </c>
      <c r="K701" s="116">
        <f>Overview!$H$50</f>
        <v>0</v>
      </c>
      <c r="L701" s="51" t="e">
        <f>(K701-J701)/K701</f>
        <v>#DIV/0!</v>
      </c>
      <c r="M701" s="179"/>
      <c r="N701" s="179" t="s">
        <v>3169</v>
      </c>
      <c r="O701" s="141">
        <f>I701</f>
        <v>0</v>
      </c>
      <c r="P701" s="181" t="b">
        <f>COUNTIF('Facility Data'!$A$1:$A$1500,"*"&amp;A701&amp;"*")&gt;0</f>
        <v>0</v>
      </c>
      <c r="Q701" s="181" t="b">
        <f>COUNTIF('Account Data'!$A$1:$A$1000,"*"&amp;A701&amp;"*")&gt;0</f>
        <v>0</v>
      </c>
      <c r="R701" s="182" t="b">
        <f>IF(OR(P701=TRUE,T701=TRUE),TRUE,FALSE)</f>
        <v>0</v>
      </c>
      <c r="S701" s="182" t="b">
        <f>IF(OR(Q701=TRUE,T701=TRUE),TRUE,FALSE)</f>
        <v>0</v>
      </c>
      <c r="T701" s="181" t="b">
        <f>COUNTIF('New Items'!$A$1:$A$175,A701)&gt;0</f>
        <v>0</v>
      </c>
      <c r="U701" s="181" t="b">
        <f>COUNTIF(Discontinued!$A$1:$A$150,A701)&gt;0</f>
        <v>0</v>
      </c>
    </row>
    <row r="702" spans="1:21" s="8" customFormat="1" ht="11.25" x14ac:dyDescent="0.2">
      <c r="A702" s="152">
        <v>10000019</v>
      </c>
      <c r="B702" s="10" t="s">
        <v>4031</v>
      </c>
      <c r="C702" s="12" t="s">
        <v>353</v>
      </c>
      <c r="D702" s="11" t="s">
        <v>671</v>
      </c>
      <c r="E702" s="12" t="s">
        <v>774</v>
      </c>
      <c r="F702" s="13">
        <v>4</v>
      </c>
      <c r="G702" s="22">
        <f>Overview!$B$50</f>
        <v>24</v>
      </c>
      <c r="H702" s="23">
        <f>G702-I702</f>
        <v>24</v>
      </c>
      <c r="I702" s="114">
        <f>Overview!$E$50</f>
        <v>0</v>
      </c>
      <c r="J702" s="24">
        <f>I702/F702</f>
        <v>0</v>
      </c>
      <c r="K702" s="116">
        <f>Overview!$H$50</f>
        <v>0</v>
      </c>
      <c r="L702" s="51" t="e">
        <f>(K702-J702)/K702</f>
        <v>#DIV/0!</v>
      </c>
      <c r="M702" s="179"/>
      <c r="N702" s="179" t="s">
        <v>3169</v>
      </c>
      <c r="O702" s="141">
        <f>I702</f>
        <v>0</v>
      </c>
      <c r="P702" s="181" t="b">
        <f>COUNTIF('Facility Data'!$A$1:$A$1500,"*"&amp;A702&amp;"*")&gt;0</f>
        <v>0</v>
      </c>
      <c r="Q702" s="181" t="b">
        <f>COUNTIF('Account Data'!$A$1:$A$1000,"*"&amp;A702&amp;"*")&gt;0</f>
        <v>0</v>
      </c>
      <c r="R702" s="182" t="b">
        <f>IF(OR(P702=TRUE,T702=TRUE),TRUE,FALSE)</f>
        <v>0</v>
      </c>
      <c r="S702" s="182" t="b">
        <f>IF(OR(Q702=TRUE,T702=TRUE),TRUE,FALSE)</f>
        <v>0</v>
      </c>
      <c r="T702" s="181" t="b">
        <f>COUNTIF('New Items'!$A$1:$A$175,A702)&gt;0</f>
        <v>0</v>
      </c>
      <c r="U702" s="181" t="b">
        <f>COUNTIF(Discontinued!$A$1:$A$150,A702)&gt;0</f>
        <v>0</v>
      </c>
    </row>
    <row r="703" spans="1:21" s="8" customFormat="1" ht="12" thickBot="1" x14ac:dyDescent="0.25">
      <c r="A703" s="152">
        <v>10060240</v>
      </c>
      <c r="B703" s="10" t="s">
        <v>4033</v>
      </c>
      <c r="C703" s="12" t="s">
        <v>352</v>
      </c>
      <c r="D703" s="11" t="s">
        <v>672</v>
      </c>
      <c r="E703" s="12" t="s">
        <v>774</v>
      </c>
      <c r="F703" s="13">
        <v>4</v>
      </c>
      <c r="G703" s="22">
        <f>Overview!$B$50</f>
        <v>24</v>
      </c>
      <c r="H703" s="23">
        <f>G703-I703</f>
        <v>24</v>
      </c>
      <c r="I703" s="114">
        <f>Overview!$E$50</f>
        <v>0</v>
      </c>
      <c r="J703" s="24">
        <f>I703/F703</f>
        <v>0</v>
      </c>
      <c r="K703" s="116">
        <f>Overview!$H$50</f>
        <v>0</v>
      </c>
      <c r="L703" s="51" t="e">
        <f>(K703-J703)/K703</f>
        <v>#DIV/0!</v>
      </c>
      <c r="M703" s="179"/>
      <c r="N703" s="179" t="s">
        <v>3169</v>
      </c>
      <c r="O703" s="141">
        <f>I703</f>
        <v>0</v>
      </c>
      <c r="P703" s="181" t="b">
        <f>COUNTIF('Facility Data'!$A$1:$A$1500,"*"&amp;A703&amp;"*")&gt;0</f>
        <v>0</v>
      </c>
      <c r="Q703" s="181" t="b">
        <f>COUNTIF('Account Data'!$A$1:$A$1000,"*"&amp;A703&amp;"*")&gt;0</f>
        <v>0</v>
      </c>
      <c r="R703" s="182" t="b">
        <f>IF(OR(P703=TRUE,T703=TRUE),TRUE,FALSE)</f>
        <v>0</v>
      </c>
      <c r="S703" s="182" t="b">
        <f>IF(OR(Q703=TRUE,T703=TRUE),TRUE,FALSE)</f>
        <v>0</v>
      </c>
      <c r="T703" s="181" t="b">
        <f>COUNTIF('New Items'!$A$1:$A$175,A703)&gt;0</f>
        <v>0</v>
      </c>
      <c r="U703" s="181" t="b">
        <f>COUNTIF(Discontinued!$A$1:$A$150,A703)&gt;0</f>
        <v>0</v>
      </c>
    </row>
    <row r="704" spans="1:21" s="8" customFormat="1" ht="13.5" thickBot="1" x14ac:dyDescent="0.25">
      <c r="A704" s="300" t="s">
        <v>3846</v>
      </c>
      <c r="B704" s="301"/>
      <c r="C704" s="301"/>
      <c r="D704" s="301"/>
      <c r="E704" s="301"/>
      <c r="F704" s="301"/>
      <c r="G704" s="301"/>
      <c r="H704" s="301"/>
      <c r="I704" s="301"/>
      <c r="J704" s="301"/>
      <c r="K704" s="301"/>
      <c r="L704" s="302"/>
      <c r="M704" s="179" t="s">
        <v>4361</v>
      </c>
      <c r="N704" s="179" t="s">
        <v>3845</v>
      </c>
      <c r="O704" s="141">
        <f>AVERAGE(O705:O707)</f>
        <v>0</v>
      </c>
      <c r="P704" s="181" t="b">
        <f>COUNTIF(P705:P707,TRUE)&gt;0</f>
        <v>0</v>
      </c>
      <c r="Q704" s="181" t="b">
        <f>COUNTIF(Q705:Q707,TRUE)&gt;0</f>
        <v>0</v>
      </c>
      <c r="R704" s="181" t="b">
        <f>COUNTIF(R705:R707,TRUE)&gt;0</f>
        <v>0</v>
      </c>
      <c r="S704" s="181" t="b">
        <f>COUNTIF(S705:S707,TRUE)&gt;0</f>
        <v>0</v>
      </c>
      <c r="T704" s="181" t="b">
        <f>COUNTIF(T705:T707,TRUE)&gt;0</f>
        <v>0</v>
      </c>
      <c r="U704" s="181"/>
    </row>
    <row r="705" spans="1:21" s="8" customFormat="1" ht="11.25" x14ac:dyDescent="0.2">
      <c r="A705" s="152">
        <v>10004675</v>
      </c>
      <c r="B705" s="10" t="s">
        <v>2446</v>
      </c>
      <c r="C705" s="12" t="s">
        <v>2702</v>
      </c>
      <c r="D705" s="11" t="s">
        <v>668</v>
      </c>
      <c r="E705" s="12" t="s">
        <v>757</v>
      </c>
      <c r="F705" s="13">
        <v>24</v>
      </c>
      <c r="G705" s="22">
        <f>Overview!$B$51</f>
        <v>36</v>
      </c>
      <c r="H705" s="23">
        <f>G705-I705</f>
        <v>36</v>
      </c>
      <c r="I705" s="114">
        <f>Overview!$E$51</f>
        <v>0</v>
      </c>
      <c r="J705" s="24">
        <f>I705/F705</f>
        <v>0</v>
      </c>
      <c r="K705" s="116">
        <f>Overview!$H$51</f>
        <v>0</v>
      </c>
      <c r="L705" s="51" t="e">
        <f>(K705-J705)/K705</f>
        <v>#DIV/0!</v>
      </c>
      <c r="M705" s="179"/>
      <c r="N705" s="179" t="s">
        <v>3845</v>
      </c>
      <c r="O705" s="141">
        <f>I705</f>
        <v>0</v>
      </c>
      <c r="P705" s="181" t="b">
        <f>COUNTIF('Facility Data'!$A$1:$A$1500,"*"&amp;A705&amp;"*")&gt;0</f>
        <v>0</v>
      </c>
      <c r="Q705" s="181" t="b">
        <f>COUNTIF('Account Data'!$A$1:$A$1000,"*"&amp;A705&amp;"*")&gt;0</f>
        <v>0</v>
      </c>
      <c r="R705" s="182" t="b">
        <f>IF(OR(P705=TRUE,T705=TRUE),TRUE,FALSE)</f>
        <v>0</v>
      </c>
      <c r="S705" s="182" t="b">
        <f>IF(OR(Q705=TRUE,T705=TRUE),TRUE,FALSE)</f>
        <v>0</v>
      </c>
      <c r="T705" s="181" t="b">
        <f>COUNTIF('New Items'!$A$1:$A$175,A705)&gt;0</f>
        <v>0</v>
      </c>
      <c r="U705" s="181" t="b">
        <f>COUNTIF(Discontinued!$A$1:$A$150,A705)&gt;0</f>
        <v>0</v>
      </c>
    </row>
    <row r="706" spans="1:21" s="8" customFormat="1" ht="11.25" x14ac:dyDescent="0.2">
      <c r="A706" s="152">
        <v>10079290</v>
      </c>
      <c r="B706" s="10" t="s">
        <v>3847</v>
      </c>
      <c r="C706" s="12" t="s">
        <v>3848</v>
      </c>
      <c r="D706" s="11" t="s">
        <v>669</v>
      </c>
      <c r="E706" s="12" t="s">
        <v>757</v>
      </c>
      <c r="F706" s="13">
        <v>24</v>
      </c>
      <c r="G706" s="22">
        <f>Overview!$B$51</f>
        <v>36</v>
      </c>
      <c r="H706" s="23">
        <f>G706-I706</f>
        <v>36</v>
      </c>
      <c r="I706" s="114">
        <f>Overview!$E$51</f>
        <v>0</v>
      </c>
      <c r="J706" s="24">
        <f>I706/F706</f>
        <v>0</v>
      </c>
      <c r="K706" s="116">
        <f>Overview!$H$51</f>
        <v>0</v>
      </c>
      <c r="L706" s="51" t="e">
        <f>(K706-J706)/K706</f>
        <v>#DIV/0!</v>
      </c>
      <c r="M706" s="179"/>
      <c r="N706" s="179" t="s">
        <v>3845</v>
      </c>
      <c r="O706" s="141">
        <f>I706</f>
        <v>0</v>
      </c>
      <c r="P706" s="181" t="b">
        <f>COUNTIF('Facility Data'!$A$1:$A$1500,"*"&amp;A706&amp;"*")&gt;0</f>
        <v>0</v>
      </c>
      <c r="Q706" s="181" t="b">
        <f>COUNTIF('Account Data'!$A$1:$A$1000,"*"&amp;A706&amp;"*")&gt;0</f>
        <v>0</v>
      </c>
      <c r="R706" s="182" t="b">
        <f>IF(OR(P706=TRUE,T706=TRUE),TRUE,FALSE)</f>
        <v>0</v>
      </c>
      <c r="S706" s="182" t="b">
        <f>IF(OR(Q706=TRUE,T706=TRUE),TRUE,FALSE)</f>
        <v>0</v>
      </c>
      <c r="T706" s="181" t="b">
        <f>COUNTIF('New Items'!$A$1:$A$175,A706)&gt;0</f>
        <v>0</v>
      </c>
      <c r="U706" s="181" t="b">
        <f>COUNTIF(Discontinued!$A$1:$A$150,A706)&gt;0</f>
        <v>0</v>
      </c>
    </row>
    <row r="707" spans="1:21" s="8" customFormat="1" ht="12" thickBot="1" x14ac:dyDescent="0.25">
      <c r="A707" s="152">
        <v>10079293</v>
      </c>
      <c r="B707" s="10" t="s">
        <v>3849</v>
      </c>
      <c r="C707" s="12" t="s">
        <v>3850</v>
      </c>
      <c r="D707" s="11" t="s">
        <v>674</v>
      </c>
      <c r="E707" s="12" t="s">
        <v>757</v>
      </c>
      <c r="F707" s="13">
        <v>24</v>
      </c>
      <c r="G707" s="22">
        <f>Overview!$B$51</f>
        <v>36</v>
      </c>
      <c r="H707" s="23">
        <f>G707-I707</f>
        <v>36</v>
      </c>
      <c r="I707" s="114">
        <f>Overview!$E$51</f>
        <v>0</v>
      </c>
      <c r="J707" s="24">
        <f>I707/F707</f>
        <v>0</v>
      </c>
      <c r="K707" s="116">
        <f>Overview!$H$51</f>
        <v>0</v>
      </c>
      <c r="L707" s="51" t="e">
        <f>(K707-J707)/K707</f>
        <v>#DIV/0!</v>
      </c>
      <c r="M707" s="179"/>
      <c r="N707" s="179" t="s">
        <v>3845</v>
      </c>
      <c r="O707" s="141">
        <f>I707</f>
        <v>0</v>
      </c>
      <c r="P707" s="181" t="b">
        <f>COUNTIF('Facility Data'!$A$1:$A$1500,"*"&amp;A707&amp;"*")&gt;0</f>
        <v>0</v>
      </c>
      <c r="Q707" s="181" t="b">
        <f>COUNTIF('Account Data'!$A$1:$A$1000,"*"&amp;A707&amp;"*")&gt;0</f>
        <v>0</v>
      </c>
      <c r="R707" s="182" t="b">
        <f>IF(OR(P707=TRUE,T707=TRUE),TRUE,FALSE)</f>
        <v>0</v>
      </c>
      <c r="S707" s="182" t="b">
        <f>IF(OR(Q707=TRUE,T707=TRUE),TRUE,FALSE)</f>
        <v>0</v>
      </c>
      <c r="T707" s="181" t="b">
        <f>COUNTIF('New Items'!$A$1:$A$175,A707)&gt;0</f>
        <v>0</v>
      </c>
      <c r="U707" s="181" t="b">
        <f>COUNTIF(Discontinued!$A$1:$A$150,A707)&gt;0</f>
        <v>0</v>
      </c>
    </row>
    <row r="708" spans="1:21" s="8" customFormat="1" ht="13.5" thickBot="1" x14ac:dyDescent="0.25">
      <c r="A708" s="300" t="s">
        <v>3165</v>
      </c>
      <c r="B708" s="301"/>
      <c r="C708" s="301"/>
      <c r="D708" s="301"/>
      <c r="E708" s="301"/>
      <c r="F708" s="301"/>
      <c r="G708" s="301"/>
      <c r="H708" s="301"/>
      <c r="I708" s="301"/>
      <c r="J708" s="301"/>
      <c r="K708" s="301"/>
      <c r="L708" s="302"/>
      <c r="M708" s="179" t="s">
        <v>4361</v>
      </c>
      <c r="N708" s="179" t="s">
        <v>3170</v>
      </c>
      <c r="O708" s="141">
        <f>AVERAGE(O709:O712)</f>
        <v>0</v>
      </c>
      <c r="P708" s="181" t="b">
        <f>COUNTIF(P709:P712,TRUE)&gt;0</f>
        <v>0</v>
      </c>
      <c r="Q708" s="181" t="b">
        <f>COUNTIF(Q709:Q712,TRUE)&gt;0</f>
        <v>0</v>
      </c>
      <c r="R708" s="181" t="b">
        <f>COUNTIF(R709:R712,TRUE)&gt;0</f>
        <v>0</v>
      </c>
      <c r="S708" s="181" t="b">
        <f>COUNTIF(S709:S712,TRUE)&gt;0</f>
        <v>0</v>
      </c>
      <c r="T708" s="181" t="b">
        <f>COUNTIF(T709:T712,TRUE)&gt;0</f>
        <v>0</v>
      </c>
      <c r="U708" s="181"/>
    </row>
    <row r="709" spans="1:21" s="8" customFormat="1" ht="11.25" x14ac:dyDescent="0.2">
      <c r="A709" s="152">
        <v>10003033</v>
      </c>
      <c r="B709" s="10" t="s">
        <v>2941</v>
      </c>
      <c r="C709" s="12" t="s">
        <v>2942</v>
      </c>
      <c r="D709" s="11" t="s">
        <v>668</v>
      </c>
      <c r="E709" s="12" t="s">
        <v>761</v>
      </c>
      <c r="F709" s="13">
        <v>12</v>
      </c>
      <c r="G709" s="22">
        <f>Overview!$B$52</f>
        <v>18</v>
      </c>
      <c r="H709" s="23">
        <f>G709-I709</f>
        <v>18</v>
      </c>
      <c r="I709" s="114">
        <f>Overview!$E$52</f>
        <v>0</v>
      </c>
      <c r="J709" s="24">
        <f>I709/F709</f>
        <v>0</v>
      </c>
      <c r="K709" s="116">
        <f>Overview!$H$52</f>
        <v>0</v>
      </c>
      <c r="L709" s="51" t="e">
        <f>(K709-J709)/K709</f>
        <v>#DIV/0!</v>
      </c>
      <c r="M709" s="179"/>
      <c r="N709" s="179" t="s">
        <v>3170</v>
      </c>
      <c r="O709" s="141">
        <f>I709</f>
        <v>0</v>
      </c>
      <c r="P709" s="181" t="b">
        <f>COUNTIF('Facility Data'!$A$1:$A$1500,"*"&amp;A709&amp;"*")&gt;0</f>
        <v>0</v>
      </c>
      <c r="Q709" s="181" t="b">
        <f>COUNTIF('Account Data'!$A$1:$A$1000,"*"&amp;A709&amp;"*")&gt;0</f>
        <v>0</v>
      </c>
      <c r="R709" s="182" t="b">
        <f>IF(OR(P709=TRUE,T709=TRUE),TRUE,FALSE)</f>
        <v>0</v>
      </c>
      <c r="S709" s="182" t="b">
        <f>IF(OR(Q709=TRUE,T709=TRUE),TRUE,FALSE)</f>
        <v>0</v>
      </c>
      <c r="T709" s="181" t="b">
        <f>COUNTIF('New Items'!$A$1:$A$175,A709)&gt;0</f>
        <v>0</v>
      </c>
      <c r="U709" s="181" t="b">
        <f>COUNTIF(Discontinued!$A$1:$A$150,A709)&gt;0</f>
        <v>0</v>
      </c>
    </row>
    <row r="710" spans="1:21" s="8" customFormat="1" ht="11.25" x14ac:dyDescent="0.2">
      <c r="A710" s="152">
        <v>10003031</v>
      </c>
      <c r="B710" s="10" t="s">
        <v>2943</v>
      </c>
      <c r="C710" s="12" t="s">
        <v>2944</v>
      </c>
      <c r="D710" s="11" t="s">
        <v>669</v>
      </c>
      <c r="E710" s="12" t="s">
        <v>761</v>
      </c>
      <c r="F710" s="13">
        <v>12</v>
      </c>
      <c r="G710" s="22">
        <f>Overview!$B$52</f>
        <v>18</v>
      </c>
      <c r="H710" s="23">
        <f>G710-I710</f>
        <v>18</v>
      </c>
      <c r="I710" s="114">
        <f>Overview!$E$52</f>
        <v>0</v>
      </c>
      <c r="J710" s="24">
        <f>I710/F710</f>
        <v>0</v>
      </c>
      <c r="K710" s="116">
        <f>Overview!$H$52</f>
        <v>0</v>
      </c>
      <c r="L710" s="51" t="e">
        <f>(K710-J710)/K710</f>
        <v>#DIV/0!</v>
      </c>
      <c r="M710" s="179"/>
      <c r="N710" s="179" t="s">
        <v>3170</v>
      </c>
      <c r="O710" s="141">
        <f>I710</f>
        <v>0</v>
      </c>
      <c r="P710" s="181" t="b">
        <f>COUNTIF('Facility Data'!$A$1:$A$1500,"*"&amp;A710&amp;"*")&gt;0</f>
        <v>0</v>
      </c>
      <c r="Q710" s="181" t="b">
        <f>COUNTIF('Account Data'!$A$1:$A$1000,"*"&amp;A710&amp;"*")&gt;0</f>
        <v>0</v>
      </c>
      <c r="R710" s="182" t="b">
        <f>IF(OR(P710=TRUE,T710=TRUE),TRUE,FALSE)</f>
        <v>0</v>
      </c>
      <c r="S710" s="182" t="b">
        <f>IF(OR(Q710=TRUE,T710=TRUE),TRUE,FALSE)</f>
        <v>0</v>
      </c>
      <c r="T710" s="181" t="b">
        <f>COUNTIF('New Items'!$A$1:$A$175,A710)&gt;0</f>
        <v>0</v>
      </c>
      <c r="U710" s="181" t="b">
        <f>COUNTIF(Discontinued!$A$1:$A$150,A710)&gt;0</f>
        <v>0</v>
      </c>
    </row>
    <row r="711" spans="1:21" s="8" customFormat="1" ht="11.25" x14ac:dyDescent="0.2">
      <c r="A711" s="152">
        <v>10003034</v>
      </c>
      <c r="B711" s="10" t="s">
        <v>2945</v>
      </c>
      <c r="C711" s="12" t="s">
        <v>2946</v>
      </c>
      <c r="D711" s="11" t="s">
        <v>670</v>
      </c>
      <c r="E711" s="12" t="s">
        <v>761</v>
      </c>
      <c r="F711" s="13">
        <v>12</v>
      </c>
      <c r="G711" s="22">
        <f>Overview!$B$52</f>
        <v>18</v>
      </c>
      <c r="H711" s="23">
        <f>G711-I711</f>
        <v>18</v>
      </c>
      <c r="I711" s="114">
        <f>Overview!$E$52</f>
        <v>0</v>
      </c>
      <c r="J711" s="24">
        <f>I711/F711</f>
        <v>0</v>
      </c>
      <c r="K711" s="116">
        <f>Overview!$H$52</f>
        <v>0</v>
      </c>
      <c r="L711" s="51" t="e">
        <f>(K711-J711)/K711</f>
        <v>#DIV/0!</v>
      </c>
      <c r="M711" s="179"/>
      <c r="N711" s="179" t="s">
        <v>3170</v>
      </c>
      <c r="O711" s="141">
        <f>I711</f>
        <v>0</v>
      </c>
      <c r="P711" s="181" t="b">
        <f>COUNTIF('Facility Data'!$A$1:$A$1500,"*"&amp;A711&amp;"*")&gt;0</f>
        <v>0</v>
      </c>
      <c r="Q711" s="181" t="b">
        <f>COUNTIF('Account Data'!$A$1:$A$1000,"*"&amp;A711&amp;"*")&gt;0</f>
        <v>0</v>
      </c>
      <c r="R711" s="182" t="b">
        <f>IF(OR(P711=TRUE,T711=TRUE),TRUE,FALSE)</f>
        <v>0</v>
      </c>
      <c r="S711" s="182" t="b">
        <f>IF(OR(Q711=TRUE,T711=TRUE),TRUE,FALSE)</f>
        <v>0</v>
      </c>
      <c r="T711" s="181" t="b">
        <f>COUNTIF('New Items'!$A$1:$A$175,A711)&gt;0</f>
        <v>0</v>
      </c>
      <c r="U711" s="181" t="b">
        <f>COUNTIF(Discontinued!$A$1:$A$150,A711)&gt;0</f>
        <v>0</v>
      </c>
    </row>
    <row r="712" spans="1:21" s="8" customFormat="1" ht="12" thickBot="1" x14ac:dyDescent="0.25">
      <c r="A712" s="152">
        <v>10003032</v>
      </c>
      <c r="B712" s="10" t="s">
        <v>2947</v>
      </c>
      <c r="C712" s="12" t="s">
        <v>2948</v>
      </c>
      <c r="D712" s="11" t="s">
        <v>671</v>
      </c>
      <c r="E712" s="12" t="s">
        <v>761</v>
      </c>
      <c r="F712" s="13">
        <v>12</v>
      </c>
      <c r="G712" s="22">
        <f>Overview!$B$52</f>
        <v>18</v>
      </c>
      <c r="H712" s="23">
        <f>G712-I712</f>
        <v>18</v>
      </c>
      <c r="I712" s="114">
        <f>Overview!$E$52</f>
        <v>0</v>
      </c>
      <c r="J712" s="24">
        <f>I712/F712</f>
        <v>0</v>
      </c>
      <c r="K712" s="116">
        <f>Overview!$H$52</f>
        <v>0</v>
      </c>
      <c r="L712" s="51" t="e">
        <f>(K712-J712)/K712</f>
        <v>#DIV/0!</v>
      </c>
      <c r="M712" s="179"/>
      <c r="N712" s="179" t="s">
        <v>3170</v>
      </c>
      <c r="O712" s="141">
        <f>I712</f>
        <v>0</v>
      </c>
      <c r="P712" s="181" t="b">
        <f>COUNTIF('Facility Data'!$A$1:$A$1500,"*"&amp;A712&amp;"*")&gt;0</f>
        <v>0</v>
      </c>
      <c r="Q712" s="181" t="b">
        <f>COUNTIF('Account Data'!$A$1:$A$1000,"*"&amp;A712&amp;"*")&gt;0</f>
        <v>0</v>
      </c>
      <c r="R712" s="182" t="b">
        <f>IF(OR(P712=TRUE,T712=TRUE),TRUE,FALSE)</f>
        <v>0</v>
      </c>
      <c r="S712" s="182" t="b">
        <f>IF(OR(Q712=TRUE,T712=TRUE),TRUE,FALSE)</f>
        <v>0</v>
      </c>
      <c r="T712" s="181" t="b">
        <f>COUNTIF('New Items'!$A$1:$A$175,A712)&gt;0</f>
        <v>0</v>
      </c>
      <c r="U712" s="181" t="b">
        <f>COUNTIF(Discontinued!$A$1:$A$150,A712)&gt;0</f>
        <v>0</v>
      </c>
    </row>
    <row r="713" spans="1:21" s="8" customFormat="1" ht="13.5" thickBot="1" x14ac:dyDescent="0.25">
      <c r="A713" s="300" t="s">
        <v>3287</v>
      </c>
      <c r="B713" s="301"/>
      <c r="C713" s="301"/>
      <c r="D713" s="301"/>
      <c r="E713" s="301"/>
      <c r="F713" s="301"/>
      <c r="G713" s="301"/>
      <c r="H713" s="301"/>
      <c r="I713" s="301"/>
      <c r="J713" s="301"/>
      <c r="K713" s="301"/>
      <c r="L713" s="302"/>
      <c r="M713" s="179" t="s">
        <v>4361</v>
      </c>
      <c r="N713" s="179" t="s">
        <v>3171</v>
      </c>
      <c r="O713" s="141">
        <f>AVERAGE(O714:O718)</f>
        <v>0</v>
      </c>
      <c r="P713" s="181" t="b">
        <f>COUNTIF(P714:P718,TRUE)&gt;0</f>
        <v>0</v>
      </c>
      <c r="Q713" s="181" t="b">
        <f>COUNTIF(Q714:Q718,TRUE)&gt;0</f>
        <v>0</v>
      </c>
      <c r="R713" s="181" t="b">
        <f>COUNTIF(R714:R718,TRUE)&gt;0</f>
        <v>0</v>
      </c>
      <c r="S713" s="181" t="b">
        <f>COUNTIF(S714:S718,TRUE)&gt;0</f>
        <v>0</v>
      </c>
      <c r="T713" s="181" t="b">
        <f>COUNTIF(T714:T718,TRUE)&gt;0</f>
        <v>0</v>
      </c>
      <c r="U713" s="181"/>
    </row>
    <row r="714" spans="1:21" s="8" customFormat="1" ht="11.25" x14ac:dyDescent="0.2">
      <c r="A714" s="152">
        <v>10001486</v>
      </c>
      <c r="B714" s="10" t="s">
        <v>2832</v>
      </c>
      <c r="C714" s="12" t="s">
        <v>2833</v>
      </c>
      <c r="D714" s="11" t="s">
        <v>668</v>
      </c>
      <c r="E714" s="12" t="s">
        <v>773</v>
      </c>
      <c r="F714" s="13">
        <v>8</v>
      </c>
      <c r="G714" s="22">
        <f>Overview!$B$53</f>
        <v>16</v>
      </c>
      <c r="H714" s="23">
        <f>G714-I714</f>
        <v>16</v>
      </c>
      <c r="I714" s="114">
        <f>Overview!$E$53</f>
        <v>0</v>
      </c>
      <c r="J714" s="24">
        <f>I714/F714</f>
        <v>0</v>
      </c>
      <c r="K714" s="116">
        <f>Overview!$H$53</f>
        <v>0</v>
      </c>
      <c r="L714" s="51" t="e">
        <f>(K714-J714)/K714</f>
        <v>#DIV/0!</v>
      </c>
      <c r="M714" s="179"/>
      <c r="N714" s="179" t="s">
        <v>3171</v>
      </c>
      <c r="O714" s="141">
        <f>I714</f>
        <v>0</v>
      </c>
      <c r="P714" s="181" t="b">
        <f>COUNTIF('Facility Data'!$A$1:$A$1500,"*"&amp;A714&amp;"*")&gt;0</f>
        <v>0</v>
      </c>
      <c r="Q714" s="181" t="b">
        <f>COUNTIF('Account Data'!$A$1:$A$1000,"*"&amp;A714&amp;"*")&gt;0</f>
        <v>0</v>
      </c>
      <c r="R714" s="182" t="b">
        <f>IF(OR(P714=TRUE,T714=TRUE),TRUE,FALSE)</f>
        <v>0</v>
      </c>
      <c r="S714" s="182" t="b">
        <f>IF(OR(Q714=TRUE,T714=TRUE),TRUE,FALSE)</f>
        <v>0</v>
      </c>
      <c r="T714" s="181" t="b">
        <f>COUNTIF('New Items'!$A$1:$A$175,A714)&gt;0</f>
        <v>0</v>
      </c>
      <c r="U714" s="181" t="b">
        <f>COUNTIF(Discontinued!$A$1:$A$150,A714)&gt;0</f>
        <v>0</v>
      </c>
    </row>
    <row r="715" spans="1:21" s="8" customFormat="1" ht="11.25" x14ac:dyDescent="0.2">
      <c r="A715" s="152">
        <v>10001489</v>
      </c>
      <c r="B715" s="10" t="s">
        <v>2834</v>
      </c>
      <c r="C715" s="12" t="s">
        <v>2835</v>
      </c>
      <c r="D715" s="11" t="s">
        <v>669</v>
      </c>
      <c r="E715" s="12" t="s">
        <v>773</v>
      </c>
      <c r="F715" s="13">
        <v>8</v>
      </c>
      <c r="G715" s="22">
        <f>Overview!$B$53</f>
        <v>16</v>
      </c>
      <c r="H715" s="23">
        <f>G715-I715</f>
        <v>16</v>
      </c>
      <c r="I715" s="114">
        <f>Overview!$E$53</f>
        <v>0</v>
      </c>
      <c r="J715" s="52">
        <f>I715/F715</f>
        <v>0</v>
      </c>
      <c r="K715" s="116">
        <f>Overview!$H$53</f>
        <v>0</v>
      </c>
      <c r="L715" s="51" t="e">
        <f>(K715-J715)/K715</f>
        <v>#DIV/0!</v>
      </c>
      <c r="M715" s="179"/>
      <c r="N715" s="179" t="s">
        <v>3171</v>
      </c>
      <c r="O715" s="141">
        <f>I715</f>
        <v>0</v>
      </c>
      <c r="P715" s="181" t="b">
        <f>COUNTIF('Facility Data'!$A$1:$A$1500,"*"&amp;A715&amp;"*")&gt;0</f>
        <v>0</v>
      </c>
      <c r="Q715" s="181" t="b">
        <f>COUNTIF('Account Data'!$A$1:$A$1000,"*"&amp;A715&amp;"*")&gt;0</f>
        <v>0</v>
      </c>
      <c r="R715" s="182" t="b">
        <f>IF(OR(P715=TRUE,T715=TRUE),TRUE,FALSE)</f>
        <v>0</v>
      </c>
      <c r="S715" s="182" t="b">
        <f>IF(OR(Q715=TRUE,T715=TRUE),TRUE,FALSE)</f>
        <v>0</v>
      </c>
      <c r="T715" s="181" t="b">
        <f>COUNTIF('New Items'!$A$1:$A$175,A715)&gt;0</f>
        <v>0</v>
      </c>
      <c r="U715" s="181" t="b">
        <f>COUNTIF(Discontinued!$A$1:$A$150,A715)&gt;0</f>
        <v>0</v>
      </c>
    </row>
    <row r="716" spans="1:21" s="8" customFormat="1" ht="11.25" x14ac:dyDescent="0.2">
      <c r="A716" s="152">
        <v>10001490</v>
      </c>
      <c r="B716" s="10" t="s">
        <v>2840</v>
      </c>
      <c r="C716" s="12" t="s">
        <v>2841</v>
      </c>
      <c r="D716" s="11" t="s">
        <v>670</v>
      </c>
      <c r="E716" s="12" t="s">
        <v>773</v>
      </c>
      <c r="F716" s="13">
        <v>8</v>
      </c>
      <c r="G716" s="22">
        <f>Overview!$B$53</f>
        <v>16</v>
      </c>
      <c r="H716" s="23">
        <f>G716-I716</f>
        <v>16</v>
      </c>
      <c r="I716" s="114">
        <f>Overview!$E$53</f>
        <v>0</v>
      </c>
      <c r="J716" s="52">
        <f>I716/F716</f>
        <v>0</v>
      </c>
      <c r="K716" s="116">
        <f>Overview!$H$53</f>
        <v>0</v>
      </c>
      <c r="L716" s="51" t="e">
        <f>(K716-J716)/K716</f>
        <v>#DIV/0!</v>
      </c>
      <c r="M716" s="179"/>
      <c r="N716" s="179" t="s">
        <v>3171</v>
      </c>
      <c r="O716" s="141">
        <f>I716</f>
        <v>0</v>
      </c>
      <c r="P716" s="181" t="b">
        <f>COUNTIF('Facility Data'!$A$1:$A$1500,"*"&amp;A716&amp;"*")&gt;0</f>
        <v>0</v>
      </c>
      <c r="Q716" s="181" t="b">
        <f>COUNTIF('Account Data'!$A$1:$A$1000,"*"&amp;A716&amp;"*")&gt;0</f>
        <v>0</v>
      </c>
      <c r="R716" s="182" t="b">
        <f>IF(OR(P716=TRUE,T716=TRUE),TRUE,FALSE)</f>
        <v>0</v>
      </c>
      <c r="S716" s="182" t="b">
        <f>IF(OR(Q716=TRUE,T716=TRUE),TRUE,FALSE)</f>
        <v>0</v>
      </c>
      <c r="T716" s="181" t="b">
        <f>COUNTIF('New Items'!$A$1:$A$175,A716)&gt;0</f>
        <v>0</v>
      </c>
      <c r="U716" s="181" t="b">
        <f>COUNTIF(Discontinued!$A$1:$A$150,A716)&gt;0</f>
        <v>0</v>
      </c>
    </row>
    <row r="717" spans="1:21" s="8" customFormat="1" ht="11.25" x14ac:dyDescent="0.2">
      <c r="A717" s="152">
        <v>10001766</v>
      </c>
      <c r="B717" s="10" t="s">
        <v>2836</v>
      </c>
      <c r="C717" s="12" t="s">
        <v>2837</v>
      </c>
      <c r="D717" s="11" t="s">
        <v>671</v>
      </c>
      <c r="E717" s="12" t="s">
        <v>773</v>
      </c>
      <c r="F717" s="13">
        <v>8</v>
      </c>
      <c r="G717" s="22">
        <f>Overview!$B$53</f>
        <v>16</v>
      </c>
      <c r="H717" s="23">
        <f>G717-I717</f>
        <v>16</v>
      </c>
      <c r="I717" s="114">
        <f>Overview!$E$53</f>
        <v>0</v>
      </c>
      <c r="J717" s="52">
        <f>I717/F717</f>
        <v>0</v>
      </c>
      <c r="K717" s="116">
        <f>Overview!$H$53</f>
        <v>0</v>
      </c>
      <c r="L717" s="51" t="e">
        <f>(K717-J717)/K717</f>
        <v>#DIV/0!</v>
      </c>
      <c r="M717" s="179"/>
      <c r="N717" s="179" t="s">
        <v>3171</v>
      </c>
      <c r="O717" s="141">
        <f>I717</f>
        <v>0</v>
      </c>
      <c r="P717" s="181" t="b">
        <f>COUNTIF('Facility Data'!$A$1:$A$1500,"*"&amp;A717&amp;"*")&gt;0</f>
        <v>0</v>
      </c>
      <c r="Q717" s="181" t="b">
        <f>COUNTIF('Account Data'!$A$1:$A$1000,"*"&amp;A717&amp;"*")&gt;0</f>
        <v>0</v>
      </c>
      <c r="R717" s="182" t="b">
        <f>IF(OR(P717=TRUE,T717=TRUE),TRUE,FALSE)</f>
        <v>0</v>
      </c>
      <c r="S717" s="182" t="b">
        <f>IF(OR(Q717=TRUE,T717=TRUE),TRUE,FALSE)</f>
        <v>0</v>
      </c>
      <c r="T717" s="181" t="b">
        <f>COUNTIF('New Items'!$A$1:$A$175,A717)&gt;0</f>
        <v>0</v>
      </c>
      <c r="U717" s="181" t="b">
        <f>COUNTIF(Discontinued!$A$1:$A$150,A717)&gt;0</f>
        <v>0</v>
      </c>
    </row>
    <row r="718" spans="1:21" s="8" customFormat="1" ht="12" thickBot="1" x14ac:dyDescent="0.25">
      <c r="A718" s="152">
        <v>10000109</v>
      </c>
      <c r="B718" s="10" t="s">
        <v>2838</v>
      </c>
      <c r="C718" s="12" t="s">
        <v>2839</v>
      </c>
      <c r="D718" s="11" t="s">
        <v>2842</v>
      </c>
      <c r="E718" s="12" t="s">
        <v>773</v>
      </c>
      <c r="F718" s="13">
        <v>8</v>
      </c>
      <c r="G718" s="22">
        <f>Overview!$B$53</f>
        <v>16</v>
      </c>
      <c r="H718" s="23">
        <f>G718-I718</f>
        <v>16</v>
      </c>
      <c r="I718" s="114">
        <f>Overview!$E$53</f>
        <v>0</v>
      </c>
      <c r="J718" s="52">
        <f>I718/F718</f>
        <v>0</v>
      </c>
      <c r="K718" s="116">
        <f>Overview!$H$53</f>
        <v>0</v>
      </c>
      <c r="L718" s="51" t="e">
        <f>(K718-J718)/K718</f>
        <v>#DIV/0!</v>
      </c>
      <c r="M718" s="179"/>
      <c r="N718" s="179" t="s">
        <v>3171</v>
      </c>
      <c r="O718" s="141">
        <f>I718</f>
        <v>0</v>
      </c>
      <c r="P718" s="181" t="b">
        <f>COUNTIF('Facility Data'!$A$1:$A$1500,"*"&amp;A718&amp;"*")&gt;0</f>
        <v>0</v>
      </c>
      <c r="Q718" s="181" t="b">
        <f>COUNTIF('Account Data'!$A$1:$A$1000,"*"&amp;A718&amp;"*")&gt;0</f>
        <v>0</v>
      </c>
      <c r="R718" s="182" t="b">
        <f>IF(OR(P718=TRUE,T718=TRUE),TRUE,FALSE)</f>
        <v>0</v>
      </c>
      <c r="S718" s="182" t="b">
        <f>IF(OR(Q718=TRUE,T718=TRUE),TRUE,FALSE)</f>
        <v>0</v>
      </c>
      <c r="T718" s="181" t="b">
        <f>COUNTIF('New Items'!$A$1:$A$175,A718)&gt;0</f>
        <v>0</v>
      </c>
      <c r="U718" s="181" t="b">
        <f>COUNTIF(Discontinued!$A$1:$A$150,A718)&gt;0</f>
        <v>0</v>
      </c>
    </row>
    <row r="719" spans="1:21" s="8" customFormat="1" ht="13.5" thickBot="1" x14ac:dyDescent="0.25">
      <c r="A719" s="300" t="s">
        <v>4151</v>
      </c>
      <c r="B719" s="301"/>
      <c r="C719" s="301"/>
      <c r="D719" s="301"/>
      <c r="E719" s="301"/>
      <c r="F719" s="301"/>
      <c r="G719" s="301"/>
      <c r="H719" s="301"/>
      <c r="I719" s="301"/>
      <c r="J719" s="301"/>
      <c r="K719" s="301"/>
      <c r="L719" s="302"/>
      <c r="M719" s="179" t="s">
        <v>4361</v>
      </c>
      <c r="N719" s="179" t="s">
        <v>4152</v>
      </c>
      <c r="O719" s="141">
        <f>AVERAGE(O720:O722)</f>
        <v>0</v>
      </c>
      <c r="P719" s="181" t="b">
        <f>COUNTIF(P720:P722,TRUE)&gt;0</f>
        <v>0</v>
      </c>
      <c r="Q719" s="181" t="b">
        <f>COUNTIF(Q720:Q722,TRUE)&gt;0</f>
        <v>0</v>
      </c>
      <c r="R719" s="181" t="b">
        <f>COUNTIF(R720:R722,TRUE)&gt;0</f>
        <v>0</v>
      </c>
      <c r="S719" s="181" t="b">
        <f>COUNTIF(S720:S722,TRUE)&gt;0</f>
        <v>0</v>
      </c>
      <c r="T719" s="181" t="b">
        <f>COUNTIF(T720:T722,TRUE)&gt;0</f>
        <v>0</v>
      </c>
      <c r="U719" s="181"/>
    </row>
    <row r="720" spans="1:21" s="8" customFormat="1" ht="11.25" x14ac:dyDescent="0.2">
      <c r="A720" s="152">
        <v>20004217</v>
      </c>
      <c r="B720" s="10" t="s">
        <v>2853</v>
      </c>
      <c r="C720" s="12" t="s">
        <v>2833</v>
      </c>
      <c r="D720" s="11" t="s">
        <v>668</v>
      </c>
      <c r="E720" s="12" t="s">
        <v>773</v>
      </c>
      <c r="F720" s="13">
        <v>6</v>
      </c>
      <c r="G720" s="22">
        <f>Overview!$B$54</f>
        <v>16</v>
      </c>
      <c r="H720" s="23">
        <f>G720-I720</f>
        <v>16</v>
      </c>
      <c r="I720" s="114">
        <f>Overview!$E$54</f>
        <v>0</v>
      </c>
      <c r="J720" s="24">
        <f>I720/F720</f>
        <v>0</v>
      </c>
      <c r="K720" s="116">
        <f>Overview!$H$54</f>
        <v>0</v>
      </c>
      <c r="L720" s="51" t="e">
        <f>(K720-J720)/K720</f>
        <v>#DIV/0!</v>
      </c>
      <c r="M720" s="179"/>
      <c r="N720" s="179" t="s">
        <v>4152</v>
      </c>
      <c r="O720" s="141">
        <f>I720</f>
        <v>0</v>
      </c>
      <c r="P720" s="181" t="b">
        <f>COUNTIF('Facility Data'!$A$1:$A$1500,"*"&amp;A720&amp;"*")&gt;0</f>
        <v>0</v>
      </c>
      <c r="Q720" s="181" t="b">
        <f>COUNTIF('Account Data'!$A$1:$A$1000,"*"&amp;A720&amp;"*")&gt;0</f>
        <v>0</v>
      </c>
      <c r="R720" s="182" t="b">
        <f>IF(OR(P720=TRUE,T720=TRUE),TRUE,FALSE)</f>
        <v>0</v>
      </c>
      <c r="S720" s="182" t="b">
        <f>IF(OR(Q720=TRUE,T720=TRUE),TRUE,FALSE)</f>
        <v>0</v>
      </c>
      <c r="T720" s="181" t="b">
        <f>COUNTIF('New Items'!$A$1:$A$175,A720)&gt;0</f>
        <v>0</v>
      </c>
      <c r="U720" s="181" t="b">
        <f>COUNTIF(Discontinued!$A$1:$A$150,A720)&gt;0</f>
        <v>0</v>
      </c>
    </row>
    <row r="721" spans="1:21" s="8" customFormat="1" ht="11.25" x14ac:dyDescent="0.2">
      <c r="A721" s="152">
        <v>20004219</v>
      </c>
      <c r="B721" s="10" t="s">
        <v>2854</v>
      </c>
      <c r="C721" s="12" t="s">
        <v>2835</v>
      </c>
      <c r="D721" s="11" t="s">
        <v>669</v>
      </c>
      <c r="E721" s="12" t="s">
        <v>773</v>
      </c>
      <c r="F721" s="13">
        <v>6</v>
      </c>
      <c r="G721" s="22">
        <f>Overview!$B$54</f>
        <v>16</v>
      </c>
      <c r="H721" s="23">
        <f>G721-I721</f>
        <v>16</v>
      </c>
      <c r="I721" s="114">
        <f>Overview!$E$54</f>
        <v>0</v>
      </c>
      <c r="J721" s="52">
        <f>I721/F721</f>
        <v>0</v>
      </c>
      <c r="K721" s="116">
        <f>Overview!$H$54</f>
        <v>0</v>
      </c>
      <c r="L721" s="51" t="e">
        <f>(K721-J721)/K721</f>
        <v>#DIV/0!</v>
      </c>
      <c r="M721" s="179"/>
      <c r="N721" s="179" t="s">
        <v>4152</v>
      </c>
      <c r="O721" s="141">
        <f>I721</f>
        <v>0</v>
      </c>
      <c r="P721" s="181" t="b">
        <f>COUNTIF('Facility Data'!$A$1:$A$1500,"*"&amp;A721&amp;"*")&gt;0</f>
        <v>0</v>
      </c>
      <c r="Q721" s="181" t="b">
        <f>COUNTIF('Account Data'!$A$1:$A$1000,"*"&amp;A721&amp;"*")&gt;0</f>
        <v>0</v>
      </c>
      <c r="R721" s="182" t="b">
        <f>IF(OR(P721=TRUE,T721=TRUE),TRUE,FALSE)</f>
        <v>0</v>
      </c>
      <c r="S721" s="182" t="b">
        <f>IF(OR(Q721=TRUE,T721=TRUE),TRUE,FALSE)</f>
        <v>0</v>
      </c>
      <c r="T721" s="181" t="b">
        <f>COUNTIF('New Items'!$A$1:$A$175,A721)&gt;0</f>
        <v>0</v>
      </c>
      <c r="U721" s="181" t="b">
        <f>COUNTIF(Discontinued!$A$1:$A$150,A721)&gt;0</f>
        <v>0</v>
      </c>
    </row>
    <row r="722" spans="1:21" s="8" customFormat="1" ht="12" thickBot="1" x14ac:dyDescent="0.25">
      <c r="A722" s="152">
        <v>20004216</v>
      </c>
      <c r="B722" s="10" t="s">
        <v>2855</v>
      </c>
      <c r="C722" s="12" t="s">
        <v>2837</v>
      </c>
      <c r="D722" s="11" t="s">
        <v>671</v>
      </c>
      <c r="E722" s="12" t="s">
        <v>773</v>
      </c>
      <c r="F722" s="13">
        <v>6</v>
      </c>
      <c r="G722" s="22">
        <f>Overview!$B$54</f>
        <v>16</v>
      </c>
      <c r="H722" s="23">
        <f>G722-I722</f>
        <v>16</v>
      </c>
      <c r="I722" s="114">
        <f>Overview!$E$54</f>
        <v>0</v>
      </c>
      <c r="J722" s="52">
        <f>I722/F722</f>
        <v>0</v>
      </c>
      <c r="K722" s="116">
        <f>Overview!$H$54</f>
        <v>0</v>
      </c>
      <c r="L722" s="51" t="e">
        <f>(K722-J722)/K722</f>
        <v>#DIV/0!</v>
      </c>
      <c r="M722" s="179"/>
      <c r="N722" s="179" t="s">
        <v>4152</v>
      </c>
      <c r="O722" s="141">
        <f>I722</f>
        <v>0</v>
      </c>
      <c r="P722" s="181" t="b">
        <f>COUNTIF('Facility Data'!$A$1:$A$1500,"*"&amp;A722&amp;"*")&gt;0</f>
        <v>0</v>
      </c>
      <c r="Q722" s="181" t="b">
        <f>COUNTIF('Account Data'!$A$1:$A$1000,"*"&amp;A722&amp;"*")&gt;0</f>
        <v>0</v>
      </c>
      <c r="R722" s="182" t="b">
        <f>IF(OR(P722=TRUE,T722=TRUE),TRUE,FALSE)</f>
        <v>0</v>
      </c>
      <c r="S722" s="182" t="b">
        <f>IF(OR(Q722=TRUE,T722=TRUE),TRUE,FALSE)</f>
        <v>0</v>
      </c>
      <c r="T722" s="181" t="b">
        <f>COUNTIF('New Items'!$A$1:$A$175,A722)&gt;0</f>
        <v>0</v>
      </c>
      <c r="U722" s="181" t="b">
        <f>COUNTIF(Discontinued!$A$1:$A$150,A722)&gt;0</f>
        <v>0</v>
      </c>
    </row>
    <row r="723" spans="1:21" s="8" customFormat="1" ht="13.5" thickBot="1" x14ac:dyDescent="0.25">
      <c r="A723" s="300" t="s">
        <v>1002</v>
      </c>
      <c r="B723" s="301"/>
      <c r="C723" s="301"/>
      <c r="D723" s="301"/>
      <c r="E723" s="301"/>
      <c r="F723" s="301"/>
      <c r="G723" s="301"/>
      <c r="H723" s="301"/>
      <c r="I723" s="301"/>
      <c r="J723" s="301"/>
      <c r="K723" s="301"/>
      <c r="L723" s="302"/>
      <c r="M723" s="179" t="s">
        <v>4361</v>
      </c>
      <c r="N723" s="179" t="s">
        <v>3174</v>
      </c>
      <c r="O723" s="141">
        <f>AVERAGE(O724:O728)</f>
        <v>0</v>
      </c>
      <c r="P723" s="181" t="b">
        <f>COUNTIF(P724:P728,TRUE)&gt;0</f>
        <v>1</v>
      </c>
      <c r="Q723" s="181" t="b">
        <f>COUNTIF(Q724:Q728,TRUE)&gt;0</f>
        <v>1</v>
      </c>
      <c r="R723" s="181" t="b">
        <f>COUNTIF(R724:R728,TRUE)&gt;0</f>
        <v>1</v>
      </c>
      <c r="S723" s="181" t="b">
        <f>COUNTIF(S724:S728,TRUE)&gt;0</f>
        <v>1</v>
      </c>
      <c r="T723" s="181" t="b">
        <f>COUNTIF(T724:T728,TRUE)&gt;0</f>
        <v>0</v>
      </c>
      <c r="U723" s="181"/>
    </row>
    <row r="724" spans="1:21" s="8" customFormat="1" ht="11.25" x14ac:dyDescent="0.2">
      <c r="A724" s="152">
        <v>10114958</v>
      </c>
      <c r="B724" s="10" t="s">
        <v>1003</v>
      </c>
      <c r="C724" s="118" t="s">
        <v>1007</v>
      </c>
      <c r="D724" s="119" t="s">
        <v>675</v>
      </c>
      <c r="E724" s="118" t="s">
        <v>776</v>
      </c>
      <c r="F724" s="120">
        <v>4</v>
      </c>
      <c r="G724" s="22">
        <f>Overview!$B$55</f>
        <v>24</v>
      </c>
      <c r="H724" s="23">
        <f>G724-I724</f>
        <v>24</v>
      </c>
      <c r="I724" s="114">
        <f>Overview!$E$55</f>
        <v>0</v>
      </c>
      <c r="J724" s="24">
        <f>I724/F724</f>
        <v>0</v>
      </c>
      <c r="K724" s="116">
        <f>Overview!$H$55</f>
        <v>0</v>
      </c>
      <c r="L724" s="51" t="e">
        <f>(K724-J724)/K724</f>
        <v>#DIV/0!</v>
      </c>
      <c r="M724" s="179"/>
      <c r="N724" s="179" t="s">
        <v>3174</v>
      </c>
      <c r="O724" s="141">
        <f>I724</f>
        <v>0</v>
      </c>
      <c r="P724" s="181" t="b">
        <f>COUNTIF('Facility Data'!$A$1:$A$1500,"*"&amp;A724&amp;"*")&gt;0</f>
        <v>1</v>
      </c>
      <c r="Q724" s="181" t="b">
        <f>COUNTIF('Account Data'!$A$1:$A$1000,"*"&amp;A724&amp;"*")&gt;0</f>
        <v>1</v>
      </c>
      <c r="R724" s="182" t="b">
        <f>IF(OR(P724=TRUE,T724=TRUE),TRUE,FALSE)</f>
        <v>1</v>
      </c>
      <c r="S724" s="182" t="b">
        <f>IF(OR(Q724=TRUE,T724=TRUE),TRUE,FALSE)</f>
        <v>1</v>
      </c>
      <c r="T724" s="181" t="b">
        <f>COUNTIF('New Items'!$A$1:$A$175,A724)&gt;0</f>
        <v>0</v>
      </c>
      <c r="U724" s="181" t="b">
        <f>COUNTIF(Discontinued!$A$1:$A$150,A724)&gt;0</f>
        <v>0</v>
      </c>
    </row>
    <row r="725" spans="1:21" s="8" customFormat="1" ht="11.25" x14ac:dyDescent="0.2">
      <c r="A725" s="152">
        <v>10114953</v>
      </c>
      <c r="B725" s="10" t="s">
        <v>1004</v>
      </c>
      <c r="C725" s="118" t="s">
        <v>1008</v>
      </c>
      <c r="D725" s="119" t="s">
        <v>676</v>
      </c>
      <c r="E725" s="118" t="s">
        <v>776</v>
      </c>
      <c r="F725" s="120">
        <v>4</v>
      </c>
      <c r="G725" s="22">
        <f>Overview!$B$55</f>
        <v>24</v>
      </c>
      <c r="H725" s="114">
        <f>G725-I725</f>
        <v>24</v>
      </c>
      <c r="I725" s="114">
        <f>Overview!$E$55</f>
        <v>0</v>
      </c>
      <c r="J725" s="115">
        <f>I725/F725</f>
        <v>0</v>
      </c>
      <c r="K725" s="116">
        <f>Overview!$H$55</f>
        <v>0</v>
      </c>
      <c r="L725" s="117" t="e">
        <f>(K725-J725)/K725</f>
        <v>#DIV/0!</v>
      </c>
      <c r="M725" s="179"/>
      <c r="N725" s="179" t="s">
        <v>3174</v>
      </c>
      <c r="O725" s="141">
        <f>I725</f>
        <v>0</v>
      </c>
      <c r="P725" s="181" t="b">
        <f>COUNTIF('Facility Data'!$A$1:$A$1500,"*"&amp;A725&amp;"*")&gt;0</f>
        <v>0</v>
      </c>
      <c r="Q725" s="181" t="b">
        <f>COUNTIF('Account Data'!$A$1:$A$1000,"*"&amp;A725&amp;"*")&gt;0</f>
        <v>1</v>
      </c>
      <c r="R725" s="182" t="b">
        <f>IF(OR(P725=TRUE,T725=TRUE),TRUE,FALSE)</f>
        <v>0</v>
      </c>
      <c r="S725" s="182" t="b">
        <f>IF(OR(Q725=TRUE,T725=TRUE),TRUE,FALSE)</f>
        <v>1</v>
      </c>
      <c r="T725" s="181" t="b">
        <f>COUNTIF('New Items'!$A$1:$A$175,A725)&gt;0</f>
        <v>0</v>
      </c>
      <c r="U725" s="181" t="b">
        <f>COUNTIF(Discontinued!$A$1:$A$150,A725)&gt;0</f>
        <v>0</v>
      </c>
    </row>
    <row r="726" spans="1:21" s="8" customFormat="1" ht="11.25" x14ac:dyDescent="0.2">
      <c r="A726" s="152">
        <v>10114955</v>
      </c>
      <c r="B726" s="10" t="s">
        <v>1005</v>
      </c>
      <c r="C726" s="118" t="s">
        <v>1009</v>
      </c>
      <c r="D726" s="119" t="s">
        <v>677</v>
      </c>
      <c r="E726" s="118" t="s">
        <v>776</v>
      </c>
      <c r="F726" s="120">
        <v>4</v>
      </c>
      <c r="G726" s="22">
        <f>Overview!$B$55</f>
        <v>24</v>
      </c>
      <c r="H726" s="114">
        <f>G726-I726</f>
        <v>24</v>
      </c>
      <c r="I726" s="114">
        <f>Overview!$E$55</f>
        <v>0</v>
      </c>
      <c r="J726" s="115">
        <f>I726/F726</f>
        <v>0</v>
      </c>
      <c r="K726" s="116">
        <f>Overview!$H$55</f>
        <v>0</v>
      </c>
      <c r="L726" s="117" t="e">
        <f>(K726-J726)/K726</f>
        <v>#DIV/0!</v>
      </c>
      <c r="M726" s="179"/>
      <c r="N726" s="179" t="s">
        <v>3174</v>
      </c>
      <c r="O726" s="141">
        <f>I726</f>
        <v>0</v>
      </c>
      <c r="P726" s="181" t="b">
        <f>COUNTIF('Facility Data'!$A$1:$A$1500,"*"&amp;A726&amp;"*")&gt;0</f>
        <v>1</v>
      </c>
      <c r="Q726" s="181" t="b">
        <f>COUNTIF('Account Data'!$A$1:$A$1000,"*"&amp;A726&amp;"*")&gt;0</f>
        <v>1</v>
      </c>
      <c r="R726" s="182" t="b">
        <f>IF(OR(P726=TRUE,T726=TRUE),TRUE,FALSE)</f>
        <v>1</v>
      </c>
      <c r="S726" s="182" t="b">
        <f>IF(OR(Q726=TRUE,T726=TRUE),TRUE,FALSE)</f>
        <v>1</v>
      </c>
      <c r="T726" s="181" t="b">
        <f>COUNTIF('New Items'!$A$1:$A$175,A726)&gt;0</f>
        <v>0</v>
      </c>
      <c r="U726" s="181" t="b">
        <f>COUNTIF(Discontinued!$A$1:$A$150,A726)&gt;0</f>
        <v>0</v>
      </c>
    </row>
    <row r="727" spans="1:21" s="8" customFormat="1" ht="11.25" x14ac:dyDescent="0.2">
      <c r="A727" s="152">
        <v>10114954</v>
      </c>
      <c r="B727" s="10" t="s">
        <v>1006</v>
      </c>
      <c r="C727" s="118" t="s">
        <v>1010</v>
      </c>
      <c r="D727" s="119" t="s">
        <v>652</v>
      </c>
      <c r="E727" s="118" t="s">
        <v>776</v>
      </c>
      <c r="F727" s="120">
        <v>4</v>
      </c>
      <c r="G727" s="22">
        <f>Overview!$B$55</f>
        <v>24</v>
      </c>
      <c r="H727" s="114">
        <f>G727-I727</f>
        <v>24</v>
      </c>
      <c r="I727" s="114">
        <f>Overview!$E$55</f>
        <v>0</v>
      </c>
      <c r="J727" s="115">
        <f>I727/F727</f>
        <v>0</v>
      </c>
      <c r="K727" s="116">
        <f>Overview!$H$55</f>
        <v>0</v>
      </c>
      <c r="L727" s="117" t="e">
        <f>(K727-J727)/K727</f>
        <v>#DIV/0!</v>
      </c>
      <c r="M727" s="179"/>
      <c r="N727" s="179" t="s">
        <v>3174</v>
      </c>
      <c r="O727" s="141">
        <f>I727</f>
        <v>0</v>
      </c>
      <c r="P727" s="181" t="b">
        <f>COUNTIF('Facility Data'!$A$1:$A$1500,"*"&amp;A727&amp;"*")&gt;0</f>
        <v>1</v>
      </c>
      <c r="Q727" s="181" t="b">
        <f>COUNTIF('Account Data'!$A$1:$A$1000,"*"&amp;A727&amp;"*")&gt;0</f>
        <v>1</v>
      </c>
      <c r="R727" s="182" t="b">
        <f>IF(OR(P727=TRUE,T727=TRUE),TRUE,FALSE)</f>
        <v>1</v>
      </c>
      <c r="S727" s="182" t="b">
        <f>IF(OR(Q727=TRUE,T727=TRUE),TRUE,FALSE)</f>
        <v>1</v>
      </c>
      <c r="T727" s="181" t="b">
        <f>COUNTIF('New Items'!$A$1:$A$175,A727)&gt;0</f>
        <v>0</v>
      </c>
      <c r="U727" s="181" t="b">
        <f>COUNTIF(Discontinued!$A$1:$A$150,A727)&gt;0</f>
        <v>0</v>
      </c>
    </row>
    <row r="728" spans="1:21" s="8" customFormat="1" ht="12" thickBot="1" x14ac:dyDescent="0.25">
      <c r="A728" s="152">
        <v>10114956</v>
      </c>
      <c r="B728" s="10" t="s">
        <v>2690</v>
      </c>
      <c r="C728" s="118" t="s">
        <v>2691</v>
      </c>
      <c r="D728" s="119" t="s">
        <v>2692</v>
      </c>
      <c r="E728" s="118" t="s">
        <v>776</v>
      </c>
      <c r="F728" s="120">
        <v>4</v>
      </c>
      <c r="G728" s="22">
        <f>Overview!$B$55</f>
        <v>24</v>
      </c>
      <c r="H728" s="114">
        <f>G728-I728</f>
        <v>24</v>
      </c>
      <c r="I728" s="114">
        <f>Overview!$E$55</f>
        <v>0</v>
      </c>
      <c r="J728" s="115">
        <f>I728/F728</f>
        <v>0</v>
      </c>
      <c r="K728" s="116">
        <f>Overview!$H$55</f>
        <v>0</v>
      </c>
      <c r="L728" s="117" t="e">
        <f>(K728-J728)/K728</f>
        <v>#DIV/0!</v>
      </c>
      <c r="M728" s="179"/>
      <c r="N728" s="179" t="s">
        <v>3174</v>
      </c>
      <c r="O728" s="141">
        <f>I728</f>
        <v>0</v>
      </c>
      <c r="P728" s="181" t="b">
        <f>COUNTIF('Facility Data'!$A$1:$A$1500,"*"&amp;A728&amp;"*")&gt;0</f>
        <v>0</v>
      </c>
      <c r="Q728" s="181" t="b">
        <f>COUNTIF('Account Data'!$A$1:$A$1000,"*"&amp;A728&amp;"*")&gt;0</f>
        <v>0</v>
      </c>
      <c r="R728" s="182" t="b">
        <f>IF(OR(P728=TRUE,T728=TRUE),TRUE,FALSE)</f>
        <v>0</v>
      </c>
      <c r="S728" s="182" t="b">
        <f>IF(OR(Q728=TRUE,T728=TRUE),TRUE,FALSE)</f>
        <v>0</v>
      </c>
      <c r="T728" s="181" t="b">
        <f>COUNTIF('New Items'!$A$1:$A$175,A728)&gt;0</f>
        <v>0</v>
      </c>
      <c r="U728" s="181" t="b">
        <f>COUNTIF(Discontinued!$A$1:$A$150,A728)&gt;0</f>
        <v>0</v>
      </c>
    </row>
    <row r="729" spans="1:21" s="8" customFormat="1" ht="13.5" thickBot="1" x14ac:dyDescent="0.25">
      <c r="A729" s="300" t="s">
        <v>2917</v>
      </c>
      <c r="B729" s="301"/>
      <c r="C729" s="301"/>
      <c r="D729" s="301"/>
      <c r="E729" s="301"/>
      <c r="F729" s="301"/>
      <c r="G729" s="301"/>
      <c r="H729" s="301"/>
      <c r="I729" s="301"/>
      <c r="J729" s="301"/>
      <c r="K729" s="301"/>
      <c r="L729" s="302"/>
      <c r="M729" s="179" t="s">
        <v>4361</v>
      </c>
      <c r="N729" s="179" t="s">
        <v>3175</v>
      </c>
      <c r="O729" s="141">
        <f>AVERAGE(O730:O735)</f>
        <v>0</v>
      </c>
      <c r="P729" s="181" t="b">
        <f>COUNTIF(P730:P735,TRUE)&gt;0</f>
        <v>0</v>
      </c>
      <c r="Q729" s="181" t="b">
        <f>COUNTIF(Q730:Q735,TRUE)&gt;0</f>
        <v>1</v>
      </c>
      <c r="R729" s="181" t="b">
        <f>COUNTIF(R730:R735,TRUE)&gt;0</f>
        <v>0</v>
      </c>
      <c r="S729" s="181" t="b">
        <f>COUNTIF(S730:S735,TRUE)&gt;0</f>
        <v>1</v>
      </c>
      <c r="T729" s="181" t="b">
        <f>COUNTIF(T730:T735,TRUE)&gt;0</f>
        <v>0</v>
      </c>
      <c r="U729" s="181"/>
    </row>
    <row r="730" spans="1:21" s="8" customFormat="1" ht="11.25" x14ac:dyDescent="0.2">
      <c r="A730" s="152">
        <v>10000755</v>
      </c>
      <c r="B730" s="10" t="s">
        <v>2260</v>
      </c>
      <c r="C730" s="118" t="s">
        <v>2918</v>
      </c>
      <c r="D730" s="119" t="s">
        <v>675</v>
      </c>
      <c r="E730" s="118" t="s">
        <v>776</v>
      </c>
      <c r="F730" s="120">
        <v>4</v>
      </c>
      <c r="G730" s="22">
        <f>Overview!$B$56</f>
        <v>24</v>
      </c>
      <c r="H730" s="114">
        <f t="shared" ref="H730:H735" si="201">G730-I730</f>
        <v>24</v>
      </c>
      <c r="I730" s="114">
        <f>Overview!$E$56</f>
        <v>0</v>
      </c>
      <c r="J730" s="115">
        <f t="shared" ref="J730:J735" si="202">I730/F730</f>
        <v>0</v>
      </c>
      <c r="K730" s="116">
        <f>Overview!$H$56</f>
        <v>0</v>
      </c>
      <c r="L730" s="117" t="e">
        <f t="shared" ref="L730:L735" si="203">(K730-J730)/K730</f>
        <v>#DIV/0!</v>
      </c>
      <c r="M730" s="179"/>
      <c r="N730" s="179" t="s">
        <v>3175</v>
      </c>
      <c r="O730" s="141">
        <f t="shared" ref="O730:O735" si="204">I730</f>
        <v>0</v>
      </c>
      <c r="P730" s="181" t="b">
        <f>COUNTIF('Facility Data'!$A$1:$A$1500,"*"&amp;A730&amp;"*")&gt;0</f>
        <v>0</v>
      </c>
      <c r="Q730" s="181" t="b">
        <f>COUNTIF('Account Data'!$A$1:$A$1000,"*"&amp;A730&amp;"*")&gt;0</f>
        <v>1</v>
      </c>
      <c r="R730" s="182" t="b">
        <f t="shared" ref="R730:R735" si="205">IF(OR(P730=TRUE,T730=TRUE),TRUE,FALSE)</f>
        <v>0</v>
      </c>
      <c r="S730" s="182" t="b">
        <f t="shared" ref="S730:S735" si="206">IF(OR(Q730=TRUE,T730=TRUE),TRUE,FALSE)</f>
        <v>1</v>
      </c>
      <c r="T730" s="181" t="b">
        <f>COUNTIF('New Items'!$A$1:$A$175,A730)&gt;0</f>
        <v>0</v>
      </c>
      <c r="U730" s="181" t="b">
        <f>COUNTIF(Discontinued!$A$1:$A$150,A730)&gt;0</f>
        <v>0</v>
      </c>
    </row>
    <row r="731" spans="1:21" s="8" customFormat="1" ht="11.25" x14ac:dyDescent="0.2">
      <c r="A731" s="152">
        <v>10000756</v>
      </c>
      <c r="B731" s="10" t="s">
        <v>2919</v>
      </c>
      <c r="C731" s="118" t="s">
        <v>2920</v>
      </c>
      <c r="D731" s="119" t="s">
        <v>676</v>
      </c>
      <c r="E731" s="118" t="s">
        <v>776</v>
      </c>
      <c r="F731" s="120">
        <v>4</v>
      </c>
      <c r="G731" s="22">
        <f>Overview!$B$56</f>
        <v>24</v>
      </c>
      <c r="H731" s="114">
        <f t="shared" si="201"/>
        <v>24</v>
      </c>
      <c r="I731" s="114">
        <f>Overview!$E$56</f>
        <v>0</v>
      </c>
      <c r="J731" s="115">
        <f t="shared" si="202"/>
        <v>0</v>
      </c>
      <c r="K731" s="116">
        <f>Overview!$H$56</f>
        <v>0</v>
      </c>
      <c r="L731" s="117" t="e">
        <f t="shared" si="203"/>
        <v>#DIV/0!</v>
      </c>
      <c r="M731" s="179"/>
      <c r="N731" s="179" t="s">
        <v>3175</v>
      </c>
      <c r="O731" s="141">
        <f t="shared" si="204"/>
        <v>0</v>
      </c>
      <c r="P731" s="181" t="b">
        <f>COUNTIF('Facility Data'!$A$1:$A$1500,"*"&amp;A731&amp;"*")&gt;0</f>
        <v>0</v>
      </c>
      <c r="Q731" s="181" t="b">
        <f>COUNTIF('Account Data'!$A$1:$A$1000,"*"&amp;A731&amp;"*")&gt;0</f>
        <v>1</v>
      </c>
      <c r="R731" s="182" t="b">
        <f t="shared" si="205"/>
        <v>0</v>
      </c>
      <c r="S731" s="182" t="b">
        <f t="shared" si="206"/>
        <v>1</v>
      </c>
      <c r="T731" s="181" t="b">
        <f>COUNTIF('New Items'!$A$1:$A$175,A731)&gt;0</f>
        <v>0</v>
      </c>
      <c r="U731" s="181" t="b">
        <f>COUNTIF(Discontinued!$A$1:$A$150,A731)&gt;0</f>
        <v>0</v>
      </c>
    </row>
    <row r="732" spans="1:21" s="8" customFormat="1" ht="11.25" x14ac:dyDescent="0.2">
      <c r="A732" s="152">
        <v>10000758</v>
      </c>
      <c r="B732" s="10" t="s">
        <v>2921</v>
      </c>
      <c r="C732" s="118" t="s">
        <v>2922</v>
      </c>
      <c r="D732" s="119" t="s">
        <v>677</v>
      </c>
      <c r="E732" s="118" t="s">
        <v>776</v>
      </c>
      <c r="F732" s="120">
        <v>4</v>
      </c>
      <c r="G732" s="22">
        <f>Overview!$B$56</f>
        <v>24</v>
      </c>
      <c r="H732" s="114">
        <f t="shared" si="201"/>
        <v>24</v>
      </c>
      <c r="I732" s="114">
        <f>Overview!$E$56</f>
        <v>0</v>
      </c>
      <c r="J732" s="115">
        <f t="shared" si="202"/>
        <v>0</v>
      </c>
      <c r="K732" s="116">
        <f>Overview!$H$56</f>
        <v>0</v>
      </c>
      <c r="L732" s="117" t="e">
        <f t="shared" si="203"/>
        <v>#DIV/0!</v>
      </c>
      <c r="M732" s="179"/>
      <c r="N732" s="179" t="s">
        <v>3175</v>
      </c>
      <c r="O732" s="141">
        <f t="shared" si="204"/>
        <v>0</v>
      </c>
      <c r="P732" s="181" t="b">
        <f>COUNTIF('Facility Data'!$A$1:$A$1500,"*"&amp;A732&amp;"*")&gt;0</f>
        <v>0</v>
      </c>
      <c r="Q732" s="181" t="b">
        <f>COUNTIF('Account Data'!$A$1:$A$1000,"*"&amp;A732&amp;"*")&gt;0</f>
        <v>1</v>
      </c>
      <c r="R732" s="182" t="b">
        <f t="shared" si="205"/>
        <v>0</v>
      </c>
      <c r="S732" s="182" t="b">
        <f t="shared" si="206"/>
        <v>1</v>
      </c>
      <c r="T732" s="181" t="b">
        <f>COUNTIF('New Items'!$A$1:$A$175,A732)&gt;0</f>
        <v>0</v>
      </c>
      <c r="U732" s="181" t="b">
        <f>COUNTIF(Discontinued!$A$1:$A$150,A732)&gt;0</f>
        <v>0</v>
      </c>
    </row>
    <row r="733" spans="1:21" s="8" customFormat="1" ht="11.25" x14ac:dyDescent="0.2">
      <c r="A733" s="152">
        <v>10000757</v>
      </c>
      <c r="B733" s="10" t="s">
        <v>2923</v>
      </c>
      <c r="C733" s="118" t="s">
        <v>2924</v>
      </c>
      <c r="D733" s="119" t="s">
        <v>652</v>
      </c>
      <c r="E733" s="118" t="s">
        <v>776</v>
      </c>
      <c r="F733" s="120">
        <v>4</v>
      </c>
      <c r="G733" s="22">
        <f>Overview!$B$56</f>
        <v>24</v>
      </c>
      <c r="H733" s="114">
        <f t="shared" si="201"/>
        <v>24</v>
      </c>
      <c r="I733" s="114">
        <f>Overview!$E$56</f>
        <v>0</v>
      </c>
      <c r="J733" s="115">
        <f t="shared" si="202"/>
        <v>0</v>
      </c>
      <c r="K733" s="116">
        <f>Overview!$H$56</f>
        <v>0</v>
      </c>
      <c r="L733" s="117" t="e">
        <f t="shared" si="203"/>
        <v>#DIV/0!</v>
      </c>
      <c r="M733" s="179"/>
      <c r="N733" s="179" t="s">
        <v>3175</v>
      </c>
      <c r="O733" s="141">
        <f t="shared" si="204"/>
        <v>0</v>
      </c>
      <c r="P733" s="181" t="b">
        <f>COUNTIF('Facility Data'!$A$1:$A$1500,"*"&amp;A733&amp;"*")&gt;0</f>
        <v>0</v>
      </c>
      <c r="Q733" s="181" t="b">
        <f>COUNTIF('Account Data'!$A$1:$A$1000,"*"&amp;A733&amp;"*")&gt;0</f>
        <v>1</v>
      </c>
      <c r="R733" s="182" t="b">
        <f t="shared" si="205"/>
        <v>0</v>
      </c>
      <c r="S733" s="182" t="b">
        <f t="shared" si="206"/>
        <v>1</v>
      </c>
      <c r="T733" s="181" t="b">
        <f>COUNTIF('New Items'!$A$1:$A$175,A733)&gt;0</f>
        <v>0</v>
      </c>
      <c r="U733" s="181" t="b">
        <f>COUNTIF(Discontinued!$A$1:$A$150,A733)&gt;0</f>
        <v>0</v>
      </c>
    </row>
    <row r="734" spans="1:21" s="8" customFormat="1" ht="11.25" x14ac:dyDescent="0.2">
      <c r="A734" s="152">
        <v>10003026</v>
      </c>
      <c r="B734" s="10" t="s">
        <v>2925</v>
      </c>
      <c r="C734" s="118" t="s">
        <v>2926</v>
      </c>
      <c r="D734" s="119" t="s">
        <v>2692</v>
      </c>
      <c r="E734" s="118" t="s">
        <v>776</v>
      </c>
      <c r="F734" s="120">
        <v>4</v>
      </c>
      <c r="G734" s="22">
        <f>Overview!$B$56</f>
        <v>24</v>
      </c>
      <c r="H734" s="114">
        <f t="shared" si="201"/>
        <v>24</v>
      </c>
      <c r="I734" s="114">
        <f>Overview!$E$56</f>
        <v>0</v>
      </c>
      <c r="J734" s="115">
        <f t="shared" si="202"/>
        <v>0</v>
      </c>
      <c r="K734" s="116">
        <f>Overview!$H$56</f>
        <v>0</v>
      </c>
      <c r="L734" s="117" t="e">
        <f t="shared" si="203"/>
        <v>#DIV/0!</v>
      </c>
      <c r="M734" s="179"/>
      <c r="N734" s="179" t="s">
        <v>3175</v>
      </c>
      <c r="O734" s="141">
        <f t="shared" si="204"/>
        <v>0</v>
      </c>
      <c r="P734" s="181" t="b">
        <f>COUNTIF('Facility Data'!$A$1:$A$1500,"*"&amp;A734&amp;"*")&gt;0</f>
        <v>0</v>
      </c>
      <c r="Q734" s="181" t="b">
        <f>COUNTIF('Account Data'!$A$1:$A$1000,"*"&amp;A734&amp;"*")&gt;0</f>
        <v>0</v>
      </c>
      <c r="R734" s="182" t="b">
        <f t="shared" si="205"/>
        <v>0</v>
      </c>
      <c r="S734" s="182" t="b">
        <f t="shared" si="206"/>
        <v>0</v>
      </c>
      <c r="T734" s="181" t="b">
        <f>COUNTIF('New Items'!$A$1:$A$175,A734)&gt;0</f>
        <v>0</v>
      </c>
      <c r="U734" s="181" t="b">
        <f>COUNTIF(Discontinued!$A$1:$A$150,A734)&gt;0</f>
        <v>0</v>
      </c>
    </row>
    <row r="735" spans="1:21" s="8" customFormat="1" ht="12" thickBot="1" x14ac:dyDescent="0.25">
      <c r="A735" s="152">
        <v>10000004</v>
      </c>
      <c r="B735" s="10" t="s">
        <v>2927</v>
      </c>
      <c r="C735" s="118" t="s">
        <v>2928</v>
      </c>
      <c r="D735" s="119" t="s">
        <v>668</v>
      </c>
      <c r="E735" s="118" t="s">
        <v>776</v>
      </c>
      <c r="F735" s="120">
        <v>4</v>
      </c>
      <c r="G735" s="22">
        <f>Overview!$B$56</f>
        <v>24</v>
      </c>
      <c r="H735" s="114">
        <f t="shared" si="201"/>
        <v>24</v>
      </c>
      <c r="I735" s="114">
        <f>Overview!$E$56</f>
        <v>0</v>
      </c>
      <c r="J735" s="115">
        <f t="shared" si="202"/>
        <v>0</v>
      </c>
      <c r="K735" s="116">
        <f>Overview!$H$56</f>
        <v>0</v>
      </c>
      <c r="L735" s="117" t="e">
        <f t="shared" si="203"/>
        <v>#DIV/0!</v>
      </c>
      <c r="M735" s="179"/>
      <c r="N735" s="179" t="s">
        <v>3175</v>
      </c>
      <c r="O735" s="141">
        <f t="shared" si="204"/>
        <v>0</v>
      </c>
      <c r="P735" s="181" t="b">
        <f>COUNTIF('Facility Data'!$A$1:$A$1500,"*"&amp;A735&amp;"*")&gt;0</f>
        <v>0</v>
      </c>
      <c r="Q735" s="181" t="b">
        <f>COUNTIF('Account Data'!$A$1:$A$1000,"*"&amp;A735&amp;"*")&gt;0</f>
        <v>0</v>
      </c>
      <c r="R735" s="182" t="b">
        <f t="shared" si="205"/>
        <v>0</v>
      </c>
      <c r="S735" s="182" t="b">
        <f t="shared" si="206"/>
        <v>0</v>
      </c>
      <c r="T735" s="181" t="b">
        <f>COUNTIF('New Items'!$A$1:$A$175,A735)&gt;0</f>
        <v>0</v>
      </c>
      <c r="U735" s="181" t="b">
        <f>COUNTIF(Discontinued!$A$1:$A$150,A735)&gt;0</f>
        <v>0</v>
      </c>
    </row>
    <row r="736" spans="1:21" s="8" customFormat="1" ht="13.5" thickBot="1" x14ac:dyDescent="0.25">
      <c r="A736" s="300" t="s">
        <v>354</v>
      </c>
      <c r="B736" s="301"/>
      <c r="C736" s="301"/>
      <c r="D736" s="301"/>
      <c r="E736" s="301"/>
      <c r="F736" s="301"/>
      <c r="G736" s="301"/>
      <c r="H736" s="301"/>
      <c r="I736" s="301"/>
      <c r="J736" s="301"/>
      <c r="K736" s="301"/>
      <c r="L736" s="302"/>
      <c r="M736" s="179" t="s">
        <v>4361</v>
      </c>
      <c r="N736" s="179" t="s">
        <v>3172</v>
      </c>
      <c r="O736" s="141">
        <f>AVERAGE(O737:O741)</f>
        <v>0</v>
      </c>
      <c r="P736" s="181" t="b">
        <f>COUNTIF(P737:P741,TRUE)&gt;0</f>
        <v>1</v>
      </c>
      <c r="Q736" s="181" t="b">
        <f>COUNTIF(Q737:Q741,TRUE)&gt;0</f>
        <v>1</v>
      </c>
      <c r="R736" s="181" t="b">
        <f>COUNTIF(R737:R741,TRUE)&gt;0</f>
        <v>1</v>
      </c>
      <c r="S736" s="181" t="b">
        <f>COUNTIF(S737:S741,TRUE)&gt;0</f>
        <v>1</v>
      </c>
      <c r="T736" s="181" t="b">
        <f>COUNTIF(T737:T741,TRUE)&gt;0</f>
        <v>0</v>
      </c>
      <c r="U736" s="181"/>
    </row>
    <row r="737" spans="1:21" s="8" customFormat="1" ht="11.25" x14ac:dyDescent="0.2">
      <c r="A737" s="152">
        <v>10000071</v>
      </c>
      <c r="B737" s="10" t="s">
        <v>355</v>
      </c>
      <c r="C737" s="12" t="s">
        <v>356</v>
      </c>
      <c r="D737" s="11" t="s">
        <v>675</v>
      </c>
      <c r="E737" s="12" t="s">
        <v>761</v>
      </c>
      <c r="F737" s="13">
        <v>15</v>
      </c>
      <c r="G737" s="22">
        <f>Overview!$B$57</f>
        <v>24</v>
      </c>
      <c r="H737" s="23">
        <f>G737-I737</f>
        <v>24</v>
      </c>
      <c r="I737" s="114">
        <f>Overview!$E$57</f>
        <v>0</v>
      </c>
      <c r="J737" s="52">
        <f>I737/F737</f>
        <v>0</v>
      </c>
      <c r="K737" s="116">
        <f>Overview!$H$57</f>
        <v>0</v>
      </c>
      <c r="L737" s="51" t="e">
        <f>(K737-J737)/K737</f>
        <v>#DIV/0!</v>
      </c>
      <c r="M737" s="179"/>
      <c r="N737" s="179" t="s">
        <v>3172</v>
      </c>
      <c r="O737" s="141">
        <f>I737</f>
        <v>0</v>
      </c>
      <c r="P737" s="181" t="b">
        <f>COUNTIF('Facility Data'!$A$1:$A$1500,"*"&amp;A737&amp;"*")&gt;0</f>
        <v>1</v>
      </c>
      <c r="Q737" s="181" t="b">
        <f>COUNTIF('Account Data'!$A$1:$A$1000,"*"&amp;A737&amp;"*")&gt;0</f>
        <v>1</v>
      </c>
      <c r="R737" s="182" t="b">
        <f>IF(OR(P737=TRUE,T737=TRUE),TRUE,FALSE)</f>
        <v>1</v>
      </c>
      <c r="S737" s="182" t="b">
        <f>IF(OR(Q737=TRUE,T737=TRUE),TRUE,FALSE)</f>
        <v>1</v>
      </c>
      <c r="T737" s="181" t="b">
        <f>COUNTIF('New Items'!$A$1:$A$175,A737)&gt;0</f>
        <v>0</v>
      </c>
      <c r="U737" s="181" t="b">
        <f>COUNTIF(Discontinued!$A$1:$A$150,A737)&gt;0</f>
        <v>0</v>
      </c>
    </row>
    <row r="738" spans="1:21" s="8" customFormat="1" ht="11.25" x14ac:dyDescent="0.2">
      <c r="A738" s="152">
        <v>10001334</v>
      </c>
      <c r="B738" s="10" t="s">
        <v>357</v>
      </c>
      <c r="C738" s="12" t="s">
        <v>358</v>
      </c>
      <c r="D738" s="11" t="s">
        <v>676</v>
      </c>
      <c r="E738" s="12" t="s">
        <v>761</v>
      </c>
      <c r="F738" s="13">
        <v>15</v>
      </c>
      <c r="G738" s="22">
        <f>Overview!$B$57</f>
        <v>24</v>
      </c>
      <c r="H738" s="23">
        <f>G738-I738</f>
        <v>24</v>
      </c>
      <c r="I738" s="114">
        <f>Overview!$E$57</f>
        <v>0</v>
      </c>
      <c r="J738" s="24">
        <f>I738/F738</f>
        <v>0</v>
      </c>
      <c r="K738" s="116">
        <f>Overview!$H$57</f>
        <v>0</v>
      </c>
      <c r="L738" s="51" t="e">
        <f>(K738-J738)/K738</f>
        <v>#DIV/0!</v>
      </c>
      <c r="M738" s="179"/>
      <c r="N738" s="179" t="s">
        <v>3172</v>
      </c>
      <c r="O738" s="141">
        <f>I738</f>
        <v>0</v>
      </c>
      <c r="P738" s="181" t="b">
        <f>COUNTIF('Facility Data'!$A$1:$A$1500,"*"&amp;A738&amp;"*")&gt;0</f>
        <v>1</v>
      </c>
      <c r="Q738" s="181" t="b">
        <f>COUNTIF('Account Data'!$A$1:$A$1000,"*"&amp;A738&amp;"*")&gt;0</f>
        <v>1</v>
      </c>
      <c r="R738" s="182" t="b">
        <f>IF(OR(P738=TRUE,T738=TRUE),TRUE,FALSE)</f>
        <v>1</v>
      </c>
      <c r="S738" s="182" t="b">
        <f>IF(OR(Q738=TRUE,T738=TRUE),TRUE,FALSE)</f>
        <v>1</v>
      </c>
      <c r="T738" s="181" t="b">
        <f>COUNTIF('New Items'!$A$1:$A$175,A738)&gt;0</f>
        <v>0</v>
      </c>
      <c r="U738" s="181" t="b">
        <f>COUNTIF(Discontinued!$A$1:$A$150,A738)&gt;0</f>
        <v>0</v>
      </c>
    </row>
    <row r="739" spans="1:21" s="8" customFormat="1" ht="11.25" x14ac:dyDescent="0.2">
      <c r="A739" s="152">
        <v>10001336</v>
      </c>
      <c r="B739" s="10" t="s">
        <v>359</v>
      </c>
      <c r="C739" s="12" t="s">
        <v>360</v>
      </c>
      <c r="D739" s="11" t="s">
        <v>677</v>
      </c>
      <c r="E739" s="12" t="s">
        <v>761</v>
      </c>
      <c r="F739" s="13">
        <v>15</v>
      </c>
      <c r="G739" s="22">
        <f>Overview!$B$57</f>
        <v>24</v>
      </c>
      <c r="H739" s="23">
        <f>G739-I739</f>
        <v>24</v>
      </c>
      <c r="I739" s="114">
        <f>Overview!$E$57</f>
        <v>0</v>
      </c>
      <c r="J739" s="24">
        <f>I739/F739</f>
        <v>0</v>
      </c>
      <c r="K739" s="116">
        <f>Overview!$H$57</f>
        <v>0</v>
      </c>
      <c r="L739" s="51" t="e">
        <f>(K739-J739)/K739</f>
        <v>#DIV/0!</v>
      </c>
      <c r="M739" s="179"/>
      <c r="N739" s="179" t="s">
        <v>3172</v>
      </c>
      <c r="O739" s="141">
        <f>I739</f>
        <v>0</v>
      </c>
      <c r="P739" s="181" t="b">
        <f>COUNTIF('Facility Data'!$A$1:$A$1500,"*"&amp;A739&amp;"*")&gt;0</f>
        <v>1</v>
      </c>
      <c r="Q739" s="181" t="b">
        <f>COUNTIF('Account Data'!$A$1:$A$1000,"*"&amp;A739&amp;"*")&gt;0</f>
        <v>1</v>
      </c>
      <c r="R739" s="182" t="b">
        <f>IF(OR(P739=TRUE,T739=TRUE),TRUE,FALSE)</f>
        <v>1</v>
      </c>
      <c r="S739" s="182" t="b">
        <f>IF(OR(Q739=TRUE,T739=TRUE),TRUE,FALSE)</f>
        <v>1</v>
      </c>
      <c r="T739" s="181" t="b">
        <f>COUNTIF('New Items'!$A$1:$A$175,A739)&gt;0</f>
        <v>0</v>
      </c>
      <c r="U739" s="181" t="b">
        <f>COUNTIF(Discontinued!$A$1:$A$150,A739)&gt;0</f>
        <v>0</v>
      </c>
    </row>
    <row r="740" spans="1:21" s="8" customFormat="1" ht="11.25" x14ac:dyDescent="0.2">
      <c r="A740" s="152">
        <v>10001337</v>
      </c>
      <c r="B740" s="10" t="s">
        <v>2432</v>
      </c>
      <c r="C740" s="12" t="s">
        <v>2433</v>
      </c>
      <c r="D740" s="11" t="s">
        <v>2430</v>
      </c>
      <c r="E740" s="12" t="s">
        <v>761</v>
      </c>
      <c r="F740" s="13">
        <v>15</v>
      </c>
      <c r="G740" s="22">
        <f>Overview!$B$57</f>
        <v>24</v>
      </c>
      <c r="H740" s="23">
        <f>G740-I740</f>
        <v>24</v>
      </c>
      <c r="I740" s="114">
        <f>Overview!$E$57</f>
        <v>0</v>
      </c>
      <c r="J740" s="24">
        <f>I740/F740</f>
        <v>0</v>
      </c>
      <c r="K740" s="116">
        <f>Overview!$H$57</f>
        <v>0</v>
      </c>
      <c r="L740" s="51" t="e">
        <f>(K740-J740)/K740</f>
        <v>#DIV/0!</v>
      </c>
      <c r="M740" s="179"/>
      <c r="N740" s="179" t="s">
        <v>3172</v>
      </c>
      <c r="O740" s="141">
        <f>I740</f>
        <v>0</v>
      </c>
      <c r="P740" s="181" t="b">
        <f>COUNTIF('Facility Data'!$A$1:$A$1500,"*"&amp;A740&amp;"*")&gt;0</f>
        <v>0</v>
      </c>
      <c r="Q740" s="181" t="b">
        <f>COUNTIF('Account Data'!$A$1:$A$1000,"*"&amp;A740&amp;"*")&gt;0</f>
        <v>0</v>
      </c>
      <c r="R740" s="182" t="b">
        <f>IF(OR(P740=TRUE,T740=TRUE),TRUE,FALSE)</f>
        <v>0</v>
      </c>
      <c r="S740" s="182" t="b">
        <f>IF(OR(Q740=TRUE,T740=TRUE),TRUE,FALSE)</f>
        <v>0</v>
      </c>
      <c r="T740" s="181" t="b">
        <f>COUNTIF('New Items'!$A$1:$A$175,A740)&gt;0</f>
        <v>0</v>
      </c>
      <c r="U740" s="181" t="b">
        <f>COUNTIF(Discontinued!$A$1:$A$150,A740)&gt;0</f>
        <v>0</v>
      </c>
    </row>
    <row r="741" spans="1:21" s="8" customFormat="1" ht="12" thickBot="1" x14ac:dyDescent="0.25">
      <c r="A741" s="152">
        <v>10084096</v>
      </c>
      <c r="B741" s="10" t="s">
        <v>2434</v>
      </c>
      <c r="C741" s="12" t="s">
        <v>2435</v>
      </c>
      <c r="D741" s="11" t="s">
        <v>2431</v>
      </c>
      <c r="E741" s="12" t="s">
        <v>761</v>
      </c>
      <c r="F741" s="13">
        <v>15</v>
      </c>
      <c r="G741" s="22">
        <f>Overview!$B$57</f>
        <v>24</v>
      </c>
      <c r="H741" s="23">
        <f>G741-I741</f>
        <v>24</v>
      </c>
      <c r="I741" s="114">
        <f>Overview!$E$57</f>
        <v>0</v>
      </c>
      <c r="J741" s="24">
        <f>I741/F741</f>
        <v>0</v>
      </c>
      <c r="K741" s="116">
        <f>Overview!$H$57</f>
        <v>0</v>
      </c>
      <c r="L741" s="51" t="e">
        <f>(K741-J741)/K741</f>
        <v>#DIV/0!</v>
      </c>
      <c r="M741" s="179"/>
      <c r="N741" s="179" t="s">
        <v>3172</v>
      </c>
      <c r="O741" s="141">
        <f>I741</f>
        <v>0</v>
      </c>
      <c r="P741" s="181" t="b">
        <f>COUNTIF('Facility Data'!$A$1:$A$1500,"*"&amp;A741&amp;"*")&gt;0</f>
        <v>0</v>
      </c>
      <c r="Q741" s="181" t="b">
        <f>COUNTIF('Account Data'!$A$1:$A$1000,"*"&amp;A741&amp;"*")&gt;0</f>
        <v>0</v>
      </c>
      <c r="R741" s="182" t="b">
        <f>IF(OR(P741=TRUE,T741=TRUE),TRUE,FALSE)</f>
        <v>0</v>
      </c>
      <c r="S741" s="182" t="b">
        <f>IF(OR(Q741=TRUE,T741=TRUE),TRUE,FALSE)</f>
        <v>0</v>
      </c>
      <c r="T741" s="181" t="b">
        <f>COUNTIF('New Items'!$A$1:$A$175,A741)&gt;0</f>
        <v>0</v>
      </c>
      <c r="U741" s="181" t="b">
        <f>COUNTIF(Discontinued!$A$1:$A$150,A741)&gt;0</f>
        <v>0</v>
      </c>
    </row>
    <row r="742" spans="1:21" s="8" customFormat="1" ht="13.5" thickBot="1" x14ac:dyDescent="0.25">
      <c r="A742" s="300" t="s">
        <v>3166</v>
      </c>
      <c r="B742" s="301"/>
      <c r="C742" s="301"/>
      <c r="D742" s="301"/>
      <c r="E742" s="301"/>
      <c r="F742" s="301"/>
      <c r="G742" s="301"/>
      <c r="H742" s="301"/>
      <c r="I742" s="301"/>
      <c r="J742" s="301"/>
      <c r="K742" s="301"/>
      <c r="L742" s="302"/>
      <c r="M742" s="179" t="s">
        <v>4361</v>
      </c>
      <c r="N742" s="179" t="s">
        <v>3173</v>
      </c>
      <c r="O742" s="141">
        <f>AVERAGE(O743:O747)</f>
        <v>0</v>
      </c>
      <c r="P742" s="181" t="b">
        <f>COUNTIF(P743:P747,TRUE)&gt;0</f>
        <v>0</v>
      </c>
      <c r="Q742" s="181" t="b">
        <f>COUNTIF(Q743:Q747,TRUE)&gt;0</f>
        <v>0</v>
      </c>
      <c r="R742" s="181" t="b">
        <f>COUNTIF(R743:R747,TRUE)&gt;0</f>
        <v>0</v>
      </c>
      <c r="S742" s="181" t="b">
        <f>COUNTIF(S743:S747,TRUE)&gt;0</f>
        <v>0</v>
      </c>
      <c r="T742" s="181" t="b">
        <f>COUNTIF(T743:T747,TRUE)&gt;0</f>
        <v>0</v>
      </c>
      <c r="U742" s="181"/>
    </row>
    <row r="743" spans="1:21" s="8" customFormat="1" ht="11.25" x14ac:dyDescent="0.2">
      <c r="A743" s="152">
        <v>10003030</v>
      </c>
      <c r="B743" s="10" t="s">
        <v>2935</v>
      </c>
      <c r="C743" s="12" t="s">
        <v>204</v>
      </c>
      <c r="D743" s="11" t="s">
        <v>652</v>
      </c>
      <c r="E743" s="12" t="s">
        <v>761</v>
      </c>
      <c r="F743" s="13">
        <v>12</v>
      </c>
      <c r="G743" s="22">
        <f>Overview!$B$58</f>
        <v>18.5</v>
      </c>
      <c r="H743" s="23">
        <f>G743-I743</f>
        <v>18.5</v>
      </c>
      <c r="I743" s="114">
        <f>Overview!$E$58</f>
        <v>0</v>
      </c>
      <c r="J743" s="24">
        <f>I743/F743</f>
        <v>0</v>
      </c>
      <c r="K743" s="116">
        <f>Overview!$H$58</f>
        <v>0</v>
      </c>
      <c r="L743" s="51" t="e">
        <f>(K743-J743)/K743</f>
        <v>#DIV/0!</v>
      </c>
      <c r="M743" s="179"/>
      <c r="N743" s="179" t="s">
        <v>3173</v>
      </c>
      <c r="O743" s="141">
        <f>I743</f>
        <v>0</v>
      </c>
      <c r="P743" s="181" t="b">
        <f>COUNTIF('Facility Data'!$A$1:$A$1500,"*"&amp;A743&amp;"*")&gt;0</f>
        <v>0</v>
      </c>
      <c r="Q743" s="181" t="b">
        <f>COUNTIF('Account Data'!$A$1:$A$1000,"*"&amp;A743&amp;"*")&gt;0</f>
        <v>0</v>
      </c>
      <c r="R743" s="182" t="b">
        <f>IF(OR(P743=TRUE,T743=TRUE),TRUE,FALSE)</f>
        <v>0</v>
      </c>
      <c r="S743" s="182" t="b">
        <f>IF(OR(Q743=TRUE,T743=TRUE),TRUE,FALSE)</f>
        <v>0</v>
      </c>
      <c r="T743" s="181" t="b">
        <f>COUNTIF('New Items'!$A$1:$A$175,A743)&gt;0</f>
        <v>0</v>
      </c>
      <c r="U743" s="181" t="b">
        <f>COUNTIF(Discontinued!$A$1:$A$150,A743)&gt;0</f>
        <v>0</v>
      </c>
    </row>
    <row r="744" spans="1:21" s="8" customFormat="1" ht="11.25" x14ac:dyDescent="0.2">
      <c r="A744" s="152">
        <v>10004677</v>
      </c>
      <c r="B744" s="10" t="s">
        <v>2936</v>
      </c>
      <c r="C744" s="12" t="s">
        <v>2937</v>
      </c>
      <c r="D744" s="11" t="s">
        <v>661</v>
      </c>
      <c r="E744" s="12" t="s">
        <v>761</v>
      </c>
      <c r="F744" s="13">
        <v>12</v>
      </c>
      <c r="G744" s="22">
        <f>Overview!$B$58</f>
        <v>18.5</v>
      </c>
      <c r="H744" s="23">
        <f>G744-I744</f>
        <v>18.5</v>
      </c>
      <c r="I744" s="114">
        <f>Overview!$E$58</f>
        <v>0</v>
      </c>
      <c r="J744" s="24">
        <f>I744/F744</f>
        <v>0</v>
      </c>
      <c r="K744" s="116">
        <f>Overview!$H$58</f>
        <v>0</v>
      </c>
      <c r="L744" s="51" t="e">
        <f>(K744-J744)/K744</f>
        <v>#DIV/0!</v>
      </c>
      <c r="M744" s="179"/>
      <c r="N744" s="179" t="s">
        <v>3173</v>
      </c>
      <c r="O744" s="141">
        <f>I744</f>
        <v>0</v>
      </c>
      <c r="P744" s="181" t="b">
        <f>COUNTIF('Facility Data'!$A$1:$A$1500,"*"&amp;A744&amp;"*")&gt;0</f>
        <v>0</v>
      </c>
      <c r="Q744" s="181" t="b">
        <f>COUNTIF('Account Data'!$A$1:$A$1000,"*"&amp;A744&amp;"*")&gt;0</f>
        <v>0</v>
      </c>
      <c r="R744" s="182" t="b">
        <f>IF(OR(P744=TRUE,T744=TRUE),TRUE,FALSE)</f>
        <v>0</v>
      </c>
      <c r="S744" s="182" t="b">
        <f>IF(OR(Q744=TRUE,T744=TRUE),TRUE,FALSE)</f>
        <v>0</v>
      </c>
      <c r="T744" s="181" t="b">
        <f>COUNTIF('New Items'!$A$1:$A$175,A744)&gt;0</f>
        <v>0</v>
      </c>
      <c r="U744" s="181" t="b">
        <f>COUNTIF(Discontinued!$A$1:$A$150,A744)&gt;0</f>
        <v>0</v>
      </c>
    </row>
    <row r="745" spans="1:21" s="8" customFormat="1" ht="11.25" x14ac:dyDescent="0.2">
      <c r="A745" s="152">
        <v>10003036</v>
      </c>
      <c r="B745" s="10" t="s">
        <v>2938</v>
      </c>
      <c r="C745" s="12" t="s">
        <v>356</v>
      </c>
      <c r="D745" s="11" t="s">
        <v>675</v>
      </c>
      <c r="E745" s="12" t="s">
        <v>761</v>
      </c>
      <c r="F745" s="13">
        <v>12</v>
      </c>
      <c r="G745" s="22">
        <f>Overview!$B$58</f>
        <v>18.5</v>
      </c>
      <c r="H745" s="23">
        <f>G745-I745</f>
        <v>18.5</v>
      </c>
      <c r="I745" s="114">
        <f>Overview!$E$58</f>
        <v>0</v>
      </c>
      <c r="J745" s="24">
        <f>I745/F745</f>
        <v>0</v>
      </c>
      <c r="K745" s="116">
        <f>Overview!$H$58</f>
        <v>0</v>
      </c>
      <c r="L745" s="51" t="e">
        <f>(K745-J745)/K745</f>
        <v>#DIV/0!</v>
      </c>
      <c r="M745" s="179"/>
      <c r="N745" s="179" t="s">
        <v>3173</v>
      </c>
      <c r="O745" s="141">
        <f>I745</f>
        <v>0</v>
      </c>
      <c r="P745" s="181" t="b">
        <f>COUNTIF('Facility Data'!$A$1:$A$1500,"*"&amp;A745&amp;"*")&gt;0</f>
        <v>0</v>
      </c>
      <c r="Q745" s="181" t="b">
        <f>COUNTIF('Account Data'!$A$1:$A$1000,"*"&amp;A745&amp;"*")&gt;0</f>
        <v>0</v>
      </c>
      <c r="R745" s="182" t="b">
        <f>IF(OR(P745=TRUE,T745=TRUE),TRUE,FALSE)</f>
        <v>0</v>
      </c>
      <c r="S745" s="182" t="b">
        <f>IF(OR(Q745=TRUE,T745=TRUE),TRUE,FALSE)</f>
        <v>0</v>
      </c>
      <c r="T745" s="181" t="b">
        <f>COUNTIF('New Items'!$A$1:$A$175,A745)&gt;0</f>
        <v>0</v>
      </c>
      <c r="U745" s="181" t="b">
        <f>COUNTIF(Discontinued!$A$1:$A$150,A745)&gt;0</f>
        <v>0</v>
      </c>
    </row>
    <row r="746" spans="1:21" s="8" customFormat="1" ht="11.25" x14ac:dyDescent="0.2">
      <c r="A746" s="152">
        <v>10003028</v>
      </c>
      <c r="B746" s="10" t="s">
        <v>2939</v>
      </c>
      <c r="C746" s="12" t="s">
        <v>358</v>
      </c>
      <c r="D746" s="11" t="s">
        <v>676</v>
      </c>
      <c r="E746" s="12" t="s">
        <v>761</v>
      </c>
      <c r="F746" s="13">
        <v>12</v>
      </c>
      <c r="G746" s="22">
        <f>Overview!$B$58</f>
        <v>18.5</v>
      </c>
      <c r="H746" s="23">
        <f>G746-I746</f>
        <v>18.5</v>
      </c>
      <c r="I746" s="114">
        <f>Overview!$E$58</f>
        <v>0</v>
      </c>
      <c r="J746" s="24">
        <f>I746/F746</f>
        <v>0</v>
      </c>
      <c r="K746" s="116">
        <f>Overview!$H$58</f>
        <v>0</v>
      </c>
      <c r="L746" s="51" t="e">
        <f>(K746-J746)/K746</f>
        <v>#DIV/0!</v>
      </c>
      <c r="M746" s="179"/>
      <c r="N746" s="179" t="s">
        <v>3173</v>
      </c>
      <c r="O746" s="141">
        <f>I746</f>
        <v>0</v>
      </c>
      <c r="P746" s="181" t="b">
        <f>COUNTIF('Facility Data'!$A$1:$A$1500,"*"&amp;A746&amp;"*")&gt;0</f>
        <v>0</v>
      </c>
      <c r="Q746" s="181" t="b">
        <f>COUNTIF('Account Data'!$A$1:$A$1000,"*"&amp;A746&amp;"*")&gt;0</f>
        <v>0</v>
      </c>
      <c r="R746" s="182" t="b">
        <f>IF(OR(P746=TRUE,T746=TRUE),TRUE,FALSE)</f>
        <v>0</v>
      </c>
      <c r="S746" s="182" t="b">
        <f>IF(OR(Q746=TRUE,T746=TRUE),TRUE,FALSE)</f>
        <v>0</v>
      </c>
      <c r="T746" s="181" t="b">
        <f>COUNTIF('New Items'!$A$1:$A$175,A746)&gt;0</f>
        <v>0</v>
      </c>
      <c r="U746" s="181" t="b">
        <f>COUNTIF(Discontinued!$A$1:$A$150,A746)&gt;0</f>
        <v>0</v>
      </c>
    </row>
    <row r="747" spans="1:21" s="8" customFormat="1" ht="12" thickBot="1" x14ac:dyDescent="0.25">
      <c r="A747" s="152">
        <v>10003027</v>
      </c>
      <c r="B747" s="10" t="s">
        <v>2940</v>
      </c>
      <c r="C747" s="12" t="s">
        <v>360</v>
      </c>
      <c r="D747" s="11" t="s">
        <v>677</v>
      </c>
      <c r="E747" s="12" t="s">
        <v>761</v>
      </c>
      <c r="F747" s="13">
        <v>12</v>
      </c>
      <c r="G747" s="22">
        <f>Overview!$B$58</f>
        <v>18.5</v>
      </c>
      <c r="H747" s="23">
        <f>G747-I747</f>
        <v>18.5</v>
      </c>
      <c r="I747" s="114">
        <f>Overview!$E$58</f>
        <v>0</v>
      </c>
      <c r="J747" s="24">
        <f>I747/F747</f>
        <v>0</v>
      </c>
      <c r="K747" s="116">
        <f>Overview!$H$58</f>
        <v>0</v>
      </c>
      <c r="L747" s="51" t="e">
        <f>(K747-J747)/K747</f>
        <v>#DIV/0!</v>
      </c>
      <c r="M747" s="179"/>
      <c r="N747" s="179" t="s">
        <v>3173</v>
      </c>
      <c r="O747" s="141">
        <f>I747</f>
        <v>0</v>
      </c>
      <c r="P747" s="181" t="b">
        <f>COUNTIF('Facility Data'!$A$1:$A$1500,"*"&amp;A747&amp;"*")&gt;0</f>
        <v>0</v>
      </c>
      <c r="Q747" s="181" t="b">
        <f>COUNTIF('Account Data'!$A$1:$A$1000,"*"&amp;A747&amp;"*")&gt;0</f>
        <v>0</v>
      </c>
      <c r="R747" s="182" t="b">
        <f>IF(OR(P747=TRUE,T747=TRUE),TRUE,FALSE)</f>
        <v>0</v>
      </c>
      <c r="S747" s="182" t="b">
        <f>IF(OR(Q747=TRUE,T747=TRUE),TRUE,FALSE)</f>
        <v>0</v>
      </c>
      <c r="T747" s="181" t="b">
        <f>COUNTIF('New Items'!$A$1:$A$175,A747)&gt;0</f>
        <v>0</v>
      </c>
      <c r="U747" s="181" t="b">
        <f>COUNTIF(Discontinued!$A$1:$A$150,A747)&gt;0</f>
        <v>0</v>
      </c>
    </row>
    <row r="748" spans="1:21" s="8" customFormat="1" ht="13.5" thickBot="1" x14ac:dyDescent="0.25">
      <c r="A748" s="300" t="s">
        <v>4130</v>
      </c>
      <c r="B748" s="301"/>
      <c r="C748" s="301"/>
      <c r="D748" s="301"/>
      <c r="E748" s="301"/>
      <c r="F748" s="301"/>
      <c r="G748" s="301"/>
      <c r="H748" s="301"/>
      <c r="I748" s="301"/>
      <c r="J748" s="301"/>
      <c r="K748" s="301"/>
      <c r="L748" s="302"/>
      <c r="M748" s="179" t="s">
        <v>4361</v>
      </c>
      <c r="N748" s="179" t="s">
        <v>4132</v>
      </c>
      <c r="O748" s="141">
        <f>AVERAGE(O749:O751)</f>
        <v>0</v>
      </c>
      <c r="P748" s="181" t="b">
        <f>COUNTIF(P749:P751,TRUE)&gt;0</f>
        <v>0</v>
      </c>
      <c r="Q748" s="181" t="b">
        <f>COUNTIF(Q749:Q751,TRUE)&gt;0</f>
        <v>0</v>
      </c>
      <c r="R748" s="181" t="b">
        <f>COUNTIF(R749:R751,TRUE)&gt;0</f>
        <v>0</v>
      </c>
      <c r="S748" s="181" t="b">
        <f>COUNTIF(S749:S751,TRUE)&gt;0</f>
        <v>0</v>
      </c>
      <c r="T748" s="181" t="b">
        <f>COUNTIF(T749:T751,TRUE)&gt;0</f>
        <v>0</v>
      </c>
      <c r="U748" s="181"/>
    </row>
    <row r="749" spans="1:21" s="8" customFormat="1" ht="11.25" x14ac:dyDescent="0.2">
      <c r="A749" s="152">
        <v>10000868</v>
      </c>
      <c r="B749" s="10" t="s">
        <v>1664</v>
      </c>
      <c r="C749" s="12" t="s">
        <v>1665</v>
      </c>
      <c r="D749" s="11" t="s">
        <v>1672</v>
      </c>
      <c r="E749" s="12" t="s">
        <v>769</v>
      </c>
      <c r="F749" s="13">
        <v>2</v>
      </c>
      <c r="G749" s="22">
        <f>Overview!$B$59</f>
        <v>14</v>
      </c>
      <c r="H749" s="114">
        <f>G749-I749</f>
        <v>14</v>
      </c>
      <c r="I749" s="114">
        <f>Overview!$E$59</f>
        <v>0</v>
      </c>
      <c r="J749" s="175">
        <f>I749/F749</f>
        <v>0</v>
      </c>
      <c r="K749" s="174">
        <f>Overview!$H$59</f>
        <v>0</v>
      </c>
      <c r="L749" s="176" t="e">
        <f>(K749-J749)/K749</f>
        <v>#DIV/0!</v>
      </c>
      <c r="M749" s="179" t="s">
        <v>4148</v>
      </c>
      <c r="N749" s="179" t="s">
        <v>4132</v>
      </c>
      <c r="O749" s="141">
        <f>I749</f>
        <v>0</v>
      </c>
      <c r="P749" s="181" t="b">
        <f>COUNTIF('Facility Data'!$A$1:$A$1500,"*"&amp;A749&amp;"*")&gt;0</f>
        <v>0</v>
      </c>
      <c r="Q749" s="181" t="b">
        <f>COUNTIF('Account Data'!$A$1:$A$1000,"*"&amp;A749&amp;"*")&gt;0</f>
        <v>0</v>
      </c>
      <c r="R749" s="182" t="b">
        <f>IF(OR(P749=TRUE,T749=TRUE),TRUE,FALSE)</f>
        <v>0</v>
      </c>
      <c r="S749" s="182" t="b">
        <f>IF(OR(Q749=TRUE,T749=TRUE),TRUE,FALSE)</f>
        <v>0</v>
      </c>
      <c r="T749" s="181" t="b">
        <f>COUNTIF('New Items'!$A$1:$A$175,A749)&gt;0</f>
        <v>0</v>
      </c>
      <c r="U749" s="181" t="b">
        <f>COUNTIF(Discontinued!$A$1:$A$150,A749)&gt;0</f>
        <v>0</v>
      </c>
    </row>
    <row r="750" spans="1:21" s="8" customFormat="1" ht="11.25" x14ac:dyDescent="0.2">
      <c r="A750" s="152">
        <v>10000870</v>
      </c>
      <c r="B750" s="10" t="s">
        <v>1666</v>
      </c>
      <c r="C750" s="12" t="s">
        <v>1671</v>
      </c>
      <c r="D750" s="11" t="s">
        <v>1673</v>
      </c>
      <c r="E750" s="12" t="s">
        <v>769</v>
      </c>
      <c r="F750" s="13">
        <v>2</v>
      </c>
      <c r="G750" s="22">
        <f>Overview!$B$59</f>
        <v>14</v>
      </c>
      <c r="H750" s="114">
        <f>G750-I750</f>
        <v>14</v>
      </c>
      <c r="I750" s="114">
        <f>Overview!$E$59</f>
        <v>0</v>
      </c>
      <c r="J750" s="175">
        <f>I750/F750</f>
        <v>0</v>
      </c>
      <c r="K750" s="174">
        <f>Overview!$H$59</f>
        <v>0</v>
      </c>
      <c r="L750" s="176" t="e">
        <f>(K750-J750)/K750</f>
        <v>#DIV/0!</v>
      </c>
      <c r="M750" s="179" t="s">
        <v>4148</v>
      </c>
      <c r="N750" s="179" t="s">
        <v>4132</v>
      </c>
      <c r="O750" s="141">
        <f>I750</f>
        <v>0</v>
      </c>
      <c r="P750" s="181" t="b">
        <f>COUNTIF('Facility Data'!$A$1:$A$1500,"*"&amp;A750&amp;"*")&gt;0</f>
        <v>0</v>
      </c>
      <c r="Q750" s="181" t="b">
        <f>COUNTIF('Account Data'!$A$1:$A$1000,"*"&amp;A750&amp;"*")&gt;0</f>
        <v>0</v>
      </c>
      <c r="R750" s="182" t="b">
        <f>IF(OR(P750=TRUE,T750=TRUE),TRUE,FALSE)</f>
        <v>0</v>
      </c>
      <c r="S750" s="182" t="b">
        <f>IF(OR(Q750=TRUE,T750=TRUE),TRUE,FALSE)</f>
        <v>0</v>
      </c>
      <c r="T750" s="181" t="b">
        <f>COUNTIF('New Items'!$A$1:$A$175,A750)&gt;0</f>
        <v>0</v>
      </c>
      <c r="U750" s="181" t="b">
        <f>COUNTIF(Discontinued!$A$1:$A$150,A750)&gt;0</f>
        <v>0</v>
      </c>
    </row>
    <row r="751" spans="1:21" s="8" customFormat="1" ht="12" thickBot="1" x14ac:dyDescent="0.25">
      <c r="A751" s="152">
        <v>10000869</v>
      </c>
      <c r="B751" s="10" t="s">
        <v>1667</v>
      </c>
      <c r="C751" s="12" t="s">
        <v>1668</v>
      </c>
      <c r="D751" s="11" t="s">
        <v>1674</v>
      </c>
      <c r="E751" s="12" t="s">
        <v>769</v>
      </c>
      <c r="F751" s="13">
        <v>2</v>
      </c>
      <c r="G751" s="22">
        <f>Overview!$B$59</f>
        <v>14</v>
      </c>
      <c r="H751" s="114">
        <f>G751-I751</f>
        <v>14</v>
      </c>
      <c r="I751" s="114">
        <f>Overview!$E$59</f>
        <v>0</v>
      </c>
      <c r="J751" s="175">
        <f>I751/F751</f>
        <v>0</v>
      </c>
      <c r="K751" s="174">
        <f>Overview!$H$59</f>
        <v>0</v>
      </c>
      <c r="L751" s="176" t="e">
        <f>(K751-J751)/K751</f>
        <v>#DIV/0!</v>
      </c>
      <c r="M751" s="179" t="s">
        <v>4148</v>
      </c>
      <c r="N751" s="179" t="s">
        <v>4132</v>
      </c>
      <c r="O751" s="141">
        <f>I751</f>
        <v>0</v>
      </c>
      <c r="P751" s="181" t="b">
        <f>COUNTIF('Facility Data'!$A$1:$A$1500,"*"&amp;A751&amp;"*")&gt;0</f>
        <v>0</v>
      </c>
      <c r="Q751" s="181" t="b">
        <f>COUNTIF('Account Data'!$A$1:$A$1000,"*"&amp;A751&amp;"*")&gt;0</f>
        <v>0</v>
      </c>
      <c r="R751" s="182" t="b">
        <f>IF(OR(P751=TRUE,T751=TRUE),TRUE,FALSE)</f>
        <v>0</v>
      </c>
      <c r="S751" s="182" t="b">
        <f>IF(OR(Q751=TRUE,T751=TRUE),TRUE,FALSE)</f>
        <v>0</v>
      </c>
      <c r="T751" s="181" t="b">
        <f>COUNTIF('New Items'!$A$1:$A$175,A751)&gt;0</f>
        <v>0</v>
      </c>
      <c r="U751" s="181" t="b">
        <f>COUNTIF(Discontinued!$A$1:$A$150,A751)&gt;0</f>
        <v>0</v>
      </c>
    </row>
    <row r="752" spans="1:21" s="8" customFormat="1" ht="13.5" thickBot="1" x14ac:dyDescent="0.25">
      <c r="A752" s="300" t="s">
        <v>4129</v>
      </c>
      <c r="B752" s="301"/>
      <c r="C752" s="301"/>
      <c r="D752" s="301"/>
      <c r="E752" s="301"/>
      <c r="F752" s="301"/>
      <c r="G752" s="301"/>
      <c r="H752" s="301"/>
      <c r="I752" s="301"/>
      <c r="J752" s="301"/>
      <c r="K752" s="301"/>
      <c r="L752" s="302"/>
      <c r="M752" s="179" t="s">
        <v>4361</v>
      </c>
      <c r="N752" s="179" t="s">
        <v>4133</v>
      </c>
      <c r="O752" s="141">
        <f>AVERAGE(O753:O755)</f>
        <v>0</v>
      </c>
      <c r="P752" s="181" t="b">
        <f>COUNTIF(P753:P755,TRUE)&gt;0</f>
        <v>0</v>
      </c>
      <c r="Q752" s="181" t="b">
        <f>COUNTIF(Q753:Q755,TRUE)&gt;0</f>
        <v>0</v>
      </c>
      <c r="R752" s="181" t="b">
        <f>COUNTIF(R753:R755,TRUE)&gt;0</f>
        <v>0</v>
      </c>
      <c r="S752" s="181" t="b">
        <f>COUNTIF(S753:S755,TRUE)&gt;0</f>
        <v>0</v>
      </c>
      <c r="T752" s="181" t="b">
        <f>COUNTIF(T753:T755,TRUE)&gt;0</f>
        <v>0</v>
      </c>
      <c r="U752" s="181"/>
    </row>
    <row r="753" spans="1:21" s="8" customFormat="1" ht="11.25" x14ac:dyDescent="0.2">
      <c r="A753" s="152">
        <v>10001258</v>
      </c>
      <c r="B753" s="10" t="s">
        <v>1726</v>
      </c>
      <c r="C753" s="12" t="s">
        <v>1727</v>
      </c>
      <c r="D753" s="11" t="s">
        <v>1672</v>
      </c>
      <c r="E753" s="12" t="s">
        <v>774</v>
      </c>
      <c r="F753" s="13">
        <v>4</v>
      </c>
      <c r="G753" s="121">
        <f>Overview!$B$60</f>
        <v>24</v>
      </c>
      <c r="H753" s="114">
        <f>G753-I753</f>
        <v>24</v>
      </c>
      <c r="I753" s="114">
        <f>Overview!$E$60</f>
        <v>0</v>
      </c>
      <c r="J753" s="115">
        <f>I753/F753</f>
        <v>0</v>
      </c>
      <c r="K753" s="116">
        <f>Overview!$H$60</f>
        <v>0</v>
      </c>
      <c r="L753" s="117" t="e">
        <f>(K753-J753)/K753</f>
        <v>#DIV/0!</v>
      </c>
      <c r="M753" s="179" t="s">
        <v>4148</v>
      </c>
      <c r="N753" s="179" t="s">
        <v>4133</v>
      </c>
      <c r="O753" s="141">
        <f>I753</f>
        <v>0</v>
      </c>
      <c r="P753" s="181" t="b">
        <f>COUNTIF('Facility Data'!$A$1:$A$1500,"*"&amp;A753&amp;"*")&gt;0</f>
        <v>0</v>
      </c>
      <c r="Q753" s="181" t="b">
        <f>COUNTIF('Account Data'!$A$1:$A$1000,"*"&amp;A753&amp;"*")&gt;0</f>
        <v>0</v>
      </c>
      <c r="R753" s="182" t="b">
        <f>IF(OR(P753=TRUE,T753=TRUE),TRUE,FALSE)</f>
        <v>0</v>
      </c>
      <c r="S753" s="182" t="b">
        <f>IF(OR(Q753=TRUE,T753=TRUE),TRUE,FALSE)</f>
        <v>0</v>
      </c>
      <c r="T753" s="181" t="b">
        <f>COUNTIF('New Items'!$A$1:$A$175,A753)&gt;0</f>
        <v>0</v>
      </c>
      <c r="U753" s="181" t="b">
        <f>COUNTIF(Discontinued!$A$1:$A$150,A753)&gt;0</f>
        <v>0</v>
      </c>
    </row>
    <row r="754" spans="1:21" s="8" customFormat="1" ht="11.25" x14ac:dyDescent="0.2">
      <c r="A754" s="152">
        <v>10001260</v>
      </c>
      <c r="B754" s="10" t="s">
        <v>1728</v>
      </c>
      <c r="C754" s="12" t="s">
        <v>1729</v>
      </c>
      <c r="D754" s="11" t="s">
        <v>1673</v>
      </c>
      <c r="E754" s="12" t="s">
        <v>774</v>
      </c>
      <c r="F754" s="13">
        <v>4</v>
      </c>
      <c r="G754" s="121">
        <f>Overview!$B$60</f>
        <v>24</v>
      </c>
      <c r="H754" s="114">
        <f>G754-I754</f>
        <v>24</v>
      </c>
      <c r="I754" s="114">
        <f>Overview!$E$60</f>
        <v>0</v>
      </c>
      <c r="J754" s="115">
        <f>I754/F754</f>
        <v>0</v>
      </c>
      <c r="K754" s="116">
        <f>Overview!$H$60</f>
        <v>0</v>
      </c>
      <c r="L754" s="117" t="e">
        <f>(K754-J754)/K754</f>
        <v>#DIV/0!</v>
      </c>
      <c r="M754" s="179" t="s">
        <v>4148</v>
      </c>
      <c r="N754" s="179" t="s">
        <v>4133</v>
      </c>
      <c r="O754" s="141">
        <f>I754</f>
        <v>0</v>
      </c>
      <c r="P754" s="181" t="b">
        <f>COUNTIF('Facility Data'!$A$1:$A$1500,"*"&amp;A754&amp;"*")&gt;0</f>
        <v>0</v>
      </c>
      <c r="Q754" s="181" t="b">
        <f>COUNTIF('Account Data'!$A$1:$A$1000,"*"&amp;A754&amp;"*")&gt;0</f>
        <v>0</v>
      </c>
      <c r="R754" s="182" t="b">
        <f>IF(OR(P754=TRUE,T754=TRUE),TRUE,FALSE)</f>
        <v>0</v>
      </c>
      <c r="S754" s="182" t="b">
        <f>IF(OR(Q754=TRUE,T754=TRUE),TRUE,FALSE)</f>
        <v>0</v>
      </c>
      <c r="T754" s="181" t="b">
        <f>COUNTIF('New Items'!$A$1:$A$175,A754)&gt;0</f>
        <v>0</v>
      </c>
      <c r="U754" s="181" t="b">
        <f>COUNTIF(Discontinued!$A$1:$A$150,A754)&gt;0</f>
        <v>0</v>
      </c>
    </row>
    <row r="755" spans="1:21" s="8" customFormat="1" ht="12" thickBot="1" x14ac:dyDescent="0.25">
      <c r="A755" s="152">
        <v>10001259</v>
      </c>
      <c r="B755" s="10" t="s">
        <v>1730</v>
      </c>
      <c r="C755" s="12" t="s">
        <v>1731</v>
      </c>
      <c r="D755" s="11" t="s">
        <v>1674</v>
      </c>
      <c r="E755" s="12" t="s">
        <v>774</v>
      </c>
      <c r="F755" s="13">
        <v>4</v>
      </c>
      <c r="G755" s="121">
        <f>Overview!$B$60</f>
        <v>24</v>
      </c>
      <c r="H755" s="114">
        <f>G755-I755</f>
        <v>24</v>
      </c>
      <c r="I755" s="114">
        <f>Overview!$E$60</f>
        <v>0</v>
      </c>
      <c r="J755" s="115">
        <f>I755/F755</f>
        <v>0</v>
      </c>
      <c r="K755" s="116">
        <f>Overview!$H$60</f>
        <v>0</v>
      </c>
      <c r="L755" s="117" t="e">
        <f>(K755-J755)/K755</f>
        <v>#DIV/0!</v>
      </c>
      <c r="M755" s="179" t="s">
        <v>4148</v>
      </c>
      <c r="N755" s="179" t="s">
        <v>4133</v>
      </c>
      <c r="O755" s="141">
        <f>I755</f>
        <v>0</v>
      </c>
      <c r="P755" s="181" t="b">
        <f>COUNTIF('Facility Data'!$A$1:$A$1500,"*"&amp;A755&amp;"*")&gt;0</f>
        <v>0</v>
      </c>
      <c r="Q755" s="181" t="b">
        <f>COUNTIF('Account Data'!$A$1:$A$1000,"*"&amp;A755&amp;"*")&gt;0</f>
        <v>0</v>
      </c>
      <c r="R755" s="182" t="b">
        <f>IF(OR(P755=TRUE,T755=TRUE),TRUE,FALSE)</f>
        <v>0</v>
      </c>
      <c r="S755" s="182" t="b">
        <f>IF(OR(Q755=TRUE,T755=TRUE),TRUE,FALSE)</f>
        <v>0</v>
      </c>
      <c r="T755" s="181" t="b">
        <f>COUNTIF('New Items'!$A$1:$A$175,A755)&gt;0</f>
        <v>0</v>
      </c>
      <c r="U755" s="181" t="b">
        <f>COUNTIF(Discontinued!$A$1:$A$150,A755)&gt;0</f>
        <v>0</v>
      </c>
    </row>
    <row r="756" spans="1:21" s="8" customFormat="1" ht="13.5" thickBot="1" x14ac:dyDescent="0.25">
      <c r="A756" s="300" t="s">
        <v>4131</v>
      </c>
      <c r="B756" s="301"/>
      <c r="C756" s="301"/>
      <c r="D756" s="301"/>
      <c r="E756" s="301"/>
      <c r="F756" s="301"/>
      <c r="G756" s="301"/>
      <c r="H756" s="301"/>
      <c r="I756" s="301"/>
      <c r="J756" s="301"/>
      <c r="K756" s="301"/>
      <c r="L756" s="302"/>
      <c r="M756" s="179" t="s">
        <v>4361</v>
      </c>
      <c r="N756" s="179" t="s">
        <v>4134</v>
      </c>
      <c r="O756" s="141">
        <f>AVERAGE(O757:O759)</f>
        <v>0</v>
      </c>
      <c r="P756" s="181" t="b">
        <f>COUNTIF(P757:P759,TRUE)&gt;0</f>
        <v>0</v>
      </c>
      <c r="Q756" s="181" t="b">
        <f>COUNTIF(Q757:Q759,TRUE)&gt;0</f>
        <v>0</v>
      </c>
      <c r="R756" s="181" t="b">
        <f>COUNTIF(R757:R759,TRUE)&gt;0</f>
        <v>0</v>
      </c>
      <c r="S756" s="181" t="b">
        <f>COUNTIF(S757:S759,TRUE)&gt;0</f>
        <v>0</v>
      </c>
      <c r="T756" s="181" t="b">
        <f>COUNTIF(T757:T759,TRUE)&gt;0</f>
        <v>0</v>
      </c>
      <c r="U756" s="181"/>
    </row>
    <row r="757" spans="1:21" s="8" customFormat="1" ht="11.25" x14ac:dyDescent="0.2">
      <c r="A757" s="152">
        <v>10001458</v>
      </c>
      <c r="B757" s="10" t="s">
        <v>2448</v>
      </c>
      <c r="C757" s="12" t="s">
        <v>2449</v>
      </c>
      <c r="D757" s="11" t="s">
        <v>1672</v>
      </c>
      <c r="E757" s="12" t="s">
        <v>773</v>
      </c>
      <c r="F757" s="13">
        <v>8</v>
      </c>
      <c r="G757" s="22">
        <f>Overview!$B$61</f>
        <v>16</v>
      </c>
      <c r="H757" s="114">
        <f>G757-I757</f>
        <v>16</v>
      </c>
      <c r="I757" s="114">
        <f>Overview!$E$61</f>
        <v>0</v>
      </c>
      <c r="J757" s="115">
        <f>I757/F757</f>
        <v>0</v>
      </c>
      <c r="K757" s="116">
        <f>Overview!$H$61</f>
        <v>0</v>
      </c>
      <c r="L757" s="117" t="e">
        <f>(K757-J757)/K757</f>
        <v>#DIV/0!</v>
      </c>
      <c r="M757" s="179" t="s">
        <v>4148</v>
      </c>
      <c r="N757" s="179" t="s">
        <v>4134</v>
      </c>
      <c r="O757" s="141">
        <f>I757</f>
        <v>0</v>
      </c>
      <c r="P757" s="181" t="b">
        <f>COUNTIF('Facility Data'!$A$1:$A$1500,"*"&amp;A757&amp;"*")&gt;0</f>
        <v>0</v>
      </c>
      <c r="Q757" s="181" t="b">
        <f>COUNTIF('Account Data'!$A$1:$A$1000,"*"&amp;A757&amp;"*")&gt;0</f>
        <v>0</v>
      </c>
      <c r="R757" s="182" t="b">
        <f>IF(OR(P757=TRUE,T757=TRUE),TRUE,FALSE)</f>
        <v>0</v>
      </c>
      <c r="S757" s="182" t="b">
        <f>IF(OR(Q757=TRUE,T757=TRUE),TRUE,FALSE)</f>
        <v>0</v>
      </c>
      <c r="T757" s="181" t="b">
        <f>COUNTIF('New Items'!$A$1:$A$175,A757)&gt;0</f>
        <v>0</v>
      </c>
      <c r="U757" s="181" t="b">
        <f>COUNTIF(Discontinued!$A$1:$A$150,A757)&gt;0</f>
        <v>0</v>
      </c>
    </row>
    <row r="758" spans="1:21" s="8" customFormat="1" ht="11.25" x14ac:dyDescent="0.2">
      <c r="A758" s="152">
        <v>10001460</v>
      </c>
      <c r="B758" s="10" t="s">
        <v>2450</v>
      </c>
      <c r="C758" s="12" t="s">
        <v>2451</v>
      </c>
      <c r="D758" s="11" t="s">
        <v>1673</v>
      </c>
      <c r="E758" s="12" t="s">
        <v>773</v>
      </c>
      <c r="F758" s="13">
        <v>8</v>
      </c>
      <c r="G758" s="22">
        <f>Overview!$B$61</f>
        <v>16</v>
      </c>
      <c r="H758" s="114">
        <f>G758-I758</f>
        <v>16</v>
      </c>
      <c r="I758" s="114">
        <f>Overview!$E$61</f>
        <v>0</v>
      </c>
      <c r="J758" s="115">
        <f>I758/F758</f>
        <v>0</v>
      </c>
      <c r="K758" s="116">
        <f>Overview!$H$61</f>
        <v>0</v>
      </c>
      <c r="L758" s="117" t="e">
        <f>(K758-J758)/K758</f>
        <v>#DIV/0!</v>
      </c>
      <c r="M758" s="179" t="s">
        <v>4148</v>
      </c>
      <c r="N758" s="179" t="s">
        <v>4134</v>
      </c>
      <c r="O758" s="141">
        <f>I758</f>
        <v>0</v>
      </c>
      <c r="P758" s="181" t="b">
        <f>COUNTIF('Facility Data'!$A$1:$A$1500,"*"&amp;A758&amp;"*")&gt;0</f>
        <v>0</v>
      </c>
      <c r="Q758" s="181" t="b">
        <f>COUNTIF('Account Data'!$A$1:$A$1000,"*"&amp;A758&amp;"*")&gt;0</f>
        <v>0</v>
      </c>
      <c r="R758" s="182" t="b">
        <f>IF(OR(P758=TRUE,T758=TRUE),TRUE,FALSE)</f>
        <v>0</v>
      </c>
      <c r="S758" s="182" t="b">
        <f>IF(OR(Q758=TRUE,T758=TRUE),TRUE,FALSE)</f>
        <v>0</v>
      </c>
      <c r="T758" s="181" t="b">
        <f>COUNTIF('New Items'!$A$1:$A$175,A758)&gt;0</f>
        <v>0</v>
      </c>
      <c r="U758" s="181" t="b">
        <f>COUNTIF(Discontinued!$A$1:$A$150,A758)&gt;0</f>
        <v>0</v>
      </c>
    </row>
    <row r="759" spans="1:21" s="8" customFormat="1" ht="12" thickBot="1" x14ac:dyDescent="0.25">
      <c r="A759" s="152">
        <v>10001459</v>
      </c>
      <c r="B759" s="10" t="s">
        <v>2452</v>
      </c>
      <c r="C759" s="12" t="s">
        <v>2453</v>
      </c>
      <c r="D759" s="11" t="s">
        <v>1674</v>
      </c>
      <c r="E759" s="12" t="s">
        <v>773</v>
      </c>
      <c r="F759" s="13">
        <v>8</v>
      </c>
      <c r="G759" s="22">
        <f>Overview!$B$61</f>
        <v>16</v>
      </c>
      <c r="H759" s="114">
        <f>G759-I759</f>
        <v>16</v>
      </c>
      <c r="I759" s="114">
        <f>Overview!$E$61</f>
        <v>0</v>
      </c>
      <c r="J759" s="115">
        <f>I759/F759</f>
        <v>0</v>
      </c>
      <c r="K759" s="116">
        <f>Overview!$H$61</f>
        <v>0</v>
      </c>
      <c r="L759" s="117" t="e">
        <f>(K759-J759)/K759</f>
        <v>#DIV/0!</v>
      </c>
      <c r="M759" s="179" t="s">
        <v>4148</v>
      </c>
      <c r="N759" s="179" t="s">
        <v>4134</v>
      </c>
      <c r="O759" s="141">
        <f>I759</f>
        <v>0</v>
      </c>
      <c r="P759" s="181" t="b">
        <f>COUNTIF('Facility Data'!$A$1:$A$1500,"*"&amp;A759&amp;"*")&gt;0</f>
        <v>0</v>
      </c>
      <c r="Q759" s="181" t="b">
        <f>COUNTIF('Account Data'!$A$1:$A$1000,"*"&amp;A759&amp;"*")&gt;0</f>
        <v>0</v>
      </c>
      <c r="R759" s="182" t="b">
        <f>IF(OR(P759=TRUE,T759=TRUE),TRUE,FALSE)</f>
        <v>0</v>
      </c>
      <c r="S759" s="182" t="b">
        <f>IF(OR(Q759=TRUE,T759=TRUE),TRUE,FALSE)</f>
        <v>0</v>
      </c>
      <c r="T759" s="181" t="b">
        <f>COUNTIF('New Items'!$A$1:$A$175,A759)&gt;0</f>
        <v>0</v>
      </c>
      <c r="U759" s="181" t="b">
        <f>COUNTIF(Discontinued!$A$1:$A$150,A759)&gt;0</f>
        <v>0</v>
      </c>
    </row>
    <row r="760" spans="1:21" s="8" customFormat="1" ht="13.5" thickBot="1" x14ac:dyDescent="0.25">
      <c r="A760" s="300" t="s">
        <v>3004</v>
      </c>
      <c r="B760" s="301"/>
      <c r="C760" s="301"/>
      <c r="D760" s="301"/>
      <c r="E760" s="301"/>
      <c r="F760" s="301"/>
      <c r="G760" s="301"/>
      <c r="H760" s="301"/>
      <c r="I760" s="301"/>
      <c r="J760" s="301"/>
      <c r="K760" s="301"/>
      <c r="L760" s="302"/>
      <c r="M760" s="179" t="s">
        <v>4361</v>
      </c>
      <c r="N760" s="179" t="s">
        <v>3136</v>
      </c>
      <c r="O760" s="141">
        <f>AVERAGE(O761:O764)</f>
        <v>0</v>
      </c>
      <c r="P760" s="181" t="b">
        <f>COUNTIF(P761:P764,TRUE)&gt;0</f>
        <v>0</v>
      </c>
      <c r="Q760" s="181" t="b">
        <f>COUNTIF(Q761:Q764,TRUE)&gt;0</f>
        <v>0</v>
      </c>
      <c r="R760" s="181" t="b">
        <f>COUNTIF(R761:R764,TRUE)&gt;0</f>
        <v>0</v>
      </c>
      <c r="S760" s="181" t="b">
        <f>COUNTIF(S761:S764,TRUE)&gt;0</f>
        <v>0</v>
      </c>
      <c r="T760" s="181" t="b">
        <f>COUNTIF(T761:T764,TRUE)&gt;0</f>
        <v>0</v>
      </c>
      <c r="U760" s="181"/>
    </row>
    <row r="761" spans="1:21" s="8" customFormat="1" ht="11.25" x14ac:dyDescent="0.2">
      <c r="A761" s="152">
        <v>10000747</v>
      </c>
      <c r="B761" s="10" t="s">
        <v>3005</v>
      </c>
      <c r="C761" s="118" t="s">
        <v>3006</v>
      </c>
      <c r="D761" s="11" t="s">
        <v>940</v>
      </c>
      <c r="E761" s="118" t="s">
        <v>776</v>
      </c>
      <c r="F761" s="120">
        <v>4</v>
      </c>
      <c r="G761" s="22">
        <f>Overview!$B$62</f>
        <v>24</v>
      </c>
      <c r="H761" s="23">
        <f>G761-I761</f>
        <v>24</v>
      </c>
      <c r="I761" s="114">
        <f>Overview!$E$62</f>
        <v>0</v>
      </c>
      <c r="J761" s="24">
        <f>I761/F761</f>
        <v>0</v>
      </c>
      <c r="K761" s="116">
        <f>Overview!$H$62</f>
        <v>0</v>
      </c>
      <c r="L761" s="51" t="e">
        <f>(K761-J761)/K761</f>
        <v>#DIV/0!</v>
      </c>
      <c r="M761" s="179" t="s">
        <v>944</v>
      </c>
      <c r="N761" s="179" t="s">
        <v>3136</v>
      </c>
      <c r="O761" s="141">
        <f>I761</f>
        <v>0</v>
      </c>
      <c r="P761" s="181" t="b">
        <f>COUNTIF('Facility Data'!$A$1:$A$1500,"*"&amp;A761&amp;"*")&gt;0</f>
        <v>0</v>
      </c>
      <c r="Q761" s="181" t="b">
        <f>COUNTIF('Account Data'!$A$1:$A$1000,"*"&amp;A761&amp;"*")&gt;0</f>
        <v>0</v>
      </c>
      <c r="R761" s="182" t="b">
        <f>IF(OR(P761=TRUE,T761=TRUE),TRUE,FALSE)</f>
        <v>0</v>
      </c>
      <c r="S761" s="182" t="b">
        <f>IF(OR(Q761=TRUE,T761=TRUE),TRUE,FALSE)</f>
        <v>0</v>
      </c>
      <c r="T761" s="181" t="b">
        <f>COUNTIF('New Items'!$A$1:$A$175,A761)&gt;0</f>
        <v>0</v>
      </c>
      <c r="U761" s="181" t="b">
        <f>COUNTIF(Discontinued!$A$1:$A$150,A761)&gt;0</f>
        <v>0</v>
      </c>
    </row>
    <row r="762" spans="1:21" s="8" customFormat="1" ht="11.25" x14ac:dyDescent="0.2">
      <c r="A762" s="152">
        <v>10000748</v>
      </c>
      <c r="B762" s="10" t="s">
        <v>3828</v>
      </c>
      <c r="C762" s="118" t="s">
        <v>3830</v>
      </c>
      <c r="D762" s="11" t="s">
        <v>3829</v>
      </c>
      <c r="E762" s="118" t="s">
        <v>776</v>
      </c>
      <c r="F762" s="120">
        <v>4</v>
      </c>
      <c r="G762" s="22">
        <f>Overview!$B$62</f>
        <v>24</v>
      </c>
      <c r="H762" s="23">
        <f>G762-I762</f>
        <v>24</v>
      </c>
      <c r="I762" s="114">
        <f>Overview!$E$62</f>
        <v>0</v>
      </c>
      <c r="J762" s="24">
        <f>I762/F762</f>
        <v>0</v>
      </c>
      <c r="K762" s="116">
        <f>Overview!$H$62</f>
        <v>0</v>
      </c>
      <c r="L762" s="51" t="e">
        <f>(K762-J762)/K762</f>
        <v>#DIV/0!</v>
      </c>
      <c r="M762" s="179" t="s">
        <v>944</v>
      </c>
      <c r="N762" s="179" t="s">
        <v>3136</v>
      </c>
      <c r="O762" s="141">
        <f>I762</f>
        <v>0</v>
      </c>
      <c r="P762" s="181" t="b">
        <f>COUNTIF('Facility Data'!$A$1:$A$1500,"*"&amp;A762&amp;"*")&gt;0</f>
        <v>0</v>
      </c>
      <c r="Q762" s="181" t="b">
        <f>COUNTIF('Account Data'!$A$1:$A$1000,"*"&amp;A762&amp;"*")&gt;0</f>
        <v>0</v>
      </c>
      <c r="R762" s="182" t="b">
        <f>IF(OR(P762=TRUE,T762=TRUE),TRUE,FALSE)</f>
        <v>0</v>
      </c>
      <c r="S762" s="182" t="b">
        <f>IF(OR(Q762=TRUE,T762=TRUE),TRUE,FALSE)</f>
        <v>0</v>
      </c>
      <c r="T762" s="181" t="b">
        <f>COUNTIF('New Items'!$A$1:$A$175,A762)&gt;0</f>
        <v>0</v>
      </c>
      <c r="U762" s="181" t="b">
        <f>COUNTIF(Discontinued!$A$1:$A$150,A762)&gt;0</f>
        <v>0</v>
      </c>
    </row>
    <row r="763" spans="1:21" s="8" customFormat="1" ht="11.25" x14ac:dyDescent="0.2">
      <c r="A763" s="152">
        <v>10000749</v>
      </c>
      <c r="B763" s="10" t="s">
        <v>3007</v>
      </c>
      <c r="C763" s="118" t="s">
        <v>3008</v>
      </c>
      <c r="D763" s="11" t="s">
        <v>942</v>
      </c>
      <c r="E763" s="118" t="s">
        <v>776</v>
      </c>
      <c r="F763" s="120">
        <v>4</v>
      </c>
      <c r="G763" s="22">
        <f>Overview!$B$62</f>
        <v>24</v>
      </c>
      <c r="H763" s="114">
        <f>G763-I763</f>
        <v>24</v>
      </c>
      <c r="I763" s="114">
        <f>Overview!$E$62</f>
        <v>0</v>
      </c>
      <c r="J763" s="115">
        <f>I763/F763</f>
        <v>0</v>
      </c>
      <c r="K763" s="116">
        <f>Overview!$H$62</f>
        <v>0</v>
      </c>
      <c r="L763" s="117" t="e">
        <f>(K763-J763)/K763</f>
        <v>#DIV/0!</v>
      </c>
      <c r="M763" s="179" t="s">
        <v>944</v>
      </c>
      <c r="N763" s="179" t="s">
        <v>3136</v>
      </c>
      <c r="O763" s="141">
        <f>I763</f>
        <v>0</v>
      </c>
      <c r="P763" s="181" t="b">
        <f>COUNTIF('Facility Data'!$A$1:$A$1500,"*"&amp;A763&amp;"*")&gt;0</f>
        <v>0</v>
      </c>
      <c r="Q763" s="181" t="b">
        <f>COUNTIF('Account Data'!$A$1:$A$1000,"*"&amp;A763&amp;"*")&gt;0</f>
        <v>0</v>
      </c>
      <c r="R763" s="182" t="b">
        <f>IF(OR(P763=TRUE,T763=TRUE),TRUE,FALSE)</f>
        <v>0</v>
      </c>
      <c r="S763" s="182" t="b">
        <f>IF(OR(Q763=TRUE,T763=TRUE),TRUE,FALSE)</f>
        <v>0</v>
      </c>
      <c r="T763" s="181" t="b">
        <f>COUNTIF('New Items'!$A$1:$A$175,A763)&gt;0</f>
        <v>0</v>
      </c>
      <c r="U763" s="181" t="b">
        <f>COUNTIF(Discontinued!$A$1:$A$150,A763)&gt;0</f>
        <v>0</v>
      </c>
    </row>
    <row r="764" spans="1:21" s="8" customFormat="1" ht="12" thickBot="1" x14ac:dyDescent="0.25">
      <c r="A764" s="152">
        <v>10000750</v>
      </c>
      <c r="B764" s="10" t="s">
        <v>3009</v>
      </c>
      <c r="C764" s="118" t="s">
        <v>3010</v>
      </c>
      <c r="D764" s="11" t="s">
        <v>1697</v>
      </c>
      <c r="E764" s="118" t="s">
        <v>776</v>
      </c>
      <c r="F764" s="120">
        <v>4</v>
      </c>
      <c r="G764" s="22">
        <f>Overview!$B$62</f>
        <v>24</v>
      </c>
      <c r="H764" s="114">
        <f>G764-I764</f>
        <v>24</v>
      </c>
      <c r="I764" s="114">
        <f>Overview!$E$62</f>
        <v>0</v>
      </c>
      <c r="J764" s="115">
        <f>I764/F764</f>
        <v>0</v>
      </c>
      <c r="K764" s="116">
        <f>Overview!$H$62</f>
        <v>0</v>
      </c>
      <c r="L764" s="117" t="e">
        <f>(K764-J764)/K764</f>
        <v>#DIV/0!</v>
      </c>
      <c r="M764" s="179" t="s">
        <v>944</v>
      </c>
      <c r="N764" s="179" t="s">
        <v>3136</v>
      </c>
      <c r="O764" s="141">
        <f>I764</f>
        <v>0</v>
      </c>
      <c r="P764" s="181" t="b">
        <f>COUNTIF('Facility Data'!$A$1:$A$1500,"*"&amp;A764&amp;"*")&gt;0</f>
        <v>0</v>
      </c>
      <c r="Q764" s="181" t="b">
        <f>COUNTIF('Account Data'!$A$1:$A$1000,"*"&amp;A764&amp;"*")&gt;0</f>
        <v>0</v>
      </c>
      <c r="R764" s="182" t="b">
        <f>IF(OR(P764=TRUE,T764=TRUE),TRUE,FALSE)</f>
        <v>0</v>
      </c>
      <c r="S764" s="182" t="b">
        <f>IF(OR(Q764=TRUE,T764=TRUE),TRUE,FALSE)</f>
        <v>0</v>
      </c>
      <c r="T764" s="181" t="b">
        <f>COUNTIF('New Items'!$A$1:$A$175,A764)&gt;0</f>
        <v>0</v>
      </c>
      <c r="U764" s="181" t="b">
        <f>COUNTIF(Discontinued!$A$1:$A$150,A764)&gt;0</f>
        <v>0</v>
      </c>
    </row>
    <row r="765" spans="1:21" s="8" customFormat="1" ht="13.5" thickBot="1" x14ac:dyDescent="0.25">
      <c r="A765" s="300" t="s">
        <v>3000</v>
      </c>
      <c r="B765" s="301"/>
      <c r="C765" s="301"/>
      <c r="D765" s="301"/>
      <c r="E765" s="301"/>
      <c r="F765" s="301"/>
      <c r="G765" s="301"/>
      <c r="H765" s="301"/>
      <c r="I765" s="301"/>
      <c r="J765" s="301"/>
      <c r="K765" s="301"/>
      <c r="L765" s="302"/>
      <c r="M765" s="179" t="s">
        <v>4361</v>
      </c>
      <c r="N765" s="179" t="s">
        <v>3135</v>
      </c>
      <c r="O765" s="141">
        <f>AVERAGE(O766:O769)</f>
        <v>0</v>
      </c>
      <c r="P765" s="181" t="b">
        <f>COUNTIF(P766:P769,TRUE)&gt;0</f>
        <v>0</v>
      </c>
      <c r="Q765" s="181" t="b">
        <f>COUNTIF(Q766:Q769,TRUE)&gt;0</f>
        <v>0</v>
      </c>
      <c r="R765" s="181" t="b">
        <f>COUNTIF(R766:R769,TRUE)&gt;0</f>
        <v>0</v>
      </c>
      <c r="S765" s="181" t="b">
        <f>COUNTIF(S766:S769,TRUE)&gt;0</f>
        <v>0</v>
      </c>
      <c r="T765" s="181" t="b">
        <f>COUNTIF(T766:T769,TRUE)&gt;0</f>
        <v>0</v>
      </c>
      <c r="U765" s="181"/>
    </row>
    <row r="766" spans="1:21" s="8" customFormat="1" ht="11.25" x14ac:dyDescent="0.2">
      <c r="A766" s="152">
        <v>10001326</v>
      </c>
      <c r="B766" s="10" t="s">
        <v>3001</v>
      </c>
      <c r="C766" s="12" t="s">
        <v>945</v>
      </c>
      <c r="D766" s="11" t="s">
        <v>940</v>
      </c>
      <c r="E766" s="12" t="s">
        <v>761</v>
      </c>
      <c r="F766" s="13">
        <v>15</v>
      </c>
      <c r="G766" s="22">
        <f>Overview!$B$63</f>
        <v>24</v>
      </c>
      <c r="H766" s="114">
        <f>G766-I766</f>
        <v>24</v>
      </c>
      <c r="I766" s="114">
        <f>Overview!$E$63</f>
        <v>0</v>
      </c>
      <c r="J766" s="115">
        <f>I766/F766</f>
        <v>0</v>
      </c>
      <c r="K766" s="116">
        <f>Overview!$H$63</f>
        <v>0</v>
      </c>
      <c r="L766" s="117" t="e">
        <f>(K766-J766)/K766</f>
        <v>#DIV/0!</v>
      </c>
      <c r="M766" s="179" t="s">
        <v>944</v>
      </c>
      <c r="N766" s="179" t="s">
        <v>3135</v>
      </c>
      <c r="O766" s="141">
        <f>I766</f>
        <v>0</v>
      </c>
      <c r="P766" s="181" t="b">
        <f>COUNTIF('Facility Data'!$A$1:$A$1500,"*"&amp;A766&amp;"*")&gt;0</f>
        <v>0</v>
      </c>
      <c r="Q766" s="181" t="b">
        <f>COUNTIF('Account Data'!$A$1:$A$1000,"*"&amp;A766&amp;"*")&gt;0</f>
        <v>0</v>
      </c>
      <c r="R766" s="182" t="b">
        <f>IF(OR(P766=TRUE,T766=TRUE),TRUE,FALSE)</f>
        <v>0</v>
      </c>
      <c r="S766" s="182" t="b">
        <f>IF(OR(Q766=TRUE,T766=TRUE),TRUE,FALSE)</f>
        <v>0</v>
      </c>
      <c r="T766" s="181" t="b">
        <f>COUNTIF('New Items'!$A$1:$A$175,A766)&gt;0</f>
        <v>0</v>
      </c>
      <c r="U766" s="181" t="b">
        <f>COUNTIF(Discontinued!$A$1:$A$150,A766)&gt;0</f>
        <v>0</v>
      </c>
    </row>
    <row r="767" spans="1:21" s="8" customFormat="1" ht="11.25" x14ac:dyDescent="0.2">
      <c r="A767" s="152">
        <v>10001327</v>
      </c>
      <c r="B767" s="10" t="s">
        <v>3002</v>
      </c>
      <c r="C767" s="12" t="s">
        <v>946</v>
      </c>
      <c r="D767" s="11" t="s">
        <v>941</v>
      </c>
      <c r="E767" s="12" t="s">
        <v>761</v>
      </c>
      <c r="F767" s="13">
        <v>15</v>
      </c>
      <c r="G767" s="22">
        <f>Overview!$B$63</f>
        <v>24</v>
      </c>
      <c r="H767" s="23">
        <f>G767-I767</f>
        <v>24</v>
      </c>
      <c r="I767" s="114">
        <f>Overview!$E$63</f>
        <v>0</v>
      </c>
      <c r="J767" s="24">
        <f>I767/F767</f>
        <v>0</v>
      </c>
      <c r="K767" s="116">
        <f>Overview!$H$63</f>
        <v>0</v>
      </c>
      <c r="L767" s="51" t="e">
        <f>(K767-J767)/K767</f>
        <v>#DIV/0!</v>
      </c>
      <c r="M767" s="179" t="s">
        <v>944</v>
      </c>
      <c r="N767" s="179" t="s">
        <v>3135</v>
      </c>
      <c r="O767" s="141">
        <f>I767</f>
        <v>0</v>
      </c>
      <c r="P767" s="181" t="b">
        <f>COUNTIF('Facility Data'!$A$1:$A$1500,"*"&amp;A767&amp;"*")&gt;0</f>
        <v>0</v>
      </c>
      <c r="Q767" s="181" t="b">
        <f>COUNTIF('Account Data'!$A$1:$A$1000,"*"&amp;A767&amp;"*")&gt;0</f>
        <v>0</v>
      </c>
      <c r="R767" s="182" t="b">
        <f>IF(OR(P767=TRUE,T767=TRUE),TRUE,FALSE)</f>
        <v>0</v>
      </c>
      <c r="S767" s="182" t="b">
        <f>IF(OR(Q767=TRUE,T767=TRUE),TRUE,FALSE)</f>
        <v>0</v>
      </c>
      <c r="T767" s="181" t="b">
        <f>COUNTIF('New Items'!$A$1:$A$175,A767)&gt;0</f>
        <v>0</v>
      </c>
      <c r="U767" s="181" t="b">
        <f>COUNTIF(Discontinued!$A$1:$A$150,A767)&gt;0</f>
        <v>0</v>
      </c>
    </row>
    <row r="768" spans="1:21" s="8" customFormat="1" ht="11.25" x14ac:dyDescent="0.2">
      <c r="A768" s="152">
        <v>10001328</v>
      </c>
      <c r="B768" s="10" t="s">
        <v>3003</v>
      </c>
      <c r="C768" s="12" t="s">
        <v>947</v>
      </c>
      <c r="D768" s="11" t="s">
        <v>942</v>
      </c>
      <c r="E768" s="12" t="s">
        <v>761</v>
      </c>
      <c r="F768" s="13">
        <v>15</v>
      </c>
      <c r="G768" s="22">
        <f>Overview!$B$63</f>
        <v>24</v>
      </c>
      <c r="H768" s="23">
        <f>G768-I768</f>
        <v>24</v>
      </c>
      <c r="I768" s="114">
        <f>Overview!$E$63</f>
        <v>0</v>
      </c>
      <c r="J768" s="24">
        <f>I768/F768</f>
        <v>0</v>
      </c>
      <c r="K768" s="116">
        <f>Overview!$H$63</f>
        <v>0</v>
      </c>
      <c r="L768" s="51" t="e">
        <f>(K768-J768)/K768</f>
        <v>#DIV/0!</v>
      </c>
      <c r="M768" s="179" t="s">
        <v>944</v>
      </c>
      <c r="N768" s="179" t="s">
        <v>3135</v>
      </c>
      <c r="O768" s="141">
        <f>I768</f>
        <v>0</v>
      </c>
      <c r="P768" s="181" t="b">
        <f>COUNTIF('Facility Data'!$A$1:$A$1500,"*"&amp;A768&amp;"*")&gt;0</f>
        <v>0</v>
      </c>
      <c r="Q768" s="181" t="b">
        <f>COUNTIF('Account Data'!$A$1:$A$1000,"*"&amp;A768&amp;"*")&gt;0</f>
        <v>0</v>
      </c>
      <c r="R768" s="182" t="b">
        <f>IF(OR(P768=TRUE,T768=TRUE),TRUE,FALSE)</f>
        <v>0</v>
      </c>
      <c r="S768" s="182" t="b">
        <f>IF(OR(Q768=TRUE,T768=TRUE),TRUE,FALSE)</f>
        <v>0</v>
      </c>
      <c r="T768" s="181" t="b">
        <f>COUNTIF('New Items'!$A$1:$A$175,A768)&gt;0</f>
        <v>0</v>
      </c>
      <c r="U768" s="181" t="b">
        <f>COUNTIF(Discontinued!$A$1:$A$150,A768)&gt;0</f>
        <v>0</v>
      </c>
    </row>
    <row r="769" spans="1:21" s="8" customFormat="1" ht="12" thickBot="1" x14ac:dyDescent="0.25">
      <c r="A769" s="152">
        <v>10001329</v>
      </c>
      <c r="B769" s="10" t="s">
        <v>3831</v>
      </c>
      <c r="C769" s="12" t="s">
        <v>2999</v>
      </c>
      <c r="D769" s="11" t="s">
        <v>1697</v>
      </c>
      <c r="E769" s="12" t="s">
        <v>761</v>
      </c>
      <c r="F769" s="13">
        <v>15</v>
      </c>
      <c r="G769" s="22">
        <f>Overview!$B$63</f>
        <v>24</v>
      </c>
      <c r="H769" s="23">
        <f>G769-I769</f>
        <v>24</v>
      </c>
      <c r="I769" s="114">
        <f>Overview!$E$63</f>
        <v>0</v>
      </c>
      <c r="J769" s="24">
        <f>I769/F769</f>
        <v>0</v>
      </c>
      <c r="K769" s="116">
        <f>Overview!$H$63</f>
        <v>0</v>
      </c>
      <c r="L769" s="51" t="e">
        <f>(K769-J769)/K769</f>
        <v>#DIV/0!</v>
      </c>
      <c r="M769" s="179" t="s">
        <v>944</v>
      </c>
      <c r="N769" s="179" t="s">
        <v>3135</v>
      </c>
      <c r="O769" s="141">
        <f>I769</f>
        <v>0</v>
      </c>
      <c r="P769" s="181" t="b">
        <f>COUNTIF('Facility Data'!$A$1:$A$1500,"*"&amp;A769&amp;"*")&gt;0</f>
        <v>0</v>
      </c>
      <c r="Q769" s="181" t="b">
        <f>COUNTIF('Account Data'!$A$1:$A$1000,"*"&amp;A769&amp;"*")&gt;0</f>
        <v>0</v>
      </c>
      <c r="R769" s="182" t="b">
        <f>IF(OR(P769=TRUE,T769=TRUE),TRUE,FALSE)</f>
        <v>0</v>
      </c>
      <c r="S769" s="182" t="b">
        <f>IF(OR(Q769=TRUE,T769=TRUE),TRUE,FALSE)</f>
        <v>0</v>
      </c>
      <c r="T769" s="181" t="b">
        <f>COUNTIF('New Items'!$A$1:$A$175,A769)&gt;0</f>
        <v>0</v>
      </c>
      <c r="U769" s="181" t="b">
        <f>COUNTIF(Discontinued!$A$1:$A$150,A769)&gt;0</f>
        <v>0</v>
      </c>
    </row>
    <row r="770" spans="1:21" s="8" customFormat="1" ht="13.5" thickBot="1" x14ac:dyDescent="0.25">
      <c r="A770" s="300" t="s">
        <v>939</v>
      </c>
      <c r="B770" s="301"/>
      <c r="C770" s="301"/>
      <c r="D770" s="301"/>
      <c r="E770" s="301"/>
      <c r="F770" s="301"/>
      <c r="G770" s="301"/>
      <c r="H770" s="301"/>
      <c r="I770" s="301"/>
      <c r="J770" s="301"/>
      <c r="K770" s="301"/>
      <c r="L770" s="302"/>
      <c r="M770" s="179" t="s">
        <v>4361</v>
      </c>
      <c r="N770" s="179" t="s">
        <v>973</v>
      </c>
      <c r="O770" s="141">
        <f>AVERAGE(O771:O775)</f>
        <v>0</v>
      </c>
      <c r="P770" s="181" t="b">
        <f>COUNTIF(P771:P775,TRUE)&gt;0</f>
        <v>0</v>
      </c>
      <c r="Q770" s="181" t="b">
        <f>COUNTIF(Q771:Q775,TRUE)&gt;0</f>
        <v>0</v>
      </c>
      <c r="R770" s="181" t="b">
        <f>COUNTIF(R771:R775,TRUE)&gt;0</f>
        <v>0</v>
      </c>
      <c r="S770" s="181" t="b">
        <f>COUNTIF(S771:S775,TRUE)&gt;0</f>
        <v>0</v>
      </c>
      <c r="T770" s="181" t="b">
        <f>COUNTIF(T771:T775,TRUE)&gt;0</f>
        <v>0</v>
      </c>
      <c r="U770" s="181"/>
    </row>
    <row r="771" spans="1:21" s="8" customFormat="1" ht="11.25" x14ac:dyDescent="0.2">
      <c r="A771" s="152">
        <v>10001288</v>
      </c>
      <c r="B771" s="10" t="s">
        <v>3288</v>
      </c>
      <c r="C771" s="12" t="s">
        <v>945</v>
      </c>
      <c r="D771" s="11" t="s">
        <v>940</v>
      </c>
      <c r="E771" s="12" t="s">
        <v>761</v>
      </c>
      <c r="F771" s="13">
        <v>12</v>
      </c>
      <c r="G771" s="22">
        <f>Overview!$B$64</f>
        <v>18</v>
      </c>
      <c r="H771" s="23">
        <f>G771-I771</f>
        <v>18</v>
      </c>
      <c r="I771" s="114">
        <f>Overview!$E$64</f>
        <v>0</v>
      </c>
      <c r="J771" s="24">
        <f>I771/F771</f>
        <v>0</v>
      </c>
      <c r="K771" s="116">
        <f>Overview!$H$64</f>
        <v>0</v>
      </c>
      <c r="L771" s="51" t="e">
        <f>(K771-J771)/K771</f>
        <v>#DIV/0!</v>
      </c>
      <c r="M771" s="179" t="s">
        <v>944</v>
      </c>
      <c r="N771" s="179" t="s">
        <v>973</v>
      </c>
      <c r="O771" s="141">
        <f>I771</f>
        <v>0</v>
      </c>
      <c r="P771" s="181" t="b">
        <f>COUNTIF('Facility Data'!$A$1:$A$1500,"*"&amp;A771&amp;"*")&gt;0</f>
        <v>0</v>
      </c>
      <c r="Q771" s="181" t="b">
        <f>COUNTIF('Account Data'!$A$1:$A$1000,"*"&amp;A771&amp;"*")&gt;0</f>
        <v>0</v>
      </c>
      <c r="R771" s="182" t="b">
        <f>IF(OR(P771=TRUE,T771=TRUE),TRUE,FALSE)</f>
        <v>0</v>
      </c>
      <c r="S771" s="182" t="b">
        <f>IF(OR(Q771=TRUE,T771=TRUE),TRUE,FALSE)</f>
        <v>0</v>
      </c>
      <c r="T771" s="181" t="b">
        <f>COUNTIF('New Items'!$A$1:$A$175,A771)&gt;0</f>
        <v>0</v>
      </c>
      <c r="U771" s="181" t="b">
        <f>COUNTIF(Discontinued!$A$1:$A$150,A771)&gt;0</f>
        <v>0</v>
      </c>
    </row>
    <row r="772" spans="1:21" s="8" customFormat="1" ht="11.25" x14ac:dyDescent="0.2">
      <c r="A772" s="152">
        <v>10001289</v>
      </c>
      <c r="B772" s="10" t="s">
        <v>3289</v>
      </c>
      <c r="C772" s="12" t="s">
        <v>946</v>
      </c>
      <c r="D772" s="11" t="s">
        <v>941</v>
      </c>
      <c r="E772" s="12" t="s">
        <v>761</v>
      </c>
      <c r="F772" s="13">
        <v>12</v>
      </c>
      <c r="G772" s="22">
        <f>Overview!$B$64</f>
        <v>18</v>
      </c>
      <c r="H772" s="23">
        <f>G772-I772</f>
        <v>18</v>
      </c>
      <c r="I772" s="114">
        <f>Overview!$E$64</f>
        <v>0</v>
      </c>
      <c r="J772" s="24">
        <f>I772/F772</f>
        <v>0</v>
      </c>
      <c r="K772" s="116">
        <f>Overview!$H$64</f>
        <v>0</v>
      </c>
      <c r="L772" s="51" t="e">
        <f>(K772-J772)/K772</f>
        <v>#DIV/0!</v>
      </c>
      <c r="M772" s="179" t="s">
        <v>944</v>
      </c>
      <c r="N772" s="179" t="s">
        <v>973</v>
      </c>
      <c r="O772" s="141">
        <f>I772</f>
        <v>0</v>
      </c>
      <c r="P772" s="181" t="b">
        <f>COUNTIF('Facility Data'!$A$1:$A$1500,"*"&amp;A772&amp;"*")&gt;0</f>
        <v>0</v>
      </c>
      <c r="Q772" s="181" t="b">
        <f>COUNTIF('Account Data'!$A$1:$A$1000,"*"&amp;A772&amp;"*")&gt;0</f>
        <v>0</v>
      </c>
      <c r="R772" s="182" t="b">
        <f>IF(OR(P772=TRUE,T772=TRUE),TRUE,FALSE)</f>
        <v>0</v>
      </c>
      <c r="S772" s="182" t="b">
        <f>IF(OR(Q772=TRUE,T772=TRUE),TRUE,FALSE)</f>
        <v>0</v>
      </c>
      <c r="T772" s="181" t="b">
        <f>COUNTIF('New Items'!$A$1:$A$175,A772)&gt;0</f>
        <v>0</v>
      </c>
      <c r="U772" s="181" t="b">
        <f>COUNTIF(Discontinued!$A$1:$A$150,A772)&gt;0</f>
        <v>0</v>
      </c>
    </row>
    <row r="773" spans="1:21" s="8" customFormat="1" ht="11.25" x14ac:dyDescent="0.2">
      <c r="A773" s="152">
        <v>10001290</v>
      </c>
      <c r="B773" s="10" t="s">
        <v>3290</v>
      </c>
      <c r="C773" s="12" t="s">
        <v>947</v>
      </c>
      <c r="D773" s="11" t="s">
        <v>942</v>
      </c>
      <c r="E773" s="12" t="s">
        <v>761</v>
      </c>
      <c r="F773" s="13">
        <v>12</v>
      </c>
      <c r="G773" s="22">
        <f>Overview!$B$64</f>
        <v>18</v>
      </c>
      <c r="H773" s="23">
        <f>G773-I773</f>
        <v>18</v>
      </c>
      <c r="I773" s="114">
        <f>Overview!$E$64</f>
        <v>0</v>
      </c>
      <c r="J773" s="24">
        <f>I773/F773</f>
        <v>0</v>
      </c>
      <c r="K773" s="116">
        <f>Overview!$H$64</f>
        <v>0</v>
      </c>
      <c r="L773" s="51" t="e">
        <f>(K773-J773)/K773</f>
        <v>#DIV/0!</v>
      </c>
      <c r="M773" s="179" t="s">
        <v>944</v>
      </c>
      <c r="N773" s="179" t="s">
        <v>973</v>
      </c>
      <c r="O773" s="141">
        <f>I773</f>
        <v>0</v>
      </c>
      <c r="P773" s="181" t="b">
        <f>COUNTIF('Facility Data'!$A$1:$A$1500,"*"&amp;A773&amp;"*")&gt;0</f>
        <v>0</v>
      </c>
      <c r="Q773" s="181" t="b">
        <f>COUNTIF('Account Data'!$A$1:$A$1000,"*"&amp;A773&amp;"*")&gt;0</f>
        <v>0</v>
      </c>
      <c r="R773" s="182" t="b">
        <f>IF(OR(P773=TRUE,T773=TRUE),TRUE,FALSE)</f>
        <v>0</v>
      </c>
      <c r="S773" s="182" t="b">
        <f>IF(OR(Q773=TRUE,T773=TRUE),TRUE,FALSE)</f>
        <v>0</v>
      </c>
      <c r="T773" s="181" t="b">
        <f>COUNTIF('New Items'!$A$1:$A$175,A773)&gt;0</f>
        <v>0</v>
      </c>
      <c r="U773" s="181" t="b">
        <f>COUNTIF(Discontinued!$A$1:$A$150,A773)&gt;0</f>
        <v>0</v>
      </c>
    </row>
    <row r="774" spans="1:21" s="8" customFormat="1" ht="11.25" x14ac:dyDescent="0.2">
      <c r="A774" s="152">
        <v>10001291</v>
      </c>
      <c r="B774" s="10" t="s">
        <v>2998</v>
      </c>
      <c r="C774" s="12" t="s">
        <v>2999</v>
      </c>
      <c r="D774" s="11" t="s">
        <v>1697</v>
      </c>
      <c r="E774" s="12" t="s">
        <v>761</v>
      </c>
      <c r="F774" s="13">
        <v>12</v>
      </c>
      <c r="G774" s="22">
        <f>Overview!$B$64</f>
        <v>18</v>
      </c>
      <c r="H774" s="23">
        <f>G774-I774</f>
        <v>18</v>
      </c>
      <c r="I774" s="114">
        <f>Overview!$E$64</f>
        <v>0</v>
      </c>
      <c r="J774" s="24">
        <f>I774/F774</f>
        <v>0</v>
      </c>
      <c r="K774" s="116">
        <f>Overview!$H$64</f>
        <v>0</v>
      </c>
      <c r="L774" s="51" t="e">
        <f>(K774-J774)/K774</f>
        <v>#DIV/0!</v>
      </c>
      <c r="M774" s="179" t="s">
        <v>944</v>
      </c>
      <c r="N774" s="179" t="s">
        <v>973</v>
      </c>
      <c r="O774" s="141">
        <f>I774</f>
        <v>0</v>
      </c>
      <c r="P774" s="181" t="b">
        <f>COUNTIF('Facility Data'!$A$1:$A$1500,"*"&amp;A774&amp;"*")&gt;0</f>
        <v>0</v>
      </c>
      <c r="Q774" s="181" t="b">
        <f>COUNTIF('Account Data'!$A$1:$A$1000,"*"&amp;A774&amp;"*")&gt;0</f>
        <v>0</v>
      </c>
      <c r="R774" s="182" t="b">
        <f>IF(OR(P774=TRUE,T774=TRUE),TRUE,FALSE)</f>
        <v>0</v>
      </c>
      <c r="S774" s="182" t="b">
        <f>IF(OR(Q774=TRUE,T774=TRUE),TRUE,FALSE)</f>
        <v>0</v>
      </c>
      <c r="T774" s="181" t="b">
        <f>COUNTIF('New Items'!$A$1:$A$175,A774)&gt;0</f>
        <v>0</v>
      </c>
      <c r="U774" s="181" t="b">
        <f>COUNTIF(Discontinued!$A$1:$A$150,A774)&gt;0</f>
        <v>0</v>
      </c>
    </row>
    <row r="775" spans="1:21" s="8" customFormat="1" ht="12" thickBot="1" x14ac:dyDescent="0.25">
      <c r="A775" s="152">
        <v>10012968</v>
      </c>
      <c r="B775" s="10" t="s">
        <v>3291</v>
      </c>
      <c r="C775" s="12" t="s">
        <v>948</v>
      </c>
      <c r="D775" s="11" t="s">
        <v>943</v>
      </c>
      <c r="E775" s="12" t="s">
        <v>761</v>
      </c>
      <c r="F775" s="13">
        <v>12</v>
      </c>
      <c r="G775" s="22">
        <f>Overview!$B$64</f>
        <v>18</v>
      </c>
      <c r="H775" s="23">
        <f>G775-I775</f>
        <v>18</v>
      </c>
      <c r="I775" s="114">
        <f>Overview!$E$64</f>
        <v>0</v>
      </c>
      <c r="J775" s="24">
        <f>I775/F775</f>
        <v>0</v>
      </c>
      <c r="K775" s="116">
        <f>Overview!$H$64</f>
        <v>0</v>
      </c>
      <c r="L775" s="51" t="e">
        <f>(K775-J775)/K775</f>
        <v>#DIV/0!</v>
      </c>
      <c r="M775" s="179" t="s">
        <v>944</v>
      </c>
      <c r="N775" s="179" t="s">
        <v>973</v>
      </c>
      <c r="O775" s="141">
        <f>I775</f>
        <v>0</v>
      </c>
      <c r="P775" s="181" t="b">
        <f>COUNTIF('Facility Data'!$A$1:$A$1500,"*"&amp;A775&amp;"*")&gt;0</f>
        <v>0</v>
      </c>
      <c r="Q775" s="181" t="b">
        <f>COUNTIF('Account Data'!$A$1:$A$1000,"*"&amp;A775&amp;"*")&gt;0</f>
        <v>0</v>
      </c>
      <c r="R775" s="182" t="b">
        <f>IF(OR(P775=TRUE,T775=TRUE),TRUE,FALSE)</f>
        <v>0</v>
      </c>
      <c r="S775" s="182" t="b">
        <f>IF(OR(Q775=TRUE,T775=TRUE),TRUE,FALSE)</f>
        <v>0</v>
      </c>
      <c r="T775" s="181" t="b">
        <f>COUNTIF('New Items'!$A$1:$A$175,A775)&gt;0</f>
        <v>0</v>
      </c>
      <c r="U775" s="181" t="b">
        <f>COUNTIF(Discontinued!$A$1:$A$150,A775)&gt;0</f>
        <v>0</v>
      </c>
    </row>
    <row r="776" spans="1:21" s="8" customFormat="1" ht="13.5" thickBot="1" x14ac:dyDescent="0.25">
      <c r="A776" s="300" t="s">
        <v>3488</v>
      </c>
      <c r="B776" s="301"/>
      <c r="C776" s="301"/>
      <c r="D776" s="301"/>
      <c r="E776" s="301"/>
      <c r="F776" s="301"/>
      <c r="G776" s="301"/>
      <c r="H776" s="301"/>
      <c r="I776" s="301"/>
      <c r="J776" s="301"/>
      <c r="K776" s="301"/>
      <c r="L776" s="302"/>
      <c r="M776" s="179" t="s">
        <v>4361</v>
      </c>
      <c r="N776" s="179" t="s">
        <v>3826</v>
      </c>
      <c r="O776" s="141">
        <f>AVERAGE(O777:O780)</f>
        <v>0</v>
      </c>
      <c r="P776" s="181" t="b">
        <f>COUNTIF(P777:P780,TRUE)&gt;0</f>
        <v>0</v>
      </c>
      <c r="Q776" s="181" t="b">
        <f>COUNTIF(Q777:Q780,TRUE)&gt;0</f>
        <v>0</v>
      </c>
      <c r="R776" s="181" t="b">
        <f>COUNTIF(R777:R780,TRUE)&gt;0</f>
        <v>0</v>
      </c>
      <c r="S776" s="181" t="b">
        <f>COUNTIF(S777:S780,TRUE)&gt;0</f>
        <v>0</v>
      </c>
      <c r="T776" s="181" t="b">
        <f>COUNTIF(T777:T780,TRUE)&gt;0</f>
        <v>0</v>
      </c>
      <c r="U776" s="181"/>
    </row>
    <row r="777" spans="1:21" s="8" customFormat="1" ht="11.25" x14ac:dyDescent="0.2">
      <c r="A777" s="152">
        <v>20028117</v>
      </c>
      <c r="B777" s="9" t="s">
        <v>3080</v>
      </c>
      <c r="C777" s="14" t="s">
        <v>3081</v>
      </c>
      <c r="D777" s="11" t="s">
        <v>3940</v>
      </c>
      <c r="E777" s="14" t="s">
        <v>774</v>
      </c>
      <c r="F777" s="13">
        <v>24</v>
      </c>
      <c r="G777" s="98">
        <f>Overview!$B$65</f>
        <v>24</v>
      </c>
      <c r="H777" s="169">
        <f>G777-I777</f>
        <v>24</v>
      </c>
      <c r="I777" s="169">
        <f>Overview!$E$65</f>
        <v>0</v>
      </c>
      <c r="J777" s="170">
        <f>I777/F777</f>
        <v>0</v>
      </c>
      <c r="K777" s="171">
        <f>Overview!$H$65</f>
        <v>0</v>
      </c>
      <c r="L777" s="172" t="e">
        <f>(K777-J777)/K777</f>
        <v>#DIV/0!</v>
      </c>
      <c r="M777" s="179"/>
      <c r="N777" s="179" t="s">
        <v>3826</v>
      </c>
      <c r="O777" s="141">
        <f>I777</f>
        <v>0</v>
      </c>
      <c r="P777" s="181" t="b">
        <f>COUNTIF('Facility Data'!$A$1:$A$1500,"*"&amp;A777&amp;"*")&gt;0</f>
        <v>0</v>
      </c>
      <c r="Q777" s="181" t="b">
        <f>COUNTIF('Account Data'!$A$1:$A$1000,"*"&amp;A777&amp;"*")&gt;0</f>
        <v>0</v>
      </c>
      <c r="R777" s="182" t="b">
        <f>IF(OR(P777=TRUE,T777=TRUE),TRUE,FALSE)</f>
        <v>0</v>
      </c>
      <c r="S777" s="182" t="b">
        <f>IF(OR(Q777=TRUE,T777=TRUE),TRUE,FALSE)</f>
        <v>0</v>
      </c>
      <c r="T777" s="181" t="b">
        <f>COUNTIF('New Items'!$A$1:$A$175,A777)&gt;0</f>
        <v>0</v>
      </c>
      <c r="U777" s="181" t="b">
        <f>COUNTIF(Discontinued!$A$1:$A$150,A777)&gt;0</f>
        <v>0</v>
      </c>
    </row>
    <row r="778" spans="1:21" s="8" customFormat="1" ht="11.25" x14ac:dyDescent="0.2">
      <c r="A778" s="152">
        <v>20028119</v>
      </c>
      <c r="B778" s="9" t="s">
        <v>3082</v>
      </c>
      <c r="C778" s="14" t="s">
        <v>3083</v>
      </c>
      <c r="D778" s="11" t="s">
        <v>752</v>
      </c>
      <c r="E778" s="14" t="s">
        <v>774</v>
      </c>
      <c r="F778" s="13">
        <v>24</v>
      </c>
      <c r="G778" s="98">
        <f>Overview!$B$65</f>
        <v>24</v>
      </c>
      <c r="H778" s="99">
        <f>G778-I778</f>
        <v>24</v>
      </c>
      <c r="I778" s="169">
        <f>Overview!$E$65</f>
        <v>0</v>
      </c>
      <c r="J778" s="100">
        <f>I778/F778</f>
        <v>0</v>
      </c>
      <c r="K778" s="171">
        <f>Overview!$H$65</f>
        <v>0</v>
      </c>
      <c r="L778" s="102" t="e">
        <f>(K778-J778)/K778</f>
        <v>#DIV/0!</v>
      </c>
      <c r="M778" s="179"/>
      <c r="N778" s="179" t="s">
        <v>3826</v>
      </c>
      <c r="O778" s="141">
        <f>I778</f>
        <v>0</v>
      </c>
      <c r="P778" s="181" t="b">
        <f>COUNTIF('Facility Data'!$A$1:$A$1500,"*"&amp;A778&amp;"*")&gt;0</f>
        <v>0</v>
      </c>
      <c r="Q778" s="181" t="b">
        <f>COUNTIF('Account Data'!$A$1:$A$1000,"*"&amp;A778&amp;"*")&gt;0</f>
        <v>0</v>
      </c>
      <c r="R778" s="182" t="b">
        <f>IF(OR(P778=TRUE,T778=TRUE),TRUE,FALSE)</f>
        <v>0</v>
      </c>
      <c r="S778" s="182" t="b">
        <f>IF(OR(Q778=TRUE,T778=TRUE),TRUE,FALSE)</f>
        <v>0</v>
      </c>
      <c r="T778" s="181" t="b">
        <f>COUNTIF('New Items'!$A$1:$A$175,A778)&gt;0</f>
        <v>0</v>
      </c>
      <c r="U778" s="181" t="b">
        <f>COUNTIF(Discontinued!$A$1:$A$150,A778)&gt;0</f>
        <v>0</v>
      </c>
    </row>
    <row r="779" spans="1:21" s="8" customFormat="1" ht="11.25" x14ac:dyDescent="0.2">
      <c r="A779" s="152">
        <v>20028118</v>
      </c>
      <c r="B779" s="9" t="s">
        <v>3084</v>
      </c>
      <c r="C779" s="15" t="s">
        <v>3085</v>
      </c>
      <c r="D779" s="11" t="s">
        <v>3941</v>
      </c>
      <c r="E779" s="14" t="s">
        <v>774</v>
      </c>
      <c r="F779" s="13">
        <v>24</v>
      </c>
      <c r="G779" s="98">
        <f>Overview!$B$65</f>
        <v>24</v>
      </c>
      <c r="H779" s="99">
        <f>G779-I779</f>
        <v>24</v>
      </c>
      <c r="I779" s="169">
        <f>Overview!$E$65</f>
        <v>0</v>
      </c>
      <c r="J779" s="100">
        <f>I779/F779</f>
        <v>0</v>
      </c>
      <c r="K779" s="171">
        <f>Overview!$H$65</f>
        <v>0</v>
      </c>
      <c r="L779" s="102" t="e">
        <f>(K779-J779)/K779</f>
        <v>#DIV/0!</v>
      </c>
      <c r="M779" s="179"/>
      <c r="N779" s="179" t="s">
        <v>3826</v>
      </c>
      <c r="O779" s="141">
        <f>I779</f>
        <v>0</v>
      </c>
      <c r="P779" s="181" t="b">
        <f>COUNTIF('Facility Data'!$A$1:$A$1500,"*"&amp;A779&amp;"*")&gt;0</f>
        <v>0</v>
      </c>
      <c r="Q779" s="181" t="b">
        <f>COUNTIF('Account Data'!$A$1:$A$1000,"*"&amp;A779&amp;"*")&gt;0</f>
        <v>0</v>
      </c>
      <c r="R779" s="182" t="b">
        <f>IF(OR(P779=TRUE,T779=TRUE),TRUE,FALSE)</f>
        <v>0</v>
      </c>
      <c r="S779" s="182" t="b">
        <f>IF(OR(Q779=TRUE,T779=TRUE),TRUE,FALSE)</f>
        <v>0</v>
      </c>
      <c r="T779" s="181" t="b">
        <f>COUNTIF('New Items'!$A$1:$A$175,A779)&gt;0</f>
        <v>0</v>
      </c>
      <c r="U779" s="181" t="b">
        <f>COUNTIF(Discontinued!$A$1:$A$150,A779)&gt;0</f>
        <v>0</v>
      </c>
    </row>
    <row r="780" spans="1:21" s="8" customFormat="1" ht="12" thickBot="1" x14ac:dyDescent="0.25">
      <c r="A780" s="152">
        <v>20028121</v>
      </c>
      <c r="B780" s="9" t="s">
        <v>3086</v>
      </c>
      <c r="C780" s="14" t="s">
        <v>3087</v>
      </c>
      <c r="D780" s="11" t="s">
        <v>3939</v>
      </c>
      <c r="E780" s="14" t="s">
        <v>774</v>
      </c>
      <c r="F780" s="13">
        <v>24</v>
      </c>
      <c r="G780" s="98">
        <f>Overview!$B$65</f>
        <v>24</v>
      </c>
      <c r="H780" s="99">
        <f>G780-I780</f>
        <v>24</v>
      </c>
      <c r="I780" s="169">
        <f>Overview!$E$65</f>
        <v>0</v>
      </c>
      <c r="J780" s="100">
        <f>I780/F780</f>
        <v>0</v>
      </c>
      <c r="K780" s="171">
        <f>Overview!$H$65</f>
        <v>0</v>
      </c>
      <c r="L780" s="102" t="e">
        <f>(K780-J780)/K780</f>
        <v>#DIV/0!</v>
      </c>
      <c r="M780" s="179"/>
      <c r="N780" s="179" t="s">
        <v>3826</v>
      </c>
      <c r="O780" s="141">
        <f>I780</f>
        <v>0</v>
      </c>
      <c r="P780" s="181" t="b">
        <f>COUNTIF('Facility Data'!$A$1:$A$1500,"*"&amp;A780&amp;"*")&gt;0</f>
        <v>0</v>
      </c>
      <c r="Q780" s="181" t="b">
        <f>COUNTIF('Account Data'!$A$1:$A$1000,"*"&amp;A780&amp;"*")&gt;0</f>
        <v>0</v>
      </c>
      <c r="R780" s="182" t="b">
        <f>IF(OR(P780=TRUE,T780=TRUE),TRUE,FALSE)</f>
        <v>0</v>
      </c>
      <c r="S780" s="182" t="b">
        <f>IF(OR(Q780=TRUE,T780=TRUE),TRUE,FALSE)</f>
        <v>0</v>
      </c>
      <c r="T780" s="181" t="b">
        <f>COUNTIF('New Items'!$A$1:$A$175,A780)&gt;0</f>
        <v>0</v>
      </c>
      <c r="U780" s="181" t="b">
        <f>COUNTIF(Discontinued!$A$1:$A$150,A780)&gt;0</f>
        <v>0</v>
      </c>
    </row>
    <row r="781" spans="1:21" s="8" customFormat="1" ht="13.5" thickBot="1" x14ac:dyDescent="0.25">
      <c r="A781" s="300" t="s">
        <v>3825</v>
      </c>
      <c r="B781" s="301"/>
      <c r="C781" s="301"/>
      <c r="D781" s="301"/>
      <c r="E781" s="301"/>
      <c r="F781" s="301"/>
      <c r="G781" s="301"/>
      <c r="H781" s="301"/>
      <c r="I781" s="301"/>
      <c r="J781" s="301"/>
      <c r="K781" s="301"/>
      <c r="L781" s="302"/>
      <c r="M781" s="179" t="s">
        <v>4361</v>
      </c>
      <c r="N781" s="179" t="s">
        <v>3827</v>
      </c>
      <c r="O781" s="141">
        <f>AVERAGE(O782:O788)</f>
        <v>0</v>
      </c>
      <c r="P781" s="181" t="b">
        <f>COUNTIF(P782:P788,TRUE)&gt;0</f>
        <v>0</v>
      </c>
      <c r="Q781" s="181" t="b">
        <f>COUNTIF(Q782:Q788,TRUE)&gt;0</f>
        <v>0</v>
      </c>
      <c r="R781" s="181" t="b">
        <f>COUNTIF(R782:R788,TRUE)&gt;0</f>
        <v>0</v>
      </c>
      <c r="S781" s="181" t="b">
        <f>COUNTIF(S782:S788,TRUE)&gt;0</f>
        <v>0</v>
      </c>
      <c r="T781" s="181" t="b">
        <f>COUNTIF(T782:T788,TRUE)&gt;0</f>
        <v>0</v>
      </c>
      <c r="U781" s="181"/>
    </row>
    <row r="782" spans="1:21" s="8" customFormat="1" ht="11.25" x14ac:dyDescent="0.2">
      <c r="A782" s="152">
        <v>20029844</v>
      </c>
      <c r="B782" s="9" t="s">
        <v>3810</v>
      </c>
      <c r="C782" s="14" t="s">
        <v>3811</v>
      </c>
      <c r="D782" s="11" t="s">
        <v>3939</v>
      </c>
      <c r="E782" s="14" t="s">
        <v>761</v>
      </c>
      <c r="F782" s="13">
        <v>12</v>
      </c>
      <c r="G782" s="98">
        <f>Overview!$B$66</f>
        <v>18</v>
      </c>
      <c r="H782" s="99">
        <f t="shared" ref="H782:H787" si="207">G782-I782</f>
        <v>18</v>
      </c>
      <c r="I782" s="169">
        <f>Overview!$E$66</f>
        <v>0</v>
      </c>
      <c r="J782" s="100">
        <f t="shared" ref="J782:J787" si="208">I782/F782</f>
        <v>0</v>
      </c>
      <c r="K782" s="171">
        <f>Overview!$H$66</f>
        <v>0</v>
      </c>
      <c r="L782" s="102" t="e">
        <f t="shared" ref="L782:L787" si="209">(K782-J782)/K782</f>
        <v>#DIV/0!</v>
      </c>
      <c r="M782" s="179"/>
      <c r="N782" s="179" t="s">
        <v>3827</v>
      </c>
      <c r="O782" s="141">
        <f t="shared" ref="O782:O787" si="210">I782</f>
        <v>0</v>
      </c>
      <c r="P782" s="181" t="b">
        <f>COUNTIF('Facility Data'!$A$1:$A$1500,"*"&amp;A782&amp;"*")&gt;0</f>
        <v>0</v>
      </c>
      <c r="Q782" s="181" t="b">
        <f>COUNTIF('Account Data'!$A$1:$A$1000,"*"&amp;A782&amp;"*")&gt;0</f>
        <v>0</v>
      </c>
      <c r="R782" s="182" t="b">
        <f t="shared" ref="R782:R788" si="211">IF(OR(P782=TRUE,T782=TRUE),TRUE,FALSE)</f>
        <v>0</v>
      </c>
      <c r="S782" s="182" t="b">
        <f t="shared" ref="S782:S787" si="212">IF(OR(Q782=TRUE,T782=TRUE),TRUE,FALSE)</f>
        <v>0</v>
      </c>
      <c r="T782" s="181" t="b">
        <f>COUNTIF('New Items'!$A$1:$A$175,A782)&gt;0</f>
        <v>0</v>
      </c>
      <c r="U782" s="181" t="b">
        <f>COUNTIF(Discontinued!$A$1:$A$150,A782)&gt;0</f>
        <v>0</v>
      </c>
    </row>
    <row r="783" spans="1:21" s="8" customFormat="1" ht="11.25" x14ac:dyDescent="0.2">
      <c r="A783" s="152">
        <v>20029836</v>
      </c>
      <c r="B783" s="9" t="s">
        <v>3812</v>
      </c>
      <c r="C783" s="15" t="s">
        <v>3813</v>
      </c>
      <c r="D783" s="11" t="s">
        <v>3942</v>
      </c>
      <c r="E783" s="14" t="s">
        <v>761</v>
      </c>
      <c r="F783" s="13">
        <v>12</v>
      </c>
      <c r="G783" s="98">
        <f>Overview!$B$66</f>
        <v>18</v>
      </c>
      <c r="H783" s="99">
        <f t="shared" si="207"/>
        <v>18</v>
      </c>
      <c r="I783" s="169">
        <f>Overview!$E$66</f>
        <v>0</v>
      </c>
      <c r="J783" s="100">
        <f t="shared" si="208"/>
        <v>0</v>
      </c>
      <c r="K783" s="171">
        <f>Overview!$H$66</f>
        <v>0</v>
      </c>
      <c r="L783" s="102" t="e">
        <f t="shared" si="209"/>
        <v>#DIV/0!</v>
      </c>
      <c r="M783" s="179"/>
      <c r="N783" s="179" t="s">
        <v>3827</v>
      </c>
      <c r="O783" s="141">
        <f t="shared" si="210"/>
        <v>0</v>
      </c>
      <c r="P783" s="181" t="b">
        <f>COUNTIF('Facility Data'!$A$1:$A$1500,"*"&amp;A783&amp;"*")&gt;0</f>
        <v>0</v>
      </c>
      <c r="Q783" s="181" t="b">
        <f>COUNTIF('Account Data'!$A$1:$A$1000,"*"&amp;A783&amp;"*")&gt;0</f>
        <v>0</v>
      </c>
      <c r="R783" s="182" t="b">
        <f t="shared" si="211"/>
        <v>0</v>
      </c>
      <c r="S783" s="182" t="b">
        <f t="shared" si="212"/>
        <v>0</v>
      </c>
      <c r="T783" s="181" t="b">
        <f>COUNTIF('New Items'!$A$1:$A$175,A783)&gt;0</f>
        <v>0</v>
      </c>
      <c r="U783" s="181" t="b">
        <f>COUNTIF(Discontinued!$A$1:$A$150,A783)&gt;0</f>
        <v>0</v>
      </c>
    </row>
    <row r="784" spans="1:21" s="8" customFormat="1" ht="11.25" x14ac:dyDescent="0.2">
      <c r="A784" s="152">
        <v>20029841</v>
      </c>
      <c r="B784" s="9" t="s">
        <v>3814</v>
      </c>
      <c r="C784" s="14" t="s">
        <v>3815</v>
      </c>
      <c r="D784" s="11" t="s">
        <v>3940</v>
      </c>
      <c r="E784" s="14" t="s">
        <v>761</v>
      </c>
      <c r="F784" s="13">
        <v>12</v>
      </c>
      <c r="G784" s="98">
        <f>Overview!$B$66</f>
        <v>18</v>
      </c>
      <c r="H784" s="99">
        <f t="shared" si="207"/>
        <v>18</v>
      </c>
      <c r="I784" s="169">
        <f>Overview!$E$66</f>
        <v>0</v>
      </c>
      <c r="J784" s="100">
        <f t="shared" si="208"/>
        <v>0</v>
      </c>
      <c r="K784" s="171">
        <f>Overview!$H$66</f>
        <v>0</v>
      </c>
      <c r="L784" s="102" t="e">
        <f t="shared" si="209"/>
        <v>#DIV/0!</v>
      </c>
      <c r="M784" s="179"/>
      <c r="N784" s="179" t="s">
        <v>3827</v>
      </c>
      <c r="O784" s="141">
        <f t="shared" si="210"/>
        <v>0</v>
      </c>
      <c r="P784" s="181" t="b">
        <f>COUNTIF('Facility Data'!$A$1:$A$1500,"*"&amp;A784&amp;"*")&gt;0</f>
        <v>0</v>
      </c>
      <c r="Q784" s="181" t="b">
        <f>COUNTIF('Account Data'!$A$1:$A$1000,"*"&amp;A784&amp;"*")&gt;0</f>
        <v>0</v>
      </c>
      <c r="R784" s="182" t="b">
        <f t="shared" si="211"/>
        <v>0</v>
      </c>
      <c r="S784" s="182" t="b">
        <f t="shared" si="212"/>
        <v>0</v>
      </c>
      <c r="T784" s="181" t="b">
        <f>COUNTIF('New Items'!$A$1:$A$175,A784)&gt;0</f>
        <v>0</v>
      </c>
      <c r="U784" s="181" t="b">
        <f>COUNTIF(Discontinued!$A$1:$A$150,A784)&gt;0</f>
        <v>0</v>
      </c>
    </row>
    <row r="785" spans="1:21" s="8" customFormat="1" ht="11.25" x14ac:dyDescent="0.2">
      <c r="A785" s="152">
        <v>20029842</v>
      </c>
      <c r="B785" s="9" t="s">
        <v>3816</v>
      </c>
      <c r="C785" s="14" t="s">
        <v>3817</v>
      </c>
      <c r="D785" s="11" t="s">
        <v>752</v>
      </c>
      <c r="E785" s="14" t="s">
        <v>761</v>
      </c>
      <c r="F785" s="13">
        <v>12</v>
      </c>
      <c r="G785" s="98">
        <f>Overview!$B$66</f>
        <v>18</v>
      </c>
      <c r="H785" s="99">
        <f>G785-I785</f>
        <v>18</v>
      </c>
      <c r="I785" s="169">
        <f>Overview!$E$66</f>
        <v>0</v>
      </c>
      <c r="J785" s="100">
        <f>I785/F785</f>
        <v>0</v>
      </c>
      <c r="K785" s="171">
        <f>Overview!$H$66</f>
        <v>0</v>
      </c>
      <c r="L785" s="102" t="e">
        <f>(K785-J785)/K785</f>
        <v>#DIV/0!</v>
      </c>
      <c r="M785" s="179"/>
      <c r="N785" s="179" t="s">
        <v>3827</v>
      </c>
      <c r="O785" s="141">
        <f>I785</f>
        <v>0</v>
      </c>
      <c r="P785" s="181" t="b">
        <f>COUNTIF('Facility Data'!$A$1:$A$1500,"*"&amp;A785&amp;"*")&gt;0</f>
        <v>0</v>
      </c>
      <c r="Q785" s="181" t="b">
        <f>COUNTIF('Account Data'!$A$1:$A$1000,"*"&amp;A785&amp;"*")&gt;0</f>
        <v>0</v>
      </c>
      <c r="R785" s="182" t="b">
        <f t="shared" si="211"/>
        <v>0</v>
      </c>
      <c r="S785" s="182" t="b">
        <f>IF(OR(Q785=TRUE,T785=TRUE),TRUE,FALSE)</f>
        <v>0</v>
      </c>
      <c r="T785" s="181" t="b">
        <f>COUNTIF('New Items'!$A$1:$A$175,A785)&gt;0</f>
        <v>0</v>
      </c>
      <c r="U785" s="181" t="b">
        <f>COUNTIF(Discontinued!$A$1:$A$150,A785)&gt;0</f>
        <v>0</v>
      </c>
    </row>
    <row r="786" spans="1:21" s="8" customFormat="1" ht="11.25" x14ac:dyDescent="0.2">
      <c r="A786" s="152">
        <v>20029840</v>
      </c>
      <c r="B786" s="9" t="s">
        <v>3818</v>
      </c>
      <c r="C786" s="14" t="s">
        <v>3819</v>
      </c>
      <c r="D786" s="11" t="s">
        <v>667</v>
      </c>
      <c r="E786" s="14" t="s">
        <v>761</v>
      </c>
      <c r="F786" s="13">
        <v>12</v>
      </c>
      <c r="G786" s="98">
        <f>Overview!$B$66</f>
        <v>18</v>
      </c>
      <c r="H786" s="99">
        <f t="shared" si="207"/>
        <v>18</v>
      </c>
      <c r="I786" s="169">
        <f>Overview!$E$66</f>
        <v>0</v>
      </c>
      <c r="J786" s="100">
        <f t="shared" si="208"/>
        <v>0</v>
      </c>
      <c r="K786" s="171">
        <f>Overview!$H$66</f>
        <v>0</v>
      </c>
      <c r="L786" s="102" t="e">
        <f t="shared" si="209"/>
        <v>#DIV/0!</v>
      </c>
      <c r="M786" s="179"/>
      <c r="N786" s="179" t="s">
        <v>3827</v>
      </c>
      <c r="O786" s="141">
        <f t="shared" si="210"/>
        <v>0</v>
      </c>
      <c r="P786" s="181" t="b">
        <f>COUNTIF('Facility Data'!$A$1:$A$1500,"*"&amp;A786&amp;"*")&gt;0</f>
        <v>0</v>
      </c>
      <c r="Q786" s="181" t="b">
        <f>COUNTIF('Account Data'!$A$1:$A$1000,"*"&amp;A786&amp;"*")&gt;0</f>
        <v>0</v>
      </c>
      <c r="R786" s="182" t="b">
        <f t="shared" si="211"/>
        <v>0</v>
      </c>
      <c r="S786" s="182" t="b">
        <f t="shared" si="212"/>
        <v>0</v>
      </c>
      <c r="T786" s="181" t="b">
        <f>COUNTIF('New Items'!$A$1:$A$175,A786)&gt;0</f>
        <v>0</v>
      </c>
      <c r="U786" s="181" t="b">
        <f>COUNTIF(Discontinued!$A$1:$A$150,A786)&gt;0</f>
        <v>0</v>
      </c>
    </row>
    <row r="787" spans="1:21" s="8" customFormat="1" ht="11.25" x14ac:dyDescent="0.2">
      <c r="A787" s="152">
        <v>20029839</v>
      </c>
      <c r="B787" s="9" t="s">
        <v>3820</v>
      </c>
      <c r="C787" s="14" t="s">
        <v>3821</v>
      </c>
      <c r="D787" s="11" t="s">
        <v>697</v>
      </c>
      <c r="E787" s="14" t="s">
        <v>761</v>
      </c>
      <c r="F787" s="13">
        <v>12</v>
      </c>
      <c r="G787" s="98">
        <f>Overview!$B$66</f>
        <v>18</v>
      </c>
      <c r="H787" s="99">
        <f t="shared" si="207"/>
        <v>18</v>
      </c>
      <c r="I787" s="169">
        <f>Overview!$E$66</f>
        <v>0</v>
      </c>
      <c r="J787" s="100">
        <f t="shared" si="208"/>
        <v>0</v>
      </c>
      <c r="K787" s="171">
        <f>Overview!$H$66</f>
        <v>0</v>
      </c>
      <c r="L787" s="102" t="e">
        <f t="shared" si="209"/>
        <v>#DIV/0!</v>
      </c>
      <c r="M787" s="179"/>
      <c r="N787" s="179" t="s">
        <v>3827</v>
      </c>
      <c r="O787" s="141">
        <f t="shared" si="210"/>
        <v>0</v>
      </c>
      <c r="P787" s="181" t="b">
        <f>COUNTIF('Facility Data'!$A$1:$A$1500,"*"&amp;A787&amp;"*")&gt;0</f>
        <v>0</v>
      </c>
      <c r="Q787" s="181" t="b">
        <f>COUNTIF('Account Data'!$A$1:$A$1000,"*"&amp;A787&amp;"*")&gt;0</f>
        <v>0</v>
      </c>
      <c r="R787" s="182" t="b">
        <f t="shared" si="211"/>
        <v>0</v>
      </c>
      <c r="S787" s="182" t="b">
        <f t="shared" si="212"/>
        <v>0</v>
      </c>
      <c r="T787" s="181" t="b">
        <f>COUNTIF('New Items'!$A$1:$A$175,A787)&gt;0</f>
        <v>0</v>
      </c>
      <c r="U787" s="181" t="b">
        <f>COUNTIF(Discontinued!$A$1:$A$150,A787)&gt;0</f>
        <v>0</v>
      </c>
    </row>
    <row r="788" spans="1:21" s="8" customFormat="1" ht="12" thickBot="1" x14ac:dyDescent="0.25">
      <c r="A788" s="152">
        <v>20029843</v>
      </c>
      <c r="B788" s="9" t="s">
        <v>3822</v>
      </c>
      <c r="C788" s="14" t="s">
        <v>3823</v>
      </c>
      <c r="D788" s="11" t="s">
        <v>1173</v>
      </c>
      <c r="E788" s="14" t="s">
        <v>761</v>
      </c>
      <c r="F788" s="13">
        <v>12</v>
      </c>
      <c r="G788" s="98">
        <f>Overview!$B$66</f>
        <v>18</v>
      </c>
      <c r="H788" s="99">
        <f>G788-I788</f>
        <v>18</v>
      </c>
      <c r="I788" s="169">
        <f>Overview!$E$66</f>
        <v>0</v>
      </c>
      <c r="J788" s="100">
        <f>I788/F788</f>
        <v>0</v>
      </c>
      <c r="K788" s="171">
        <f>Overview!$H$66</f>
        <v>0</v>
      </c>
      <c r="L788" s="102" t="e">
        <f>(K788-J788)/K788</f>
        <v>#DIV/0!</v>
      </c>
      <c r="M788" s="179"/>
      <c r="N788" s="179" t="s">
        <v>3827</v>
      </c>
      <c r="O788" s="141">
        <f>I788</f>
        <v>0</v>
      </c>
      <c r="P788" s="181" t="b">
        <f>COUNTIF('Facility Data'!$A$1:$A$1500,"*"&amp;A788&amp;"*")&gt;0</f>
        <v>0</v>
      </c>
      <c r="Q788" s="181" t="b">
        <f>COUNTIF('Account Data'!$A$1:$A$1000,"*"&amp;A788&amp;"*")&gt;0</f>
        <v>0</v>
      </c>
      <c r="R788" s="182" t="b">
        <f t="shared" si="211"/>
        <v>0</v>
      </c>
      <c r="S788" s="182" t="b">
        <f>IF(OR(Q788=TRUE,T788=TRUE),TRUE,FALSE)</f>
        <v>0</v>
      </c>
      <c r="T788" s="181" t="b">
        <f>COUNTIF('New Items'!$A$1:$A$175,A788)&gt;0</f>
        <v>0</v>
      </c>
      <c r="U788" s="181" t="b">
        <f>COUNTIF(Discontinued!$A$1:$A$150,A788)&gt;0</f>
        <v>0</v>
      </c>
    </row>
    <row r="789" spans="1:21" s="8" customFormat="1" ht="13.5" thickBot="1" x14ac:dyDescent="0.25">
      <c r="A789" s="300" t="s">
        <v>473</v>
      </c>
      <c r="B789" s="301"/>
      <c r="C789" s="301"/>
      <c r="D789" s="301"/>
      <c r="E789" s="301"/>
      <c r="F789" s="301"/>
      <c r="G789" s="301"/>
      <c r="H789" s="301"/>
      <c r="I789" s="301"/>
      <c r="J789" s="301"/>
      <c r="K789" s="301"/>
      <c r="L789" s="302"/>
      <c r="M789" s="179" t="s">
        <v>4361</v>
      </c>
      <c r="N789" s="179" t="s">
        <v>981</v>
      </c>
      <c r="O789" s="141">
        <f>AVERAGE(O790:O796)</f>
        <v>0</v>
      </c>
      <c r="P789" s="181" t="b">
        <f>COUNTIF(P790:P796,TRUE)&gt;0</f>
        <v>1</v>
      </c>
      <c r="Q789" s="181" t="b">
        <f>COUNTIF(Q790:Q796,TRUE)&gt;0</f>
        <v>1</v>
      </c>
      <c r="R789" s="181" t="b">
        <f>COUNTIF(R790:R796,TRUE)&gt;0</f>
        <v>1</v>
      </c>
      <c r="S789" s="181" t="b">
        <f>COUNTIF(S790:S796,TRUE)&gt;0</f>
        <v>1</v>
      </c>
      <c r="T789" s="181" t="b">
        <f>COUNTIF(T790:T796,TRUE)&gt;0</f>
        <v>0</v>
      </c>
      <c r="U789" s="181"/>
    </row>
    <row r="790" spans="1:21" s="8" customFormat="1" ht="11.25" x14ac:dyDescent="0.2">
      <c r="A790" s="154">
        <v>10109984</v>
      </c>
      <c r="B790" s="10" t="s">
        <v>474</v>
      </c>
      <c r="C790" s="14" t="s">
        <v>475</v>
      </c>
      <c r="D790" s="31" t="s">
        <v>715</v>
      </c>
      <c r="E790" s="14" t="s">
        <v>779</v>
      </c>
      <c r="F790" s="13">
        <v>12</v>
      </c>
      <c r="G790" s="22">
        <f>Overview!$B$67</f>
        <v>24</v>
      </c>
      <c r="H790" s="23">
        <f t="shared" ref="H790:H796" si="213">G790-I790</f>
        <v>24</v>
      </c>
      <c r="I790" s="114">
        <f>Overview!$E$67</f>
        <v>0</v>
      </c>
      <c r="J790" s="24">
        <f t="shared" ref="J790:J796" si="214">I790/F790</f>
        <v>0</v>
      </c>
      <c r="K790" s="116">
        <f>Overview!$H$67</f>
        <v>0</v>
      </c>
      <c r="L790" s="51" t="e">
        <f t="shared" ref="L790:L796" si="215">(K790-J790)/K790</f>
        <v>#DIV/0!</v>
      </c>
      <c r="M790" s="179"/>
      <c r="N790" s="179" t="s">
        <v>981</v>
      </c>
      <c r="O790" s="141">
        <f>I790</f>
        <v>0</v>
      </c>
      <c r="P790" s="181" t="b">
        <f>COUNTIF('Facility Data'!$A$1:$A$1500,"*"&amp;A790&amp;"*")&gt;0</f>
        <v>1</v>
      </c>
      <c r="Q790" s="181" t="b">
        <f>COUNTIF('Account Data'!$A$1:$A$1000,"*"&amp;A790&amp;"*")&gt;0</f>
        <v>1</v>
      </c>
      <c r="R790" s="182" t="b">
        <f t="shared" ref="R790:R796" si="216">IF(OR(P790=TRUE,T790=TRUE),TRUE,FALSE)</f>
        <v>1</v>
      </c>
      <c r="S790" s="182" t="b">
        <f t="shared" ref="S790:S796" si="217">IF(OR(Q790=TRUE,T790=TRUE),TRUE,FALSE)</f>
        <v>1</v>
      </c>
      <c r="T790" s="181" t="b">
        <f>COUNTIF('New Items'!$A$1:$A$175,A790)&gt;0</f>
        <v>0</v>
      </c>
      <c r="U790" s="181" t="b">
        <f>COUNTIF(Discontinued!$A$1:$A$150,A790)&gt;0</f>
        <v>0</v>
      </c>
    </row>
    <row r="791" spans="1:21" s="8" customFormat="1" ht="11.25" x14ac:dyDescent="0.2">
      <c r="A791" s="154">
        <v>10109982</v>
      </c>
      <c r="B791" s="10" t="s">
        <v>481</v>
      </c>
      <c r="C791" s="14" t="s">
        <v>482</v>
      </c>
      <c r="D791" s="35" t="s">
        <v>719</v>
      </c>
      <c r="E791" s="14" t="s">
        <v>779</v>
      </c>
      <c r="F791" s="13">
        <v>12</v>
      </c>
      <c r="G791" s="22">
        <f>Overview!$B$67</f>
        <v>24</v>
      </c>
      <c r="H791" s="23">
        <f t="shared" si="213"/>
        <v>24</v>
      </c>
      <c r="I791" s="114">
        <f>Overview!$E$67</f>
        <v>0</v>
      </c>
      <c r="J791" s="24">
        <f t="shared" si="214"/>
        <v>0</v>
      </c>
      <c r="K791" s="116">
        <f>Overview!$H$67</f>
        <v>0</v>
      </c>
      <c r="L791" s="51" t="e">
        <f t="shared" si="215"/>
        <v>#DIV/0!</v>
      </c>
      <c r="M791" s="179"/>
      <c r="N791" s="179" t="s">
        <v>981</v>
      </c>
      <c r="O791" s="141">
        <f t="shared" ref="O791:O796" si="218">I791</f>
        <v>0</v>
      </c>
      <c r="P791" s="181" t="b">
        <f>COUNTIF('Facility Data'!$A$1:$A$1500,"*"&amp;A791&amp;"*")&gt;0</f>
        <v>1</v>
      </c>
      <c r="Q791" s="181" t="b">
        <f>COUNTIF('Account Data'!$A$1:$A$1000,"*"&amp;A791&amp;"*")&gt;0</f>
        <v>1</v>
      </c>
      <c r="R791" s="182" t="b">
        <f t="shared" si="216"/>
        <v>1</v>
      </c>
      <c r="S791" s="182" t="b">
        <f t="shared" si="217"/>
        <v>1</v>
      </c>
      <c r="T791" s="181" t="b">
        <f>COUNTIF('New Items'!$A$1:$A$175,A791)&gt;0</f>
        <v>0</v>
      </c>
      <c r="U791" s="181" t="b">
        <f>COUNTIF(Discontinued!$A$1:$A$150,A791)&gt;0</f>
        <v>0</v>
      </c>
    </row>
    <row r="792" spans="1:21" s="8" customFormat="1" ht="11.25" x14ac:dyDescent="0.2">
      <c r="A792" s="154">
        <v>10110028</v>
      </c>
      <c r="B792" s="10" t="s">
        <v>479</v>
      </c>
      <c r="C792" s="14" t="s">
        <v>480</v>
      </c>
      <c r="D792" s="33" t="s">
        <v>717</v>
      </c>
      <c r="E792" s="14" t="s">
        <v>779</v>
      </c>
      <c r="F792" s="13">
        <v>12</v>
      </c>
      <c r="G792" s="22">
        <f>Overview!$B$67</f>
        <v>24</v>
      </c>
      <c r="H792" s="23">
        <f t="shared" si="213"/>
        <v>24</v>
      </c>
      <c r="I792" s="114">
        <f>Overview!$E$67</f>
        <v>0</v>
      </c>
      <c r="J792" s="24">
        <f t="shared" si="214"/>
        <v>0</v>
      </c>
      <c r="K792" s="116">
        <f>Overview!$H$67</f>
        <v>0</v>
      </c>
      <c r="L792" s="51" t="e">
        <f t="shared" si="215"/>
        <v>#DIV/0!</v>
      </c>
      <c r="M792" s="179"/>
      <c r="N792" s="179" t="s">
        <v>981</v>
      </c>
      <c r="O792" s="141">
        <f t="shared" si="218"/>
        <v>0</v>
      </c>
      <c r="P792" s="181" t="b">
        <f>COUNTIF('Facility Data'!$A$1:$A$1500,"*"&amp;A792&amp;"*")&gt;0</f>
        <v>1</v>
      </c>
      <c r="Q792" s="181" t="b">
        <f>COUNTIF('Account Data'!$A$1:$A$1000,"*"&amp;A792&amp;"*")&gt;0</f>
        <v>1</v>
      </c>
      <c r="R792" s="182" t="b">
        <f t="shared" si="216"/>
        <v>1</v>
      </c>
      <c r="S792" s="182" t="b">
        <f t="shared" si="217"/>
        <v>1</v>
      </c>
      <c r="T792" s="181" t="b">
        <f>COUNTIF('New Items'!$A$1:$A$175,A792)&gt;0</f>
        <v>0</v>
      </c>
      <c r="U792" s="181" t="b">
        <f>COUNTIF(Discontinued!$A$1:$A$150,A792)&gt;0</f>
        <v>0</v>
      </c>
    </row>
    <row r="793" spans="1:21" s="8" customFormat="1" ht="11.25" x14ac:dyDescent="0.2">
      <c r="A793" s="154">
        <v>10110005</v>
      </c>
      <c r="B793" s="10" t="s">
        <v>571</v>
      </c>
      <c r="C793" s="14" t="s">
        <v>476</v>
      </c>
      <c r="D793" s="32" t="s">
        <v>716</v>
      </c>
      <c r="E793" s="14" t="s">
        <v>779</v>
      </c>
      <c r="F793" s="13">
        <v>12</v>
      </c>
      <c r="G793" s="22">
        <f>Overview!$B$67</f>
        <v>24</v>
      </c>
      <c r="H793" s="23">
        <f t="shared" si="213"/>
        <v>24</v>
      </c>
      <c r="I793" s="114">
        <f>Overview!$E$67</f>
        <v>0</v>
      </c>
      <c r="J793" s="24">
        <f t="shared" si="214"/>
        <v>0</v>
      </c>
      <c r="K793" s="116">
        <f>Overview!$H$67</f>
        <v>0</v>
      </c>
      <c r="L793" s="51" t="e">
        <f t="shared" si="215"/>
        <v>#DIV/0!</v>
      </c>
      <c r="M793" s="179"/>
      <c r="N793" s="179" t="s">
        <v>981</v>
      </c>
      <c r="O793" s="141">
        <f t="shared" si="218"/>
        <v>0</v>
      </c>
      <c r="P793" s="181" t="b">
        <f>COUNTIF('Facility Data'!$A$1:$A$1500,"*"&amp;A793&amp;"*")&gt;0</f>
        <v>1</v>
      </c>
      <c r="Q793" s="181" t="b">
        <f>COUNTIF('Account Data'!$A$1:$A$1000,"*"&amp;A793&amp;"*")&gt;0</f>
        <v>1</v>
      </c>
      <c r="R793" s="182" t="b">
        <f t="shared" si="216"/>
        <v>1</v>
      </c>
      <c r="S793" s="182" t="b">
        <f t="shared" si="217"/>
        <v>1</v>
      </c>
      <c r="T793" s="181" t="b">
        <f>COUNTIF('New Items'!$A$1:$A$175,A793)&gt;0</f>
        <v>0</v>
      </c>
      <c r="U793" s="181" t="b">
        <f>COUNTIF(Discontinued!$A$1:$A$150,A793)&gt;0</f>
        <v>0</v>
      </c>
    </row>
    <row r="794" spans="1:21" s="8" customFormat="1" ht="11.25" x14ac:dyDescent="0.2">
      <c r="A794" s="154">
        <v>10110042</v>
      </c>
      <c r="B794" s="10" t="s">
        <v>483</v>
      </c>
      <c r="C794" s="14" t="s">
        <v>484</v>
      </c>
      <c r="D794" s="36" t="s">
        <v>720</v>
      </c>
      <c r="E794" s="14" t="s">
        <v>779</v>
      </c>
      <c r="F794" s="13">
        <v>12</v>
      </c>
      <c r="G794" s="22">
        <f>Overview!$B$67</f>
        <v>24</v>
      </c>
      <c r="H794" s="23">
        <f t="shared" si="213"/>
        <v>24</v>
      </c>
      <c r="I794" s="114">
        <f>Overview!$E$67</f>
        <v>0</v>
      </c>
      <c r="J794" s="24">
        <f t="shared" si="214"/>
        <v>0</v>
      </c>
      <c r="K794" s="116">
        <f>Overview!$H$67</f>
        <v>0</v>
      </c>
      <c r="L794" s="51" t="e">
        <f t="shared" si="215"/>
        <v>#DIV/0!</v>
      </c>
      <c r="M794" s="179"/>
      <c r="N794" s="179" t="s">
        <v>981</v>
      </c>
      <c r="O794" s="141">
        <f t="shared" si="218"/>
        <v>0</v>
      </c>
      <c r="P794" s="181" t="b">
        <f>COUNTIF('Facility Data'!$A$1:$A$1500,"*"&amp;A794&amp;"*")&gt;0</f>
        <v>1</v>
      </c>
      <c r="Q794" s="181" t="b">
        <f>COUNTIF('Account Data'!$A$1:$A$1000,"*"&amp;A794&amp;"*")&gt;0</f>
        <v>1</v>
      </c>
      <c r="R794" s="182" t="b">
        <f t="shared" si="216"/>
        <v>1</v>
      </c>
      <c r="S794" s="182" t="b">
        <f t="shared" si="217"/>
        <v>1</v>
      </c>
      <c r="T794" s="181" t="b">
        <f>COUNTIF('New Items'!$A$1:$A$175,A794)&gt;0</f>
        <v>0</v>
      </c>
      <c r="U794" s="181" t="b">
        <f>COUNTIF(Discontinued!$A$1:$A$150,A794)&gt;0</f>
        <v>0</v>
      </c>
    </row>
    <row r="795" spans="1:21" s="8" customFormat="1" ht="11.25" x14ac:dyDescent="0.2">
      <c r="A795" s="154">
        <v>10110062</v>
      </c>
      <c r="B795" s="10" t="s">
        <v>572</v>
      </c>
      <c r="C795" s="14" t="s">
        <v>477</v>
      </c>
      <c r="D795" s="34" t="s">
        <v>718</v>
      </c>
      <c r="E795" s="14" t="s">
        <v>779</v>
      </c>
      <c r="F795" s="13">
        <v>12</v>
      </c>
      <c r="G795" s="22">
        <f>Overview!$B$67</f>
        <v>24</v>
      </c>
      <c r="H795" s="23">
        <f t="shared" si="213"/>
        <v>24</v>
      </c>
      <c r="I795" s="114">
        <f>Overview!$E$67</f>
        <v>0</v>
      </c>
      <c r="J795" s="24">
        <f t="shared" si="214"/>
        <v>0</v>
      </c>
      <c r="K795" s="116">
        <f>Overview!$H$67</f>
        <v>0</v>
      </c>
      <c r="L795" s="51" t="e">
        <f t="shared" si="215"/>
        <v>#DIV/0!</v>
      </c>
      <c r="M795" s="179"/>
      <c r="N795" s="179" t="s">
        <v>981</v>
      </c>
      <c r="O795" s="141">
        <f t="shared" si="218"/>
        <v>0</v>
      </c>
      <c r="P795" s="181" t="b">
        <f>COUNTIF('Facility Data'!$A$1:$A$1500,"*"&amp;A795&amp;"*")&gt;0</f>
        <v>1</v>
      </c>
      <c r="Q795" s="181" t="b">
        <f>COUNTIF('Account Data'!$A$1:$A$1000,"*"&amp;A795&amp;"*")&gt;0</f>
        <v>1</v>
      </c>
      <c r="R795" s="182" t="b">
        <f t="shared" si="216"/>
        <v>1</v>
      </c>
      <c r="S795" s="182" t="b">
        <f t="shared" si="217"/>
        <v>1</v>
      </c>
      <c r="T795" s="181" t="b">
        <f>COUNTIF('New Items'!$A$1:$A$175,A795)&gt;0</f>
        <v>0</v>
      </c>
      <c r="U795" s="181" t="b">
        <f>COUNTIF(Discontinued!$A$1:$A$150,A795)&gt;0</f>
        <v>0</v>
      </c>
    </row>
    <row r="796" spans="1:21" s="8" customFormat="1" ht="12" thickBot="1" x14ac:dyDescent="0.25">
      <c r="A796" s="154">
        <v>10110021</v>
      </c>
      <c r="B796" s="10" t="s">
        <v>2237</v>
      </c>
      <c r="C796" s="14" t="s">
        <v>478</v>
      </c>
      <c r="D796" s="37" t="s">
        <v>721</v>
      </c>
      <c r="E796" s="14" t="s">
        <v>779</v>
      </c>
      <c r="F796" s="13">
        <v>12</v>
      </c>
      <c r="G796" s="22">
        <f>Overview!$B$67</f>
        <v>24</v>
      </c>
      <c r="H796" s="23">
        <f t="shared" si="213"/>
        <v>24</v>
      </c>
      <c r="I796" s="114">
        <f>Overview!$E$67</f>
        <v>0</v>
      </c>
      <c r="J796" s="24">
        <f t="shared" si="214"/>
        <v>0</v>
      </c>
      <c r="K796" s="116">
        <f>Overview!$H$67</f>
        <v>0</v>
      </c>
      <c r="L796" s="51" t="e">
        <f t="shared" si="215"/>
        <v>#DIV/0!</v>
      </c>
      <c r="M796" s="179"/>
      <c r="N796" s="179" t="s">
        <v>981</v>
      </c>
      <c r="O796" s="141">
        <f t="shared" si="218"/>
        <v>0</v>
      </c>
      <c r="P796" s="181" t="b">
        <f>COUNTIF('Facility Data'!$A$1:$A$1500,"*"&amp;A796&amp;"*")&gt;0</f>
        <v>1</v>
      </c>
      <c r="Q796" s="181" t="b">
        <f>COUNTIF('Account Data'!$A$1:$A$1000,"*"&amp;A796&amp;"*")&gt;0</f>
        <v>1</v>
      </c>
      <c r="R796" s="182" t="b">
        <f t="shared" si="216"/>
        <v>1</v>
      </c>
      <c r="S796" s="182" t="b">
        <f t="shared" si="217"/>
        <v>1</v>
      </c>
      <c r="T796" s="181" t="b">
        <f>COUNTIF('New Items'!$A$1:$A$175,A796)&gt;0</f>
        <v>0</v>
      </c>
      <c r="U796" s="181" t="b">
        <f>COUNTIF(Discontinued!$A$1:$A$150,A796)&gt;0</f>
        <v>0</v>
      </c>
    </row>
    <row r="797" spans="1:21" s="8" customFormat="1" ht="13.5" thickBot="1" x14ac:dyDescent="0.25">
      <c r="A797" s="300" t="s">
        <v>800</v>
      </c>
      <c r="B797" s="301"/>
      <c r="C797" s="301"/>
      <c r="D797" s="301"/>
      <c r="E797" s="301"/>
      <c r="F797" s="301"/>
      <c r="G797" s="301"/>
      <c r="H797" s="301"/>
      <c r="I797" s="301"/>
      <c r="J797" s="301"/>
      <c r="K797" s="301"/>
      <c r="L797" s="302"/>
      <c r="M797" s="179" t="s">
        <v>4361</v>
      </c>
      <c r="N797" s="179" t="s">
        <v>982</v>
      </c>
      <c r="O797" s="141">
        <f>AVERAGE(O798:O800)</f>
        <v>0</v>
      </c>
      <c r="P797" s="181" t="b">
        <f>COUNTIF(P798:P800,TRUE)&gt;0</f>
        <v>1</v>
      </c>
      <c r="Q797" s="181" t="b">
        <f>COUNTIF(Q798:Q800,TRUE)&gt;0</f>
        <v>0</v>
      </c>
      <c r="R797" s="181" t="b">
        <f>COUNTIF(R798:R800,TRUE)&gt;0</f>
        <v>1</v>
      </c>
      <c r="S797" s="181" t="b">
        <f>COUNTIF(S798:S800,TRUE)&gt;0</f>
        <v>0</v>
      </c>
      <c r="T797" s="181" t="b">
        <f>COUNTIF(T798:T800,TRUE)&gt;0</f>
        <v>0</v>
      </c>
      <c r="U797" s="181"/>
    </row>
    <row r="798" spans="1:21" s="8" customFormat="1" ht="11.25" x14ac:dyDescent="0.2">
      <c r="A798" s="154">
        <v>10112794</v>
      </c>
      <c r="B798" s="10" t="s">
        <v>858</v>
      </c>
      <c r="C798" s="14" t="s">
        <v>801</v>
      </c>
      <c r="D798" s="31" t="s">
        <v>715</v>
      </c>
      <c r="E798" s="14" t="s">
        <v>779</v>
      </c>
      <c r="F798" s="13">
        <v>6</v>
      </c>
      <c r="G798" s="22">
        <f>Overview!$B$68</f>
        <v>48</v>
      </c>
      <c r="H798" s="23">
        <f>G798-I798</f>
        <v>48</v>
      </c>
      <c r="I798" s="114">
        <f>Overview!$E$68</f>
        <v>0</v>
      </c>
      <c r="J798" s="24">
        <f>I798/F798</f>
        <v>0</v>
      </c>
      <c r="K798" s="116">
        <f>Overview!$H$68</f>
        <v>0</v>
      </c>
      <c r="L798" s="51" t="e">
        <f>(K798-J798)/K798</f>
        <v>#DIV/0!</v>
      </c>
      <c r="M798" s="179"/>
      <c r="N798" s="179" t="s">
        <v>982</v>
      </c>
      <c r="O798" s="141">
        <f>I798</f>
        <v>0</v>
      </c>
      <c r="P798" s="181" t="b">
        <f>COUNTIF('Facility Data'!$A$1:$A$1500,"*"&amp;A798&amp;"*")&gt;0</f>
        <v>1</v>
      </c>
      <c r="Q798" s="181" t="b">
        <f>COUNTIF('Account Data'!$A$1:$A$1000,"*"&amp;A798&amp;"*")&gt;0</f>
        <v>0</v>
      </c>
      <c r="R798" s="182" t="b">
        <f>IF(OR(P798=TRUE,T798=TRUE),TRUE,FALSE)</f>
        <v>1</v>
      </c>
      <c r="S798" s="182" t="b">
        <f>IF(OR(Q798=TRUE,T798=TRUE),TRUE,FALSE)</f>
        <v>0</v>
      </c>
      <c r="T798" s="181" t="b">
        <f>COUNTIF('New Items'!$A$1:$A$175,A798)&gt;0</f>
        <v>0</v>
      </c>
      <c r="U798" s="181" t="b">
        <f>COUNTIF(Discontinued!$A$1:$A$150,A798)&gt;0</f>
        <v>0</v>
      </c>
    </row>
    <row r="799" spans="1:21" s="8" customFormat="1" ht="11.25" x14ac:dyDescent="0.2">
      <c r="A799" s="154">
        <v>10112795</v>
      </c>
      <c r="B799" s="10" t="s">
        <v>856</v>
      </c>
      <c r="C799" s="14" t="s">
        <v>803</v>
      </c>
      <c r="D799" s="35" t="s">
        <v>719</v>
      </c>
      <c r="E799" s="14" t="s">
        <v>779</v>
      </c>
      <c r="F799" s="13">
        <v>6</v>
      </c>
      <c r="G799" s="22">
        <f>Overview!$B$68</f>
        <v>48</v>
      </c>
      <c r="H799" s="23">
        <f>G799-I799</f>
        <v>48</v>
      </c>
      <c r="I799" s="114">
        <f>Overview!$E$68</f>
        <v>0</v>
      </c>
      <c r="J799" s="24">
        <f>I799/F799</f>
        <v>0</v>
      </c>
      <c r="K799" s="116">
        <f>Overview!$H$68</f>
        <v>0</v>
      </c>
      <c r="L799" s="51" t="e">
        <f>(K799-J799)/K799</f>
        <v>#DIV/0!</v>
      </c>
      <c r="M799" s="179"/>
      <c r="N799" s="179" t="s">
        <v>982</v>
      </c>
      <c r="O799" s="141">
        <f>I799</f>
        <v>0</v>
      </c>
      <c r="P799" s="181" t="b">
        <f>COUNTIF('Facility Data'!$A$1:$A$1500,"*"&amp;A799&amp;"*")&gt;0</f>
        <v>1</v>
      </c>
      <c r="Q799" s="181" t="b">
        <f>COUNTIF('Account Data'!$A$1:$A$1000,"*"&amp;A799&amp;"*")&gt;0</f>
        <v>0</v>
      </c>
      <c r="R799" s="182" t="b">
        <f>IF(OR(P799=TRUE,T799=TRUE),TRUE,FALSE)</f>
        <v>1</v>
      </c>
      <c r="S799" s="182" t="b">
        <f>IF(OR(Q799=TRUE,T799=TRUE),TRUE,FALSE)</f>
        <v>0</v>
      </c>
      <c r="T799" s="181" t="b">
        <f>COUNTIF('New Items'!$A$1:$A$175,A799)&gt;0</f>
        <v>0</v>
      </c>
      <c r="U799" s="181" t="b">
        <f>COUNTIF(Discontinued!$A$1:$A$150,A799)&gt;0</f>
        <v>0</v>
      </c>
    </row>
    <row r="800" spans="1:21" s="8" customFormat="1" ht="12" thickBot="1" x14ac:dyDescent="0.25">
      <c r="A800" s="154">
        <v>10112796</v>
      </c>
      <c r="B800" s="10" t="s">
        <v>857</v>
      </c>
      <c r="C800" s="14" t="s">
        <v>802</v>
      </c>
      <c r="D800" s="33" t="s">
        <v>717</v>
      </c>
      <c r="E800" s="14" t="s">
        <v>779</v>
      </c>
      <c r="F800" s="13">
        <v>6</v>
      </c>
      <c r="G800" s="22">
        <f>Overview!$B$68</f>
        <v>48</v>
      </c>
      <c r="H800" s="23">
        <f>G800-I800</f>
        <v>48</v>
      </c>
      <c r="I800" s="114">
        <f>Overview!$E$68</f>
        <v>0</v>
      </c>
      <c r="J800" s="24">
        <f>I800/F800</f>
        <v>0</v>
      </c>
      <c r="K800" s="116">
        <f>Overview!$H$68</f>
        <v>0</v>
      </c>
      <c r="L800" s="51" t="e">
        <f>(K800-J800)/K800</f>
        <v>#DIV/0!</v>
      </c>
      <c r="M800" s="179"/>
      <c r="N800" s="179" t="s">
        <v>982</v>
      </c>
      <c r="O800" s="141">
        <f>I800</f>
        <v>0</v>
      </c>
      <c r="P800" s="181" t="b">
        <f>COUNTIF('Facility Data'!$A$1:$A$1500,"*"&amp;A800&amp;"*")&gt;0</f>
        <v>1</v>
      </c>
      <c r="Q800" s="181" t="b">
        <f>COUNTIF('Account Data'!$A$1:$A$1000,"*"&amp;A800&amp;"*")&gt;0</f>
        <v>0</v>
      </c>
      <c r="R800" s="182" t="b">
        <f>IF(OR(P800=TRUE,T800=TRUE),TRUE,FALSE)</f>
        <v>1</v>
      </c>
      <c r="S800" s="182" t="b">
        <f>IF(OR(Q800=TRUE,T800=TRUE),TRUE,FALSE)</f>
        <v>0</v>
      </c>
      <c r="T800" s="181" t="b">
        <f>COUNTIF('New Items'!$A$1:$A$175,A800)&gt;0</f>
        <v>0</v>
      </c>
      <c r="U800" s="181" t="b">
        <f>COUNTIF(Discontinued!$A$1:$A$150,A800)&gt;0</f>
        <v>0</v>
      </c>
    </row>
    <row r="801" spans="1:21" s="8" customFormat="1" ht="13.5" thickBot="1" x14ac:dyDescent="0.25">
      <c r="A801" s="300" t="s">
        <v>3343</v>
      </c>
      <c r="B801" s="301"/>
      <c r="C801" s="301"/>
      <c r="D801" s="301"/>
      <c r="E801" s="301"/>
      <c r="F801" s="301"/>
      <c r="G801" s="301"/>
      <c r="H801" s="301"/>
      <c r="I801" s="301"/>
      <c r="J801" s="301"/>
      <c r="K801" s="301"/>
      <c r="L801" s="302"/>
      <c r="M801" s="179" t="s">
        <v>4361</v>
      </c>
      <c r="N801" s="179" t="s">
        <v>980</v>
      </c>
      <c r="O801" s="141">
        <f>AVERAGE(O802:O816)</f>
        <v>14.4</v>
      </c>
      <c r="P801" s="181" t="b">
        <f>COUNTIF(P802:P816,TRUE)&gt;0</f>
        <v>1</v>
      </c>
      <c r="Q801" s="181" t="b">
        <f>COUNTIF(Q802:Q816,TRUE)&gt;0</f>
        <v>1</v>
      </c>
      <c r="R801" s="181" t="b">
        <f>COUNTIF(R802:R816,TRUE)&gt;0</f>
        <v>1</v>
      </c>
      <c r="S801" s="181" t="b">
        <f>COUNTIF(S802:S816,TRUE)&gt;0</f>
        <v>1</v>
      </c>
      <c r="T801" s="181" t="b">
        <f>COUNTIF(T802:T816,TRUE)&gt;0</f>
        <v>0</v>
      </c>
      <c r="U801" s="181"/>
    </row>
    <row r="802" spans="1:21" s="8" customFormat="1" ht="11.25" x14ac:dyDescent="0.2">
      <c r="A802" s="154">
        <v>10110023</v>
      </c>
      <c r="B802" s="10" t="s">
        <v>4049</v>
      </c>
      <c r="C802" s="14" t="s">
        <v>453</v>
      </c>
      <c r="D802" s="44" t="s">
        <v>3951</v>
      </c>
      <c r="E802" s="14" t="s">
        <v>782</v>
      </c>
      <c r="F802" s="13">
        <v>12</v>
      </c>
      <c r="G802" s="22">
        <f>Overview!$B$71</f>
        <v>24</v>
      </c>
      <c r="H802" s="23">
        <f t="shared" ref="H802:H816" si="219">G802-I802</f>
        <v>9.6</v>
      </c>
      <c r="I802" s="114">
        <f>Overview!$E$71</f>
        <v>14.4</v>
      </c>
      <c r="J802" s="24">
        <f t="shared" ref="J802:J808" si="220">I802/F802</f>
        <v>1.2</v>
      </c>
      <c r="K802" s="116">
        <f>Overview!$H$71</f>
        <v>1.99</v>
      </c>
      <c r="L802" s="51">
        <f t="shared" ref="L802:L808" si="221">(K802-J802)/K802</f>
        <v>0.39700000000000002</v>
      </c>
      <c r="M802" s="179"/>
      <c r="N802" s="179" t="s">
        <v>980</v>
      </c>
      <c r="O802" s="141">
        <f>I802</f>
        <v>14.4</v>
      </c>
      <c r="P802" s="181" t="b">
        <f>COUNTIF('Facility Data'!$A$1:$A$1500,"*"&amp;A802&amp;"*")&gt;0</f>
        <v>1</v>
      </c>
      <c r="Q802" s="181" t="b">
        <f>COUNTIF('Account Data'!$A$1:$A$1000,"*"&amp;A802&amp;"*")&gt;0</f>
        <v>1</v>
      </c>
      <c r="R802" s="182" t="b">
        <f t="shared" ref="R802:R816" si="222">IF(OR(P802=TRUE,T802=TRUE),TRUE,FALSE)</f>
        <v>1</v>
      </c>
      <c r="S802" s="182" t="b">
        <f t="shared" ref="S802:S816" si="223">IF(OR(Q802=TRUE,T802=TRUE),TRUE,FALSE)</f>
        <v>1</v>
      </c>
      <c r="T802" s="181" t="b">
        <f>COUNTIF('New Items'!$A$1:$A$175,A802)&gt;0</f>
        <v>0</v>
      </c>
      <c r="U802" s="181" t="b">
        <f>COUNTIF(Discontinued!$A$1:$A$150,A802)&gt;0</f>
        <v>0</v>
      </c>
    </row>
    <row r="803" spans="1:21" s="8" customFormat="1" ht="11.25" x14ac:dyDescent="0.2">
      <c r="A803" s="154">
        <v>10132777</v>
      </c>
      <c r="B803" s="10" t="s">
        <v>4115</v>
      </c>
      <c r="C803" s="14" t="s">
        <v>3949</v>
      </c>
      <c r="D803" s="258" t="s">
        <v>3950</v>
      </c>
      <c r="E803" s="14" t="s">
        <v>782</v>
      </c>
      <c r="F803" s="13">
        <v>12</v>
      </c>
      <c r="G803" s="22">
        <f>Overview!$B$71</f>
        <v>24</v>
      </c>
      <c r="H803" s="23">
        <f t="shared" si="219"/>
        <v>9.6</v>
      </c>
      <c r="I803" s="114">
        <f>Overview!$E$71</f>
        <v>14.4</v>
      </c>
      <c r="J803" s="24">
        <f t="shared" si="220"/>
        <v>1.2</v>
      </c>
      <c r="K803" s="116">
        <f>Overview!$H$71</f>
        <v>1.99</v>
      </c>
      <c r="L803" s="51">
        <f t="shared" si="221"/>
        <v>0.39700000000000002</v>
      </c>
      <c r="M803" s="179"/>
      <c r="N803" s="179" t="s">
        <v>980</v>
      </c>
      <c r="O803" s="141">
        <f t="shared" ref="O803:O816" si="224">I803</f>
        <v>14.4</v>
      </c>
      <c r="P803" s="181" t="b">
        <f>COUNTIF('Facility Data'!$A$1:$A$1500,"*"&amp;A803&amp;"*")&gt;0</f>
        <v>1</v>
      </c>
      <c r="Q803" s="181" t="b">
        <f>COUNTIF('Account Data'!$A$1:$A$1000,"*"&amp;A803&amp;"*")&gt;0</f>
        <v>0</v>
      </c>
      <c r="R803" s="182" t="b">
        <f t="shared" si="222"/>
        <v>1</v>
      </c>
      <c r="S803" s="182" t="b">
        <f t="shared" si="223"/>
        <v>0</v>
      </c>
      <c r="T803" s="181" t="b">
        <f>COUNTIF('New Items'!$A$1:$A$175,A803)&gt;0</f>
        <v>0</v>
      </c>
      <c r="U803" s="181" t="b">
        <f>COUNTIF(Discontinued!$A$1:$A$150,A803)&gt;0</f>
        <v>0</v>
      </c>
    </row>
    <row r="804" spans="1:21" s="8" customFormat="1" ht="12" thickBot="1" x14ac:dyDescent="0.25">
      <c r="A804" s="156">
        <v>10110019</v>
      </c>
      <c r="B804" s="89" t="s">
        <v>3952</v>
      </c>
      <c r="C804" s="90" t="s">
        <v>3953</v>
      </c>
      <c r="D804" s="257" t="s">
        <v>3954</v>
      </c>
      <c r="E804" s="90" t="s">
        <v>782</v>
      </c>
      <c r="F804" s="92">
        <v>12</v>
      </c>
      <c r="G804" s="93">
        <f>Overview!$B$71</f>
        <v>24</v>
      </c>
      <c r="H804" s="94">
        <f t="shared" si="219"/>
        <v>9.6</v>
      </c>
      <c r="I804" s="166">
        <f>Overview!$E$71</f>
        <v>14.4</v>
      </c>
      <c r="J804" s="95">
        <f t="shared" si="220"/>
        <v>1.2</v>
      </c>
      <c r="K804" s="167">
        <f>Overview!$H$71</f>
        <v>1.99</v>
      </c>
      <c r="L804" s="96">
        <f t="shared" si="221"/>
        <v>0.39700000000000002</v>
      </c>
      <c r="M804" s="179"/>
      <c r="N804" s="179" t="s">
        <v>980</v>
      </c>
      <c r="O804" s="141">
        <f t="shared" si="224"/>
        <v>14.4</v>
      </c>
      <c r="P804" s="181" t="b">
        <f>COUNTIF('Facility Data'!$A$1:$A$1500,"*"&amp;A804&amp;"*")&gt;0</f>
        <v>1</v>
      </c>
      <c r="Q804" s="181" t="b">
        <f>COUNTIF('Account Data'!$A$1:$A$1000,"*"&amp;A804&amp;"*")&gt;0</f>
        <v>0</v>
      </c>
      <c r="R804" s="182" t="b">
        <f t="shared" si="222"/>
        <v>1</v>
      </c>
      <c r="S804" s="182" t="b">
        <f t="shared" si="223"/>
        <v>0</v>
      </c>
      <c r="T804" s="181" t="b">
        <f>COUNTIF('New Items'!$A$1:$A$175,A804)&gt;0</f>
        <v>0</v>
      </c>
      <c r="U804" s="181" t="b">
        <f>COUNTIF(Discontinued!$A$1:$A$150,A804)&gt;0</f>
        <v>0</v>
      </c>
    </row>
    <row r="805" spans="1:21" s="8" customFormat="1" ht="11.25" x14ac:dyDescent="0.2">
      <c r="A805" s="157">
        <v>10110014</v>
      </c>
      <c r="B805" s="10" t="s">
        <v>460</v>
      </c>
      <c r="C805" s="14" t="s">
        <v>461</v>
      </c>
      <c r="D805" s="38" t="s">
        <v>708</v>
      </c>
      <c r="E805" s="14" t="s">
        <v>782</v>
      </c>
      <c r="F805" s="13">
        <v>12</v>
      </c>
      <c r="G805" s="22">
        <f>Overview!$B$71</f>
        <v>24</v>
      </c>
      <c r="H805" s="23">
        <f>G805-I805</f>
        <v>9.6</v>
      </c>
      <c r="I805" s="114">
        <f>Overview!$E$71</f>
        <v>14.4</v>
      </c>
      <c r="J805" s="24">
        <f t="shared" si="220"/>
        <v>1.2</v>
      </c>
      <c r="K805" s="116">
        <f>Overview!$H$71</f>
        <v>1.99</v>
      </c>
      <c r="L805" s="51">
        <f t="shared" si="221"/>
        <v>0.39700000000000002</v>
      </c>
      <c r="M805" s="179"/>
      <c r="N805" s="179" t="s">
        <v>980</v>
      </c>
      <c r="O805" s="141">
        <f>I805</f>
        <v>14.4</v>
      </c>
      <c r="P805" s="181" t="b">
        <f>COUNTIF('Facility Data'!$A$1:$A$1500,"*"&amp;A805&amp;"*")&gt;0</f>
        <v>1</v>
      </c>
      <c r="Q805" s="181" t="b">
        <f>COUNTIF('Account Data'!$A$1:$A$1000,"*"&amp;A805&amp;"*")&gt;0</f>
        <v>1</v>
      </c>
      <c r="R805" s="182" t="b">
        <f t="shared" si="222"/>
        <v>1</v>
      </c>
      <c r="S805" s="182" t="b">
        <f>IF(OR(Q805=TRUE,T805=TRUE),TRUE,FALSE)</f>
        <v>1</v>
      </c>
      <c r="T805" s="181" t="b">
        <f>COUNTIF('New Items'!$A$1:$A$175,A805)&gt;0</f>
        <v>0</v>
      </c>
      <c r="U805" s="181" t="b">
        <f>COUNTIF(Discontinued!$A$1:$A$150,A805)&gt;0</f>
        <v>0</v>
      </c>
    </row>
    <row r="806" spans="1:21" s="8" customFormat="1" ht="11.25" x14ac:dyDescent="0.2">
      <c r="A806" s="154">
        <v>10110007</v>
      </c>
      <c r="B806" s="10" t="s">
        <v>4048</v>
      </c>
      <c r="C806" s="14" t="s">
        <v>462</v>
      </c>
      <c r="D806" s="46" t="s">
        <v>709</v>
      </c>
      <c r="E806" s="14" t="s">
        <v>782</v>
      </c>
      <c r="F806" s="13">
        <v>12</v>
      </c>
      <c r="G806" s="22">
        <f>Overview!$B$71</f>
        <v>24</v>
      </c>
      <c r="H806" s="23">
        <f>G806-I806</f>
        <v>9.6</v>
      </c>
      <c r="I806" s="114">
        <f>Overview!$E$71</f>
        <v>14.4</v>
      </c>
      <c r="J806" s="24">
        <f t="shared" si="220"/>
        <v>1.2</v>
      </c>
      <c r="K806" s="116">
        <f>Overview!$H$71</f>
        <v>1.99</v>
      </c>
      <c r="L806" s="51">
        <f t="shared" si="221"/>
        <v>0.39700000000000002</v>
      </c>
      <c r="M806" s="179"/>
      <c r="N806" s="179" t="s">
        <v>980</v>
      </c>
      <c r="O806" s="141">
        <f>I806</f>
        <v>14.4</v>
      </c>
      <c r="P806" s="181" t="b">
        <f>COUNTIF('Facility Data'!$A$1:$A$1500,"*"&amp;A806&amp;"*")&gt;0</f>
        <v>1</v>
      </c>
      <c r="Q806" s="181" t="b">
        <f>COUNTIF('Account Data'!$A$1:$A$1000,"*"&amp;A806&amp;"*")&gt;0</f>
        <v>1</v>
      </c>
      <c r="R806" s="182" t="b">
        <f t="shared" si="222"/>
        <v>1</v>
      </c>
      <c r="S806" s="182" t="b">
        <f>IF(OR(Q806=TRUE,T806=TRUE),TRUE,FALSE)</f>
        <v>1</v>
      </c>
      <c r="T806" s="181" t="b">
        <f>COUNTIF('New Items'!$A$1:$A$175,A806)&gt;0</f>
        <v>0</v>
      </c>
      <c r="U806" s="181" t="b">
        <f>COUNTIF(Discontinued!$A$1:$A$150,A806)&gt;0</f>
        <v>0</v>
      </c>
    </row>
    <row r="807" spans="1:21" s="8" customFormat="1" ht="11.25" x14ac:dyDescent="0.2">
      <c r="A807" s="154">
        <v>10112767</v>
      </c>
      <c r="B807" s="10" t="s">
        <v>4053</v>
      </c>
      <c r="C807" s="14" t="s">
        <v>799</v>
      </c>
      <c r="D807" s="55" t="s">
        <v>875</v>
      </c>
      <c r="E807" s="14" t="s">
        <v>782</v>
      </c>
      <c r="F807" s="13">
        <v>12</v>
      </c>
      <c r="G807" s="22">
        <f>Overview!$B$71</f>
        <v>24</v>
      </c>
      <c r="H807" s="23">
        <f>G807-I807</f>
        <v>9.6</v>
      </c>
      <c r="I807" s="114">
        <f>Overview!$E$71</f>
        <v>14.4</v>
      </c>
      <c r="J807" s="24">
        <f t="shared" si="220"/>
        <v>1.2</v>
      </c>
      <c r="K807" s="116">
        <f>Overview!$H$71</f>
        <v>1.99</v>
      </c>
      <c r="L807" s="51">
        <f t="shared" si="221"/>
        <v>0.39700000000000002</v>
      </c>
      <c r="M807" s="179"/>
      <c r="N807" s="179" t="s">
        <v>980</v>
      </c>
      <c r="O807" s="141">
        <f>I807</f>
        <v>14.4</v>
      </c>
      <c r="P807" s="181" t="b">
        <f>COUNTIF('Facility Data'!$A$1:$A$1500,"*"&amp;A807&amp;"*")&gt;0</f>
        <v>1</v>
      </c>
      <c r="Q807" s="181" t="b">
        <f>COUNTIF('Account Data'!$A$1:$A$1000,"*"&amp;A807&amp;"*")&gt;0</f>
        <v>1</v>
      </c>
      <c r="R807" s="182" t="b">
        <f t="shared" si="222"/>
        <v>1</v>
      </c>
      <c r="S807" s="182" t="b">
        <f>IF(OR(Q807=TRUE,T807=TRUE),TRUE,FALSE)</f>
        <v>1</v>
      </c>
      <c r="T807" s="181" t="b">
        <f>COUNTIF('New Items'!$A$1:$A$175,A807)&gt;0</f>
        <v>0</v>
      </c>
      <c r="U807" s="181" t="b">
        <f>COUNTIF(Discontinued!$A$1:$A$150,A807)&gt;0</f>
        <v>0</v>
      </c>
    </row>
    <row r="808" spans="1:21" s="8" customFormat="1" ht="12" thickBot="1" x14ac:dyDescent="0.25">
      <c r="A808" s="156">
        <v>10110049</v>
      </c>
      <c r="B808" s="89" t="s">
        <v>463</v>
      </c>
      <c r="C808" s="90" t="s">
        <v>464</v>
      </c>
      <c r="D808" s="91" t="s">
        <v>710</v>
      </c>
      <c r="E808" s="90" t="s">
        <v>782</v>
      </c>
      <c r="F808" s="92">
        <v>12</v>
      </c>
      <c r="G808" s="93">
        <f>Overview!$B$71</f>
        <v>24</v>
      </c>
      <c r="H808" s="94">
        <f>G808-I808</f>
        <v>9.6</v>
      </c>
      <c r="I808" s="166">
        <f>Overview!$E$71</f>
        <v>14.4</v>
      </c>
      <c r="J808" s="95">
        <f t="shared" si="220"/>
        <v>1.2</v>
      </c>
      <c r="K808" s="167">
        <f>Overview!$H$71</f>
        <v>1.99</v>
      </c>
      <c r="L808" s="96">
        <f t="shared" si="221"/>
        <v>0.39700000000000002</v>
      </c>
      <c r="M808" s="179"/>
      <c r="N808" s="179" t="s">
        <v>980</v>
      </c>
      <c r="O808" s="141">
        <f>I808</f>
        <v>14.4</v>
      </c>
      <c r="P808" s="181" t="b">
        <f>COUNTIF('Facility Data'!$A$1:$A$1500,"*"&amp;A808&amp;"*")&gt;0</f>
        <v>1</v>
      </c>
      <c r="Q808" s="181" t="b">
        <f>COUNTIF('Account Data'!$A$1:$A$1000,"*"&amp;A808&amp;"*")&gt;0</f>
        <v>1</v>
      </c>
      <c r="R808" s="182" t="b">
        <f t="shared" si="222"/>
        <v>1</v>
      </c>
      <c r="S808" s="182" t="b">
        <f>IF(OR(Q808=TRUE,T808=TRUE),TRUE,FALSE)</f>
        <v>1</v>
      </c>
      <c r="T808" s="181" t="b">
        <f>COUNTIF('New Items'!$A$1:$A$175,A808)&gt;0</f>
        <v>0</v>
      </c>
      <c r="U808" s="181" t="b">
        <f>COUNTIF(Discontinued!$A$1:$A$150,A808)&gt;0</f>
        <v>0</v>
      </c>
    </row>
    <row r="809" spans="1:21" s="8" customFormat="1" ht="11.25" x14ac:dyDescent="0.2">
      <c r="A809" s="238">
        <v>10110064</v>
      </c>
      <c r="B809" s="239" t="s">
        <v>446</v>
      </c>
      <c r="C809" s="240" t="s">
        <v>447</v>
      </c>
      <c r="D809" s="241" t="s">
        <v>701</v>
      </c>
      <c r="E809" s="240" t="s">
        <v>782</v>
      </c>
      <c r="F809" s="242">
        <v>12</v>
      </c>
      <c r="G809" s="243">
        <f>Overview!$B$71</f>
        <v>24</v>
      </c>
      <c r="H809" s="244">
        <f t="shared" si="219"/>
        <v>9.6</v>
      </c>
      <c r="I809" s="245">
        <f>Overview!$E$71</f>
        <v>14.4</v>
      </c>
      <c r="J809" s="246">
        <f t="shared" ref="J809:J816" si="225">I809/F809</f>
        <v>1.2</v>
      </c>
      <c r="K809" s="247">
        <f>Overview!$H$71</f>
        <v>1.99</v>
      </c>
      <c r="L809" s="248">
        <f t="shared" ref="L809:L816" si="226">(K809-J809)/K809</f>
        <v>0.39700000000000002</v>
      </c>
      <c r="M809" s="179"/>
      <c r="N809" s="179" t="s">
        <v>980</v>
      </c>
      <c r="O809" s="141">
        <f t="shared" si="224"/>
        <v>14.4</v>
      </c>
      <c r="P809" s="181" t="b">
        <f>COUNTIF('Facility Data'!$A$1:$A$1500,"*"&amp;A809&amp;"*")&gt;0</f>
        <v>1</v>
      </c>
      <c r="Q809" s="181" t="b">
        <f>COUNTIF('Account Data'!$A$1:$A$1000,"*"&amp;A809&amp;"*")&gt;0</f>
        <v>1</v>
      </c>
      <c r="R809" s="182" t="b">
        <f t="shared" si="222"/>
        <v>1</v>
      </c>
      <c r="S809" s="182" t="b">
        <f t="shared" si="223"/>
        <v>1</v>
      </c>
      <c r="T809" s="181" t="b">
        <f>COUNTIF('New Items'!$A$1:$A$175,A809)&gt;0</f>
        <v>0</v>
      </c>
      <c r="U809" s="181" t="b">
        <f>COUNTIF(Discontinued!$A$1:$A$150,A809)&gt;0</f>
        <v>0</v>
      </c>
    </row>
    <row r="810" spans="1:21" s="8" customFormat="1" ht="11.25" x14ac:dyDescent="0.2">
      <c r="A810" s="154">
        <v>10110015</v>
      </c>
      <c r="B810" s="10" t="s">
        <v>448</v>
      </c>
      <c r="C810" s="14" t="s">
        <v>449</v>
      </c>
      <c r="D810" s="40" t="s">
        <v>702</v>
      </c>
      <c r="E810" s="14" t="s">
        <v>782</v>
      </c>
      <c r="F810" s="13">
        <v>12</v>
      </c>
      <c r="G810" s="22">
        <f>Overview!$B$71</f>
        <v>24</v>
      </c>
      <c r="H810" s="23">
        <f t="shared" si="219"/>
        <v>9.6</v>
      </c>
      <c r="I810" s="114">
        <f>Overview!$E$71</f>
        <v>14.4</v>
      </c>
      <c r="J810" s="24">
        <f t="shared" si="225"/>
        <v>1.2</v>
      </c>
      <c r="K810" s="116">
        <f>Overview!$H$71</f>
        <v>1.99</v>
      </c>
      <c r="L810" s="51">
        <f t="shared" si="226"/>
        <v>0.39700000000000002</v>
      </c>
      <c r="M810" s="179"/>
      <c r="N810" s="179" t="s">
        <v>980</v>
      </c>
      <c r="O810" s="141">
        <f t="shared" si="224"/>
        <v>14.4</v>
      </c>
      <c r="P810" s="181" t="b">
        <f>COUNTIF('Facility Data'!$A$1:$A$1500,"*"&amp;A810&amp;"*")&gt;0</f>
        <v>1</v>
      </c>
      <c r="Q810" s="181" t="b">
        <f>COUNTIF('Account Data'!$A$1:$A$1000,"*"&amp;A810&amp;"*")&gt;0</f>
        <v>1</v>
      </c>
      <c r="R810" s="182" t="b">
        <f t="shared" si="222"/>
        <v>1</v>
      </c>
      <c r="S810" s="182" t="b">
        <f t="shared" si="223"/>
        <v>1</v>
      </c>
      <c r="T810" s="181" t="b">
        <f>COUNTIF('New Items'!$A$1:$A$175,A810)&gt;0</f>
        <v>0</v>
      </c>
      <c r="U810" s="181" t="b">
        <f>COUNTIF(Discontinued!$A$1:$A$150,A810)&gt;0</f>
        <v>0</v>
      </c>
    </row>
    <row r="811" spans="1:21" s="8" customFormat="1" ht="11.25" x14ac:dyDescent="0.2">
      <c r="A811" s="154">
        <v>10128281</v>
      </c>
      <c r="B811" s="10" t="s">
        <v>4062</v>
      </c>
      <c r="C811" s="14" t="s">
        <v>3904</v>
      </c>
      <c r="D811" s="259" t="s">
        <v>3903</v>
      </c>
      <c r="E811" s="14" t="s">
        <v>782</v>
      </c>
      <c r="F811" s="13">
        <v>12</v>
      </c>
      <c r="G811" s="22">
        <f>Overview!$B$71</f>
        <v>24</v>
      </c>
      <c r="H811" s="23">
        <f t="shared" si="219"/>
        <v>9.6</v>
      </c>
      <c r="I811" s="114">
        <f>Overview!$E$71</f>
        <v>14.4</v>
      </c>
      <c r="J811" s="24">
        <f>I811/F811</f>
        <v>1.2</v>
      </c>
      <c r="K811" s="116">
        <f>Overview!$H$71</f>
        <v>1.99</v>
      </c>
      <c r="L811" s="51">
        <f>(K811-J811)/K811</f>
        <v>0.39700000000000002</v>
      </c>
      <c r="M811" s="179"/>
      <c r="N811" s="179" t="s">
        <v>980</v>
      </c>
      <c r="O811" s="141">
        <f t="shared" si="224"/>
        <v>14.4</v>
      </c>
      <c r="P811" s="181" t="b">
        <f>COUNTIF('Facility Data'!$A$1:$A$1500,"*"&amp;A811&amp;"*")&gt;0</f>
        <v>1</v>
      </c>
      <c r="Q811" s="181" t="b">
        <f>COUNTIF('Account Data'!$A$1:$A$1000,"*"&amp;A811&amp;"*")&gt;0</f>
        <v>0</v>
      </c>
      <c r="R811" s="182" t="b">
        <f t="shared" si="222"/>
        <v>1</v>
      </c>
      <c r="S811" s="182" t="b">
        <f t="shared" si="223"/>
        <v>0</v>
      </c>
      <c r="T811" s="181" t="b">
        <f>COUNTIF('New Items'!$A$1:$A$175,A811)&gt;0</f>
        <v>0</v>
      </c>
      <c r="U811" s="181" t="b">
        <f>COUNTIF(Discontinued!$A$1:$A$150,A811)&gt;0</f>
        <v>0</v>
      </c>
    </row>
    <row r="812" spans="1:21" s="8" customFormat="1" ht="11.25" x14ac:dyDescent="0.2">
      <c r="A812" s="154">
        <v>10110069</v>
      </c>
      <c r="B812" s="10" t="s">
        <v>451</v>
      </c>
      <c r="C812" s="14" t="s">
        <v>452</v>
      </c>
      <c r="D812" s="43" t="s">
        <v>704</v>
      </c>
      <c r="E812" s="14" t="s">
        <v>782</v>
      </c>
      <c r="F812" s="13">
        <v>12</v>
      </c>
      <c r="G812" s="22">
        <f>Overview!$B$71</f>
        <v>24</v>
      </c>
      <c r="H812" s="23">
        <f>G812-I812</f>
        <v>9.6</v>
      </c>
      <c r="I812" s="114">
        <f>Overview!$E$71</f>
        <v>14.4</v>
      </c>
      <c r="J812" s="24">
        <f>I812/F812</f>
        <v>1.2</v>
      </c>
      <c r="K812" s="116">
        <f>Overview!$H$71</f>
        <v>1.99</v>
      </c>
      <c r="L812" s="51">
        <f>(K812-J812)/K812</f>
        <v>0.39700000000000002</v>
      </c>
      <c r="M812" s="179"/>
      <c r="N812" s="179" t="s">
        <v>980</v>
      </c>
      <c r="O812" s="141">
        <f>I812</f>
        <v>14.4</v>
      </c>
      <c r="P812" s="181" t="b">
        <f>COUNTIF('Facility Data'!$A$1:$A$1500,"*"&amp;A812&amp;"*")&gt;0</f>
        <v>1</v>
      </c>
      <c r="Q812" s="181" t="b">
        <f>COUNTIF('Account Data'!$A$1:$A$1000,"*"&amp;A812&amp;"*")&gt;0</f>
        <v>1</v>
      </c>
      <c r="R812" s="182" t="b">
        <f t="shared" si="222"/>
        <v>1</v>
      </c>
      <c r="S812" s="182" t="b">
        <f>IF(OR(Q812=TRUE,T812=TRUE),TRUE,FALSE)</f>
        <v>1</v>
      </c>
      <c r="T812" s="181" t="b">
        <f>COUNTIF('New Items'!$A$1:$A$175,A812)&gt;0</f>
        <v>0</v>
      </c>
      <c r="U812" s="181" t="b">
        <f>COUNTIF(Discontinued!$A$1:$A$150,A812)&gt;0</f>
        <v>0</v>
      </c>
    </row>
    <row r="813" spans="1:21" s="8" customFormat="1" ht="11.25" x14ac:dyDescent="0.2">
      <c r="A813" s="154">
        <v>10110033</v>
      </c>
      <c r="B813" s="10" t="s">
        <v>806</v>
      </c>
      <c r="C813" s="14" t="s">
        <v>450</v>
      </c>
      <c r="D813" s="41" t="s">
        <v>703</v>
      </c>
      <c r="E813" s="14" t="s">
        <v>782</v>
      </c>
      <c r="F813" s="13">
        <v>12</v>
      </c>
      <c r="G813" s="22">
        <f>Overview!$B$71</f>
        <v>24</v>
      </c>
      <c r="H813" s="23">
        <f>G813-I813</f>
        <v>9.6</v>
      </c>
      <c r="I813" s="114">
        <f>Overview!$E$71</f>
        <v>14.4</v>
      </c>
      <c r="J813" s="24">
        <f>I813/F813</f>
        <v>1.2</v>
      </c>
      <c r="K813" s="116">
        <f>Overview!$H$71</f>
        <v>1.99</v>
      </c>
      <c r="L813" s="51">
        <f>(K813-J813)/K813</f>
        <v>0.39700000000000002</v>
      </c>
      <c r="M813" s="179"/>
      <c r="N813" s="179" t="s">
        <v>980</v>
      </c>
      <c r="O813" s="141">
        <f>I813</f>
        <v>14.4</v>
      </c>
      <c r="P813" s="181" t="b">
        <f>COUNTIF('Facility Data'!$A$1:$A$1500,"*"&amp;A813&amp;"*")&gt;0</f>
        <v>1</v>
      </c>
      <c r="Q813" s="181" t="b">
        <f>COUNTIF('Account Data'!$A$1:$A$1000,"*"&amp;A813&amp;"*")&gt;0</f>
        <v>1</v>
      </c>
      <c r="R813" s="182" t="b">
        <f t="shared" si="222"/>
        <v>1</v>
      </c>
      <c r="S813" s="182" t="b">
        <f>IF(OR(Q813=TRUE,T813=TRUE),TRUE,FALSE)</f>
        <v>1</v>
      </c>
      <c r="T813" s="181" t="b">
        <f>COUNTIF('New Items'!$A$1:$A$175,A813)&gt;0</f>
        <v>0</v>
      </c>
      <c r="U813" s="181" t="b">
        <f>COUNTIF(Discontinued!$A$1:$A$150,A813)&gt;0</f>
        <v>0</v>
      </c>
    </row>
    <row r="814" spans="1:21" s="8" customFormat="1" ht="11.25" x14ac:dyDescent="0.2">
      <c r="A814" s="154">
        <v>10110022</v>
      </c>
      <c r="B814" s="10" t="s">
        <v>454</v>
      </c>
      <c r="C814" s="14" t="s">
        <v>455</v>
      </c>
      <c r="D814" s="42" t="s">
        <v>705</v>
      </c>
      <c r="E814" s="14" t="s">
        <v>782</v>
      </c>
      <c r="F814" s="13">
        <v>12</v>
      </c>
      <c r="G814" s="22">
        <f>Overview!$B$71</f>
        <v>24</v>
      </c>
      <c r="H814" s="23">
        <f t="shared" si="219"/>
        <v>9.6</v>
      </c>
      <c r="I814" s="114">
        <f>Overview!$E$71</f>
        <v>14.4</v>
      </c>
      <c r="J814" s="24">
        <f t="shared" si="225"/>
        <v>1.2</v>
      </c>
      <c r="K814" s="116">
        <f>Overview!$H$71</f>
        <v>1.99</v>
      </c>
      <c r="L814" s="51">
        <f t="shared" si="226"/>
        <v>0.39700000000000002</v>
      </c>
      <c r="M814" s="179"/>
      <c r="N814" s="179" t="s">
        <v>980</v>
      </c>
      <c r="O814" s="141">
        <f t="shared" si="224"/>
        <v>14.4</v>
      </c>
      <c r="P814" s="181" t="b">
        <f>COUNTIF('Facility Data'!$A$1:$A$1500,"*"&amp;A814&amp;"*")&gt;0</f>
        <v>1</v>
      </c>
      <c r="Q814" s="181" t="b">
        <f>COUNTIF('Account Data'!$A$1:$A$1000,"*"&amp;A814&amp;"*")&gt;0</f>
        <v>1</v>
      </c>
      <c r="R814" s="182" t="b">
        <f t="shared" si="222"/>
        <v>1</v>
      </c>
      <c r="S814" s="182" t="b">
        <f t="shared" si="223"/>
        <v>1</v>
      </c>
      <c r="T814" s="181" t="b">
        <f>COUNTIF('New Items'!$A$1:$A$175,A814)&gt;0</f>
        <v>0</v>
      </c>
      <c r="U814" s="181" t="b">
        <f>COUNTIF(Discontinued!$A$1:$A$150,A814)&gt;0</f>
        <v>0</v>
      </c>
    </row>
    <row r="815" spans="1:21" s="8" customFormat="1" ht="11.25" x14ac:dyDescent="0.2">
      <c r="A815" s="154">
        <v>10110038</v>
      </c>
      <c r="B815" s="10" t="s">
        <v>456</v>
      </c>
      <c r="C815" s="14" t="s">
        <v>457</v>
      </c>
      <c r="D815" s="45" t="s">
        <v>706</v>
      </c>
      <c r="E815" s="14" t="s">
        <v>782</v>
      </c>
      <c r="F815" s="13">
        <v>12</v>
      </c>
      <c r="G815" s="22">
        <f>Overview!$B$71</f>
        <v>24</v>
      </c>
      <c r="H815" s="23">
        <f t="shared" si="219"/>
        <v>9.6</v>
      </c>
      <c r="I815" s="114">
        <f>Overview!$E$71</f>
        <v>14.4</v>
      </c>
      <c r="J815" s="24">
        <f>I815/F815</f>
        <v>1.2</v>
      </c>
      <c r="K815" s="116">
        <f>Overview!$H$71</f>
        <v>1.99</v>
      </c>
      <c r="L815" s="51">
        <f>(K815-J815)/K815</f>
        <v>0.39700000000000002</v>
      </c>
      <c r="M815" s="179"/>
      <c r="N815" s="179" t="s">
        <v>980</v>
      </c>
      <c r="O815" s="141">
        <f>I815</f>
        <v>14.4</v>
      </c>
      <c r="P815" s="181" t="b">
        <f>COUNTIF('Facility Data'!$A$1:$A$1500,"*"&amp;A815&amp;"*")&gt;0</f>
        <v>1</v>
      </c>
      <c r="Q815" s="181" t="b">
        <f>COUNTIF('Account Data'!$A$1:$A$1000,"*"&amp;A815&amp;"*")&gt;0</f>
        <v>1</v>
      </c>
      <c r="R815" s="182" t="b">
        <f t="shared" si="222"/>
        <v>1</v>
      </c>
      <c r="S815" s="182" t="b">
        <f t="shared" si="223"/>
        <v>1</v>
      </c>
      <c r="T815" s="181" t="b">
        <f>COUNTIF('New Items'!$A$1:$A$175,A815)&gt;0</f>
        <v>0</v>
      </c>
      <c r="U815" s="181" t="b">
        <f>COUNTIF(Discontinued!$A$1:$A$150,A815)&gt;0</f>
        <v>0</v>
      </c>
    </row>
    <row r="816" spans="1:21" s="8" customFormat="1" ht="12" thickBot="1" x14ac:dyDescent="0.25">
      <c r="A816" s="154">
        <v>10110067</v>
      </c>
      <c r="B816" s="10" t="s">
        <v>458</v>
      </c>
      <c r="C816" s="14" t="s">
        <v>459</v>
      </c>
      <c r="D816" s="163" t="s">
        <v>707</v>
      </c>
      <c r="E816" s="90" t="s">
        <v>782</v>
      </c>
      <c r="F816" s="92">
        <v>12</v>
      </c>
      <c r="G816" s="93">
        <f>Overview!$B$71</f>
        <v>24</v>
      </c>
      <c r="H816" s="94">
        <f t="shared" si="219"/>
        <v>9.6</v>
      </c>
      <c r="I816" s="166">
        <f>Overview!$E$71</f>
        <v>14.4</v>
      </c>
      <c r="J816" s="95">
        <f t="shared" si="225"/>
        <v>1.2</v>
      </c>
      <c r="K816" s="167">
        <f>Overview!$H$71</f>
        <v>1.99</v>
      </c>
      <c r="L816" s="96">
        <f t="shared" si="226"/>
        <v>0.39700000000000002</v>
      </c>
      <c r="M816" s="179"/>
      <c r="N816" s="179" t="s">
        <v>980</v>
      </c>
      <c r="O816" s="141">
        <f t="shared" si="224"/>
        <v>14.4</v>
      </c>
      <c r="P816" s="181" t="b">
        <f>COUNTIF('Facility Data'!$A$1:$A$1500,"*"&amp;A816&amp;"*")&gt;0</f>
        <v>1</v>
      </c>
      <c r="Q816" s="181" t="b">
        <f>COUNTIF('Account Data'!$A$1:$A$1000,"*"&amp;A816&amp;"*")&gt;0</f>
        <v>1</v>
      </c>
      <c r="R816" s="182" t="b">
        <f t="shared" si="222"/>
        <v>1</v>
      </c>
      <c r="S816" s="182" t="b">
        <f t="shared" si="223"/>
        <v>1</v>
      </c>
      <c r="T816" s="181" t="b">
        <f>COUNTIF('New Items'!$A$1:$A$175,A816)&gt;0</f>
        <v>0</v>
      </c>
      <c r="U816" s="181" t="b">
        <f>COUNTIF(Discontinued!$A$1:$A$150,A816)&gt;0</f>
        <v>0</v>
      </c>
    </row>
    <row r="817" spans="1:21" s="8" customFormat="1" ht="13.5" thickBot="1" x14ac:dyDescent="0.25">
      <c r="A817" s="300" t="s">
        <v>3344</v>
      </c>
      <c r="B817" s="301"/>
      <c r="C817" s="301"/>
      <c r="D817" s="301"/>
      <c r="E817" s="301"/>
      <c r="F817" s="301"/>
      <c r="G817" s="301"/>
      <c r="H817" s="301"/>
      <c r="I817" s="301"/>
      <c r="J817" s="301"/>
      <c r="K817" s="301"/>
      <c r="L817" s="302"/>
      <c r="M817" s="179" t="s">
        <v>4361</v>
      </c>
      <c r="N817" s="179" t="s">
        <v>983</v>
      </c>
      <c r="O817" s="141">
        <f>AVERAGE(O818:O823)</f>
        <v>0</v>
      </c>
      <c r="P817" s="181" t="b">
        <f>COUNTIF(P818:P823,TRUE)&gt;0</f>
        <v>1</v>
      </c>
      <c r="Q817" s="181" t="b">
        <f>COUNTIF(Q818:Q823,TRUE)&gt;0</f>
        <v>0</v>
      </c>
      <c r="R817" s="181" t="b">
        <f>COUNTIF(R818:R823,TRUE)&gt;0</f>
        <v>1</v>
      </c>
      <c r="S817" s="181" t="b">
        <f>COUNTIF(S818:S823,TRUE)&gt;0</f>
        <v>0</v>
      </c>
      <c r="T817" s="181" t="b">
        <f>COUNTIF(T818:T823,TRUE)&gt;0</f>
        <v>0</v>
      </c>
      <c r="U817" s="181"/>
    </row>
    <row r="818" spans="1:21" s="8" customFormat="1" ht="11.25" x14ac:dyDescent="0.2">
      <c r="A818" s="154">
        <v>10124152</v>
      </c>
      <c r="B818" s="10" t="s">
        <v>3651</v>
      </c>
      <c r="C818" s="14" t="s">
        <v>469</v>
      </c>
      <c r="D818" s="38" t="s">
        <v>708</v>
      </c>
      <c r="E818" s="14" t="s">
        <v>782</v>
      </c>
      <c r="F818" s="13">
        <v>2</v>
      </c>
      <c r="G818" s="22">
        <f>Overview!$B$72</f>
        <v>24</v>
      </c>
      <c r="H818" s="23">
        <f t="shared" ref="H818:H823" si="227">G818-I818</f>
        <v>24</v>
      </c>
      <c r="I818" s="114">
        <f>Overview!$E$72</f>
        <v>0</v>
      </c>
      <c r="J818" s="24">
        <f t="shared" ref="J818:J823" si="228">I818/F818</f>
        <v>0</v>
      </c>
      <c r="K818" s="116">
        <f>Overview!$H$72</f>
        <v>0</v>
      </c>
      <c r="L818" s="51" t="e">
        <f t="shared" ref="L818:L823" si="229">(K818-J818)/K818</f>
        <v>#DIV/0!</v>
      </c>
      <c r="M818" s="179"/>
      <c r="N818" s="179" t="s">
        <v>983</v>
      </c>
      <c r="O818" s="141">
        <f t="shared" ref="O818:O823" si="230">I818</f>
        <v>0</v>
      </c>
      <c r="P818" s="181" t="b">
        <f>COUNTIF('Facility Data'!$A$1:$A$1500,"*"&amp;A818&amp;"*")&gt;0</f>
        <v>1</v>
      </c>
      <c r="Q818" s="181" t="b">
        <f>COUNTIF('Account Data'!$A$1:$A$1000,"*"&amp;A818&amp;"*")&gt;0</f>
        <v>0</v>
      </c>
      <c r="R818" s="182" t="b">
        <f t="shared" ref="R818:R823" si="231">IF(OR(P818=TRUE,T818=TRUE),TRUE,FALSE)</f>
        <v>1</v>
      </c>
      <c r="S818" s="182" t="b">
        <f t="shared" ref="S818:S823" si="232">IF(OR(Q818=TRUE,T818=TRUE),TRUE,FALSE)</f>
        <v>0</v>
      </c>
      <c r="T818" s="181" t="b">
        <f>COUNTIF('New Items'!$A$1:$A$175,A818)&gt;0</f>
        <v>0</v>
      </c>
      <c r="U818" s="181" t="b">
        <f>COUNTIF(Discontinued!$A$1:$A$150,A818)&gt;0</f>
        <v>0</v>
      </c>
    </row>
    <row r="819" spans="1:21" s="8" customFormat="1" ht="11.25" x14ac:dyDescent="0.2">
      <c r="A819" s="154">
        <v>10124151</v>
      </c>
      <c r="B819" s="10" t="s">
        <v>3650</v>
      </c>
      <c r="C819" s="14" t="s">
        <v>470</v>
      </c>
      <c r="D819" s="39" t="s">
        <v>701</v>
      </c>
      <c r="E819" s="14" t="s">
        <v>782</v>
      </c>
      <c r="F819" s="13">
        <v>2</v>
      </c>
      <c r="G819" s="22">
        <f>Overview!$B$72</f>
        <v>24</v>
      </c>
      <c r="H819" s="23">
        <f t="shared" si="227"/>
        <v>24</v>
      </c>
      <c r="I819" s="114">
        <f>Overview!$E$72</f>
        <v>0</v>
      </c>
      <c r="J819" s="24">
        <f t="shared" si="228"/>
        <v>0</v>
      </c>
      <c r="K819" s="116">
        <f>Overview!$H$72</f>
        <v>0</v>
      </c>
      <c r="L819" s="51" t="e">
        <f t="shared" si="229"/>
        <v>#DIV/0!</v>
      </c>
      <c r="M819" s="179"/>
      <c r="N819" s="179" t="s">
        <v>983</v>
      </c>
      <c r="O819" s="141">
        <f t="shared" si="230"/>
        <v>0</v>
      </c>
      <c r="P819" s="181" t="b">
        <f>COUNTIF('Facility Data'!$A$1:$A$1500,"*"&amp;A819&amp;"*")&gt;0</f>
        <v>1</v>
      </c>
      <c r="Q819" s="181" t="b">
        <f>COUNTIF('Account Data'!$A$1:$A$1000,"*"&amp;A819&amp;"*")&gt;0</f>
        <v>0</v>
      </c>
      <c r="R819" s="182" t="b">
        <f t="shared" si="231"/>
        <v>1</v>
      </c>
      <c r="S819" s="182" t="b">
        <f t="shared" si="232"/>
        <v>0</v>
      </c>
      <c r="T819" s="181" t="b">
        <f>COUNTIF('New Items'!$A$1:$A$175,A819)&gt;0</f>
        <v>0</v>
      </c>
      <c r="U819" s="181" t="b">
        <f>COUNTIF(Discontinued!$A$1:$A$150,A819)&gt;0</f>
        <v>0</v>
      </c>
    </row>
    <row r="820" spans="1:21" s="8" customFormat="1" ht="11.25" x14ac:dyDescent="0.2">
      <c r="A820" s="154">
        <v>10124150</v>
      </c>
      <c r="B820" s="10" t="s">
        <v>3652</v>
      </c>
      <c r="C820" s="14" t="s">
        <v>471</v>
      </c>
      <c r="D820" s="40" t="s">
        <v>702</v>
      </c>
      <c r="E820" s="14" t="s">
        <v>782</v>
      </c>
      <c r="F820" s="13">
        <v>2</v>
      </c>
      <c r="G820" s="22">
        <f>Overview!$B$72</f>
        <v>24</v>
      </c>
      <c r="H820" s="23">
        <f t="shared" si="227"/>
        <v>24</v>
      </c>
      <c r="I820" s="114">
        <f>Overview!$E$72</f>
        <v>0</v>
      </c>
      <c r="J820" s="24">
        <f t="shared" si="228"/>
        <v>0</v>
      </c>
      <c r="K820" s="116">
        <f>Overview!$H$72</f>
        <v>0</v>
      </c>
      <c r="L820" s="51" t="e">
        <f t="shared" si="229"/>
        <v>#DIV/0!</v>
      </c>
      <c r="M820" s="179"/>
      <c r="N820" s="179" t="s">
        <v>983</v>
      </c>
      <c r="O820" s="141">
        <f t="shared" si="230"/>
        <v>0</v>
      </c>
      <c r="P820" s="181" t="b">
        <f>COUNTIF('Facility Data'!$A$1:$A$1500,"*"&amp;A820&amp;"*")&gt;0</f>
        <v>1</v>
      </c>
      <c r="Q820" s="181" t="b">
        <f>COUNTIF('Account Data'!$A$1:$A$1000,"*"&amp;A820&amp;"*")&gt;0</f>
        <v>0</v>
      </c>
      <c r="R820" s="182" t="b">
        <f t="shared" si="231"/>
        <v>1</v>
      </c>
      <c r="S820" s="182" t="b">
        <f t="shared" si="232"/>
        <v>0</v>
      </c>
      <c r="T820" s="181" t="b">
        <f>COUNTIF('New Items'!$A$1:$A$175,A820)&gt;0</f>
        <v>0</v>
      </c>
      <c r="U820" s="181" t="b">
        <f>COUNTIF(Discontinued!$A$1:$A$150,A820)&gt;0</f>
        <v>0</v>
      </c>
    </row>
    <row r="821" spans="1:21" s="8" customFormat="1" ht="11.25" x14ac:dyDescent="0.2">
      <c r="A821" s="154">
        <v>10124149</v>
      </c>
      <c r="B821" s="10" t="s">
        <v>3653</v>
      </c>
      <c r="C821" s="14" t="s">
        <v>472</v>
      </c>
      <c r="D821" s="41" t="s">
        <v>703</v>
      </c>
      <c r="E821" s="14" t="s">
        <v>782</v>
      </c>
      <c r="F821" s="13">
        <v>2</v>
      </c>
      <c r="G821" s="22">
        <f>Overview!$B$72</f>
        <v>24</v>
      </c>
      <c r="H821" s="23">
        <f t="shared" si="227"/>
        <v>24</v>
      </c>
      <c r="I821" s="114">
        <f>Overview!$E$72</f>
        <v>0</v>
      </c>
      <c r="J821" s="24">
        <f t="shared" si="228"/>
        <v>0</v>
      </c>
      <c r="K821" s="116">
        <f>Overview!$H$72</f>
        <v>0</v>
      </c>
      <c r="L821" s="51" t="e">
        <f t="shared" si="229"/>
        <v>#DIV/0!</v>
      </c>
      <c r="M821" s="179"/>
      <c r="N821" s="179" t="s">
        <v>983</v>
      </c>
      <c r="O821" s="141">
        <f t="shared" si="230"/>
        <v>0</v>
      </c>
      <c r="P821" s="181" t="b">
        <f>COUNTIF('Facility Data'!$A$1:$A$1500,"*"&amp;A821&amp;"*")&gt;0</f>
        <v>1</v>
      </c>
      <c r="Q821" s="181" t="b">
        <f>COUNTIF('Account Data'!$A$1:$A$1000,"*"&amp;A821&amp;"*")&gt;0</f>
        <v>0</v>
      </c>
      <c r="R821" s="182" t="b">
        <f t="shared" si="231"/>
        <v>1</v>
      </c>
      <c r="S821" s="182" t="b">
        <f t="shared" si="232"/>
        <v>0</v>
      </c>
      <c r="T821" s="181" t="b">
        <f>COUNTIF('New Items'!$A$1:$A$175,A821)&gt;0</f>
        <v>0</v>
      </c>
      <c r="U821" s="181" t="b">
        <f>COUNTIF(Discontinued!$A$1:$A$150,A821)&gt;0</f>
        <v>0</v>
      </c>
    </row>
    <row r="822" spans="1:21" s="8" customFormat="1" ht="11.25" x14ac:dyDescent="0.2">
      <c r="A822" s="155">
        <v>10121162</v>
      </c>
      <c r="B822" s="81" t="s">
        <v>3654</v>
      </c>
      <c r="C822" s="14" t="s">
        <v>878</v>
      </c>
      <c r="D822" s="32" t="s">
        <v>713</v>
      </c>
      <c r="E822" s="14" t="s">
        <v>782</v>
      </c>
      <c r="F822" s="13">
        <v>2</v>
      </c>
      <c r="G822" s="22">
        <f>Overview!$B$72</f>
        <v>24</v>
      </c>
      <c r="H822" s="23">
        <f t="shared" si="227"/>
        <v>24</v>
      </c>
      <c r="I822" s="114">
        <f>Overview!$E$72</f>
        <v>0</v>
      </c>
      <c r="J822" s="24">
        <f t="shared" si="228"/>
        <v>0</v>
      </c>
      <c r="K822" s="116">
        <f>Overview!$H$72</f>
        <v>0</v>
      </c>
      <c r="L822" s="51" t="e">
        <f t="shared" si="229"/>
        <v>#DIV/0!</v>
      </c>
      <c r="M822" s="179"/>
      <c r="N822" s="179" t="s">
        <v>983</v>
      </c>
      <c r="O822" s="141">
        <f t="shared" si="230"/>
        <v>0</v>
      </c>
      <c r="P822" s="181" t="b">
        <f>COUNTIF('Facility Data'!$A$1:$A$1500,"*"&amp;A822&amp;"*")&gt;0</f>
        <v>1</v>
      </c>
      <c r="Q822" s="181" t="b">
        <f>COUNTIF('Account Data'!$A$1:$A$1000,"*"&amp;A822&amp;"*")&gt;0</f>
        <v>0</v>
      </c>
      <c r="R822" s="182" t="b">
        <f t="shared" si="231"/>
        <v>1</v>
      </c>
      <c r="S822" s="182" t="b">
        <f t="shared" si="232"/>
        <v>0</v>
      </c>
      <c r="T822" s="181" t="b">
        <f>COUNTIF('New Items'!$A$1:$A$175,A822)&gt;0</f>
        <v>0</v>
      </c>
      <c r="U822" s="181" t="b">
        <f>COUNTIF(Discontinued!$A$1:$A$150,A822)&gt;0</f>
        <v>0</v>
      </c>
    </row>
    <row r="823" spans="1:21" s="8" customFormat="1" ht="12" thickBot="1" x14ac:dyDescent="0.25">
      <c r="A823" s="155">
        <v>10121163</v>
      </c>
      <c r="B823" s="81" t="s">
        <v>3655</v>
      </c>
      <c r="C823" s="14" t="s">
        <v>877</v>
      </c>
      <c r="D823" s="48" t="s">
        <v>712</v>
      </c>
      <c r="E823" s="14" t="s">
        <v>782</v>
      </c>
      <c r="F823" s="13">
        <v>2</v>
      </c>
      <c r="G823" s="22">
        <f>Overview!$B$72</f>
        <v>24</v>
      </c>
      <c r="H823" s="23">
        <f t="shared" si="227"/>
        <v>24</v>
      </c>
      <c r="I823" s="114">
        <f>Overview!$E$72</f>
        <v>0</v>
      </c>
      <c r="J823" s="24">
        <f t="shared" si="228"/>
        <v>0</v>
      </c>
      <c r="K823" s="116">
        <f>Overview!$H$72</f>
        <v>0</v>
      </c>
      <c r="L823" s="51" t="e">
        <f t="shared" si="229"/>
        <v>#DIV/0!</v>
      </c>
      <c r="M823" s="179"/>
      <c r="N823" s="179" t="s">
        <v>983</v>
      </c>
      <c r="O823" s="141">
        <f t="shared" si="230"/>
        <v>0</v>
      </c>
      <c r="P823" s="181" t="b">
        <f>COUNTIF('Facility Data'!$A$1:$A$1500,"*"&amp;A823&amp;"*")&gt;0</f>
        <v>1</v>
      </c>
      <c r="Q823" s="181" t="b">
        <f>COUNTIF('Account Data'!$A$1:$A$1000,"*"&amp;A823&amp;"*")&gt;0</f>
        <v>0</v>
      </c>
      <c r="R823" s="182" t="b">
        <f t="shared" si="231"/>
        <v>1</v>
      </c>
      <c r="S823" s="182" t="b">
        <f t="shared" si="232"/>
        <v>0</v>
      </c>
      <c r="T823" s="181" t="b">
        <f>COUNTIF('New Items'!$A$1:$A$175,A823)&gt;0</f>
        <v>0</v>
      </c>
      <c r="U823" s="181" t="b">
        <f>COUNTIF(Discontinued!$A$1:$A$150,A823)&gt;0</f>
        <v>0</v>
      </c>
    </row>
    <row r="824" spans="1:21" s="8" customFormat="1" ht="13.5" thickBot="1" x14ac:dyDescent="0.25">
      <c r="A824" s="300" t="s">
        <v>3860</v>
      </c>
      <c r="B824" s="301"/>
      <c r="C824" s="301"/>
      <c r="D824" s="301"/>
      <c r="E824" s="301"/>
      <c r="F824" s="301"/>
      <c r="G824" s="301"/>
      <c r="H824" s="301"/>
      <c r="I824" s="301"/>
      <c r="J824" s="301"/>
      <c r="K824" s="301"/>
      <c r="L824" s="302"/>
      <c r="M824" s="179" t="s">
        <v>4361</v>
      </c>
      <c r="N824" s="179" t="s">
        <v>622</v>
      </c>
      <c r="O824" s="141">
        <f>AVERAGE(O825:O830)</f>
        <v>0</v>
      </c>
      <c r="P824" s="181" t="b">
        <f>COUNTIF(P825:P830,TRUE)&gt;0</f>
        <v>1</v>
      </c>
      <c r="Q824" s="181" t="b">
        <f>COUNTIF(Q825:Q830,TRUE)&gt;0</f>
        <v>0</v>
      </c>
      <c r="R824" s="181" t="b">
        <f>COUNTIF(R825:R830,TRUE)&gt;0</f>
        <v>1</v>
      </c>
      <c r="S824" s="181" t="b">
        <f>COUNTIF(S825:S830,TRUE)&gt;0</f>
        <v>0</v>
      </c>
      <c r="T824" s="181" t="b">
        <f>COUNTIF(T825:T830,TRUE)&gt;0</f>
        <v>0</v>
      </c>
      <c r="U824" s="181"/>
    </row>
    <row r="825" spans="1:21" s="8" customFormat="1" ht="11.25" x14ac:dyDescent="0.2">
      <c r="A825" s="152">
        <v>10130146</v>
      </c>
      <c r="B825" s="10" t="s">
        <v>3862</v>
      </c>
      <c r="C825" s="14" t="s">
        <v>3868</v>
      </c>
      <c r="D825" s="11" t="s">
        <v>722</v>
      </c>
      <c r="E825" s="14" t="s">
        <v>792</v>
      </c>
      <c r="F825" s="13">
        <v>12</v>
      </c>
      <c r="G825" s="22">
        <f>Overview!$B$74</f>
        <v>24</v>
      </c>
      <c r="H825" s="23">
        <f t="shared" ref="H825:H830" si="233">G825-I825</f>
        <v>24</v>
      </c>
      <c r="I825" s="114">
        <f>Overview!$E$74</f>
        <v>0</v>
      </c>
      <c r="J825" s="24">
        <f t="shared" ref="J825:J830" si="234">I825/F825</f>
        <v>0</v>
      </c>
      <c r="K825" s="116">
        <f>Overview!$H$74</f>
        <v>0</v>
      </c>
      <c r="L825" s="51" t="e">
        <f t="shared" ref="L825:L830" si="235">(K825-J825)/K825</f>
        <v>#DIV/0!</v>
      </c>
      <c r="M825" s="179"/>
      <c r="N825" s="179" t="s">
        <v>622</v>
      </c>
      <c r="O825" s="141">
        <f t="shared" ref="O825:O830" si="236">I825</f>
        <v>0</v>
      </c>
      <c r="P825" s="181" t="b">
        <f>COUNTIF('Facility Data'!$A$1:$A$1500,"*"&amp;A825&amp;"*")&gt;0</f>
        <v>1</v>
      </c>
      <c r="Q825" s="181" t="b">
        <f>COUNTIF('Account Data'!$A$1:$A$1000,"*"&amp;A825&amp;"*")&gt;0</f>
        <v>0</v>
      </c>
      <c r="R825" s="182" t="b">
        <f t="shared" ref="R825:R830" si="237">IF(OR(P825=TRUE,T825=TRUE),TRUE,FALSE)</f>
        <v>1</v>
      </c>
      <c r="S825" s="182" t="b">
        <f t="shared" ref="S825:S830" si="238">IF(OR(Q825=TRUE,T825=TRUE),TRUE,FALSE)</f>
        <v>0</v>
      </c>
      <c r="T825" s="181" t="b">
        <f>COUNTIF('New Items'!$A$1:$A$175,A825)&gt;0</f>
        <v>0</v>
      </c>
      <c r="U825" s="181" t="b">
        <f>COUNTIF(Discontinued!$A$1:$A$150,A825)&gt;0</f>
        <v>0</v>
      </c>
    </row>
    <row r="826" spans="1:21" s="8" customFormat="1" ht="11.25" x14ac:dyDescent="0.2">
      <c r="A826" s="152">
        <v>10130148</v>
      </c>
      <c r="B826" s="10" t="s">
        <v>3863</v>
      </c>
      <c r="C826" s="14" t="s">
        <v>4451</v>
      </c>
      <c r="D826" s="11" t="s">
        <v>727</v>
      </c>
      <c r="E826" s="14" t="s">
        <v>792</v>
      </c>
      <c r="F826" s="13">
        <v>12</v>
      </c>
      <c r="G826" s="22">
        <f>Overview!$B$74</f>
        <v>24</v>
      </c>
      <c r="H826" s="23">
        <f t="shared" si="233"/>
        <v>24</v>
      </c>
      <c r="I826" s="114">
        <f>Overview!$E$74</f>
        <v>0</v>
      </c>
      <c r="J826" s="24">
        <f t="shared" si="234"/>
        <v>0</v>
      </c>
      <c r="K826" s="116">
        <f>Overview!$H$74</f>
        <v>0</v>
      </c>
      <c r="L826" s="51" t="e">
        <f t="shared" si="235"/>
        <v>#DIV/0!</v>
      </c>
      <c r="M826" s="179"/>
      <c r="N826" s="179" t="s">
        <v>622</v>
      </c>
      <c r="O826" s="141">
        <f t="shared" si="236"/>
        <v>0</v>
      </c>
      <c r="P826" s="181" t="b">
        <f>COUNTIF('Facility Data'!$A$1:$A$1500,"*"&amp;A826&amp;"*")&gt;0</f>
        <v>1</v>
      </c>
      <c r="Q826" s="181" t="b">
        <f>COUNTIF('Account Data'!$A$1:$A$1000,"*"&amp;A826&amp;"*")&gt;0</f>
        <v>0</v>
      </c>
      <c r="R826" s="182" t="b">
        <f t="shared" si="237"/>
        <v>1</v>
      </c>
      <c r="S826" s="182" t="b">
        <f t="shared" si="238"/>
        <v>0</v>
      </c>
      <c r="T826" s="181" t="b">
        <f>COUNTIF('New Items'!$A$1:$A$175,A826)&gt;0</f>
        <v>0</v>
      </c>
      <c r="U826" s="181" t="b">
        <f>COUNTIF(Discontinued!$A$1:$A$150,A826)&gt;0</f>
        <v>0</v>
      </c>
    </row>
    <row r="827" spans="1:21" s="8" customFormat="1" ht="11.25" x14ac:dyDescent="0.2">
      <c r="A827" s="152">
        <v>10130151</v>
      </c>
      <c r="B827" s="10" t="s">
        <v>3864</v>
      </c>
      <c r="C827" s="14" t="s">
        <v>4452</v>
      </c>
      <c r="D827" s="11" t="s">
        <v>725</v>
      </c>
      <c r="E827" s="14" t="s">
        <v>792</v>
      </c>
      <c r="F827" s="13">
        <v>12</v>
      </c>
      <c r="G827" s="22">
        <f>Overview!$B$74</f>
        <v>24</v>
      </c>
      <c r="H827" s="23">
        <f t="shared" si="233"/>
        <v>24</v>
      </c>
      <c r="I827" s="114">
        <f>Overview!$E$74</f>
        <v>0</v>
      </c>
      <c r="J827" s="24">
        <f t="shared" si="234"/>
        <v>0</v>
      </c>
      <c r="K827" s="116">
        <f>Overview!$H$74</f>
        <v>0</v>
      </c>
      <c r="L827" s="51" t="e">
        <f t="shared" si="235"/>
        <v>#DIV/0!</v>
      </c>
      <c r="M827" s="179"/>
      <c r="N827" s="179" t="s">
        <v>622</v>
      </c>
      <c r="O827" s="141">
        <f t="shared" si="236"/>
        <v>0</v>
      </c>
      <c r="P827" s="181" t="b">
        <f>COUNTIF('Facility Data'!$A$1:$A$1500,"*"&amp;A827&amp;"*")&gt;0</f>
        <v>1</v>
      </c>
      <c r="Q827" s="181" t="b">
        <f>COUNTIF('Account Data'!$A$1:$A$1000,"*"&amp;A827&amp;"*")&gt;0</f>
        <v>0</v>
      </c>
      <c r="R827" s="182" t="b">
        <f t="shared" si="237"/>
        <v>1</v>
      </c>
      <c r="S827" s="182" t="b">
        <f t="shared" si="238"/>
        <v>0</v>
      </c>
      <c r="T827" s="181" t="b">
        <f>COUNTIF('New Items'!$A$1:$A$175,A827)&gt;0</f>
        <v>0</v>
      </c>
      <c r="U827" s="181" t="b">
        <f>COUNTIF(Discontinued!$A$1:$A$150,A827)&gt;0</f>
        <v>0</v>
      </c>
    </row>
    <row r="828" spans="1:21" s="8" customFormat="1" ht="11.25" x14ac:dyDescent="0.2">
      <c r="A828" s="152">
        <v>10130150</v>
      </c>
      <c r="B828" s="10" t="s">
        <v>3865</v>
      </c>
      <c r="C828" s="14" t="s">
        <v>4453</v>
      </c>
      <c r="D828" s="11" t="s">
        <v>726</v>
      </c>
      <c r="E828" s="14" t="s">
        <v>792</v>
      </c>
      <c r="F828" s="13">
        <v>12</v>
      </c>
      <c r="G828" s="22">
        <f>Overview!$B$74</f>
        <v>24</v>
      </c>
      <c r="H828" s="23">
        <f t="shared" si="233"/>
        <v>24</v>
      </c>
      <c r="I828" s="114">
        <f>Overview!$E$74</f>
        <v>0</v>
      </c>
      <c r="J828" s="24">
        <f t="shared" si="234"/>
        <v>0</v>
      </c>
      <c r="K828" s="116">
        <f>Overview!$H$74</f>
        <v>0</v>
      </c>
      <c r="L828" s="51" t="e">
        <f t="shared" si="235"/>
        <v>#DIV/0!</v>
      </c>
      <c r="M828" s="179"/>
      <c r="N828" s="179" t="s">
        <v>622</v>
      </c>
      <c r="O828" s="141">
        <f t="shared" si="236"/>
        <v>0</v>
      </c>
      <c r="P828" s="181" t="b">
        <f>COUNTIF('Facility Data'!$A$1:$A$1500,"*"&amp;A828&amp;"*")&gt;0</f>
        <v>1</v>
      </c>
      <c r="Q828" s="181" t="b">
        <f>COUNTIF('Account Data'!$A$1:$A$1000,"*"&amp;A828&amp;"*")&gt;0</f>
        <v>0</v>
      </c>
      <c r="R828" s="182" t="b">
        <f t="shared" si="237"/>
        <v>1</v>
      </c>
      <c r="S828" s="182" t="b">
        <f t="shared" si="238"/>
        <v>0</v>
      </c>
      <c r="T828" s="181" t="b">
        <f>COUNTIF('New Items'!$A$1:$A$175,A828)&gt;0</f>
        <v>0</v>
      </c>
      <c r="U828" s="181" t="b">
        <f>COUNTIF(Discontinued!$A$1:$A$150,A828)&gt;0</f>
        <v>0</v>
      </c>
    </row>
    <row r="829" spans="1:21" s="8" customFormat="1" ht="11.25" x14ac:dyDescent="0.2">
      <c r="A829" s="152">
        <v>10130149</v>
      </c>
      <c r="B829" s="10" t="s">
        <v>3866</v>
      </c>
      <c r="C829" s="14" t="s">
        <v>4454</v>
      </c>
      <c r="D829" s="11" t="s">
        <v>724</v>
      </c>
      <c r="E829" s="14" t="s">
        <v>792</v>
      </c>
      <c r="F829" s="13">
        <v>12</v>
      </c>
      <c r="G829" s="22">
        <f>Overview!$B$74</f>
        <v>24</v>
      </c>
      <c r="H829" s="23">
        <f t="shared" si="233"/>
        <v>24</v>
      </c>
      <c r="I829" s="114">
        <f>Overview!$E$74</f>
        <v>0</v>
      </c>
      <c r="J829" s="24">
        <f t="shared" si="234"/>
        <v>0</v>
      </c>
      <c r="K829" s="116">
        <f>Overview!$H$74</f>
        <v>0</v>
      </c>
      <c r="L829" s="51" t="e">
        <f t="shared" si="235"/>
        <v>#DIV/0!</v>
      </c>
      <c r="M829" s="179"/>
      <c r="N829" s="179" t="s">
        <v>622</v>
      </c>
      <c r="O829" s="141">
        <f t="shared" si="236"/>
        <v>0</v>
      </c>
      <c r="P829" s="181" t="b">
        <f>COUNTIF('Facility Data'!$A$1:$A$1500,"*"&amp;A829&amp;"*")&gt;0</f>
        <v>1</v>
      </c>
      <c r="Q829" s="181" t="b">
        <f>COUNTIF('Account Data'!$A$1:$A$1000,"*"&amp;A829&amp;"*")&gt;0</f>
        <v>0</v>
      </c>
      <c r="R829" s="182" t="b">
        <f t="shared" si="237"/>
        <v>1</v>
      </c>
      <c r="S829" s="182" t="b">
        <f t="shared" si="238"/>
        <v>0</v>
      </c>
      <c r="T829" s="181" t="b">
        <f>COUNTIF('New Items'!$A$1:$A$175,A829)&gt;0</f>
        <v>0</v>
      </c>
      <c r="U829" s="181" t="b">
        <f>COUNTIF(Discontinued!$A$1:$A$150,A829)&gt;0</f>
        <v>0</v>
      </c>
    </row>
    <row r="830" spans="1:21" s="8" customFormat="1" ht="12" thickBot="1" x14ac:dyDescent="0.25">
      <c r="A830" s="152">
        <v>10130147</v>
      </c>
      <c r="B830" s="10" t="s">
        <v>3867</v>
      </c>
      <c r="C830" s="14" t="s">
        <v>3869</v>
      </c>
      <c r="D830" s="11" t="s">
        <v>697</v>
      </c>
      <c r="E830" s="14" t="s">
        <v>792</v>
      </c>
      <c r="F830" s="13">
        <v>12</v>
      </c>
      <c r="G830" s="22">
        <f>Overview!$B$74</f>
        <v>24</v>
      </c>
      <c r="H830" s="23">
        <f t="shared" si="233"/>
        <v>24</v>
      </c>
      <c r="I830" s="114">
        <f>Overview!$E$74</f>
        <v>0</v>
      </c>
      <c r="J830" s="24">
        <f t="shared" si="234"/>
        <v>0</v>
      </c>
      <c r="K830" s="116">
        <f>Overview!$H$74</f>
        <v>0</v>
      </c>
      <c r="L830" s="51" t="e">
        <f t="shared" si="235"/>
        <v>#DIV/0!</v>
      </c>
      <c r="M830" s="179"/>
      <c r="N830" s="179" t="s">
        <v>622</v>
      </c>
      <c r="O830" s="141">
        <f t="shared" si="236"/>
        <v>0</v>
      </c>
      <c r="P830" s="181" t="b">
        <f>COUNTIF('Facility Data'!$A$1:$A$1500,"*"&amp;A830&amp;"*")&gt;0</f>
        <v>0</v>
      </c>
      <c r="Q830" s="181" t="b">
        <f>COUNTIF('Account Data'!$A$1:$A$1000,"*"&amp;A830&amp;"*")&gt;0</f>
        <v>0</v>
      </c>
      <c r="R830" s="182" t="b">
        <f t="shared" si="237"/>
        <v>0</v>
      </c>
      <c r="S830" s="182" t="b">
        <f t="shared" si="238"/>
        <v>0</v>
      </c>
      <c r="T830" s="181" t="b">
        <f>COUNTIF('New Items'!$A$1:$A$175,A830)&gt;0</f>
        <v>0</v>
      </c>
      <c r="U830" s="181" t="b">
        <f>COUNTIF(Discontinued!$A$1:$A$150,A830)&gt;0</f>
        <v>0</v>
      </c>
    </row>
    <row r="831" spans="1:21" s="8" customFormat="1" ht="13.5" thickBot="1" x14ac:dyDescent="0.25">
      <c r="A831" s="300" t="s">
        <v>2880</v>
      </c>
      <c r="B831" s="301"/>
      <c r="C831" s="301"/>
      <c r="D831" s="301"/>
      <c r="E831" s="301"/>
      <c r="F831" s="301"/>
      <c r="G831" s="301"/>
      <c r="H831" s="301"/>
      <c r="I831" s="301"/>
      <c r="J831" s="301"/>
      <c r="K831" s="301"/>
      <c r="L831" s="302"/>
      <c r="M831" s="179" t="s">
        <v>4361</v>
      </c>
      <c r="N831" s="179" t="s">
        <v>3861</v>
      </c>
      <c r="O831" s="141">
        <f>AVERAGE(O832:O839)</f>
        <v>0</v>
      </c>
      <c r="P831" s="181" t="b">
        <f>COUNTIF(P832:P839,TRUE)&gt;0</f>
        <v>1</v>
      </c>
      <c r="Q831" s="181" t="b">
        <f>COUNTIF(Q832:Q839,TRUE)&gt;0</f>
        <v>0</v>
      </c>
      <c r="R831" s="181" t="b">
        <f>COUNTIF(R832:R839,TRUE)&gt;0</f>
        <v>1</v>
      </c>
      <c r="S831" s="181" t="b">
        <f>COUNTIF(S832:S839,TRUE)&gt;0</f>
        <v>0</v>
      </c>
      <c r="T831" s="181" t="b">
        <f>COUNTIF(T832:T839,TRUE)&gt;0</f>
        <v>0</v>
      </c>
      <c r="U831" s="181"/>
    </row>
    <row r="832" spans="1:21" s="8" customFormat="1" ht="11.25" x14ac:dyDescent="0.2">
      <c r="A832" s="152">
        <v>10123496</v>
      </c>
      <c r="B832" s="10" t="s">
        <v>624</v>
      </c>
      <c r="C832" s="14" t="s">
        <v>814</v>
      </c>
      <c r="D832" s="11" t="s">
        <v>725</v>
      </c>
      <c r="E832" s="14" t="s">
        <v>782</v>
      </c>
      <c r="F832" s="13">
        <v>12</v>
      </c>
      <c r="G832" s="22">
        <f>Overview!$B$74</f>
        <v>24</v>
      </c>
      <c r="H832" s="23">
        <f>G832-I832</f>
        <v>24</v>
      </c>
      <c r="I832" s="114">
        <f>Overview!$E$74</f>
        <v>0</v>
      </c>
      <c r="J832" s="24">
        <f>I832/F832</f>
        <v>0</v>
      </c>
      <c r="K832" s="116">
        <f>Overview!$H$74</f>
        <v>0</v>
      </c>
      <c r="L832" s="51" t="e">
        <f>(K832-J832)/K832</f>
        <v>#DIV/0!</v>
      </c>
      <c r="M832" s="179"/>
      <c r="N832" s="179" t="s">
        <v>3861</v>
      </c>
      <c r="O832" s="141">
        <f>I832</f>
        <v>0</v>
      </c>
      <c r="P832" s="181" t="b">
        <f>COUNTIF('Facility Data'!$A$1:$A$1500,"*"&amp;A832&amp;"*")&gt;0</f>
        <v>1</v>
      </c>
      <c r="Q832" s="181" t="b">
        <f>COUNTIF('Account Data'!$A$1:$A$1000,"*"&amp;A832&amp;"*")&gt;0</f>
        <v>0</v>
      </c>
      <c r="R832" s="182" t="b">
        <f t="shared" ref="R832:R839" si="239">IF(OR(P832=TRUE,T832=TRUE),TRUE,FALSE)</f>
        <v>1</v>
      </c>
      <c r="S832" s="182" t="b">
        <f t="shared" ref="S832:S839" si="240">IF(OR(Q832=TRUE,T832=TRUE),TRUE,FALSE)</f>
        <v>0</v>
      </c>
      <c r="T832" s="181" t="b">
        <f>COUNTIF('New Items'!$A$1:$A$175,A832)&gt;0</f>
        <v>0</v>
      </c>
      <c r="U832" s="181" t="b">
        <f>COUNTIF(Discontinued!$A$1:$A$150,A832)&gt;0</f>
        <v>0</v>
      </c>
    </row>
    <row r="833" spans="1:21" s="8" customFormat="1" ht="11.25" x14ac:dyDescent="0.2">
      <c r="A833" s="152">
        <v>10123495</v>
      </c>
      <c r="B833" s="10" t="s">
        <v>623</v>
      </c>
      <c r="C833" s="14" t="s">
        <v>809</v>
      </c>
      <c r="D833" s="11" t="s">
        <v>722</v>
      </c>
      <c r="E833" s="14" t="s">
        <v>782</v>
      </c>
      <c r="F833" s="13">
        <v>12</v>
      </c>
      <c r="G833" s="22">
        <f>Overview!$B$74</f>
        <v>24</v>
      </c>
      <c r="H833" s="23">
        <f t="shared" ref="H833:H839" si="241">G833-I833</f>
        <v>24</v>
      </c>
      <c r="I833" s="114">
        <f>Overview!$E$74</f>
        <v>0</v>
      </c>
      <c r="J833" s="24">
        <f t="shared" ref="J833:J839" si="242">I833/F833</f>
        <v>0</v>
      </c>
      <c r="K833" s="116">
        <f>Overview!$H$74</f>
        <v>0</v>
      </c>
      <c r="L833" s="51" t="e">
        <f t="shared" ref="L833:L839" si="243">(K833-J833)/K833</f>
        <v>#DIV/0!</v>
      </c>
      <c r="M833" s="179"/>
      <c r="N833" s="179" t="s">
        <v>3861</v>
      </c>
      <c r="O833" s="141">
        <f t="shared" ref="O833:O839" si="244">I833</f>
        <v>0</v>
      </c>
      <c r="P833" s="181" t="b">
        <f>COUNTIF('Facility Data'!$A$1:$A$1500,"*"&amp;A833&amp;"*")&gt;0</f>
        <v>1</v>
      </c>
      <c r="Q833" s="181" t="b">
        <f>COUNTIF('Account Data'!$A$1:$A$1000,"*"&amp;A833&amp;"*")&gt;0</f>
        <v>0</v>
      </c>
      <c r="R833" s="182" t="b">
        <f t="shared" si="239"/>
        <v>1</v>
      </c>
      <c r="S833" s="182" t="b">
        <f t="shared" si="240"/>
        <v>0</v>
      </c>
      <c r="T833" s="181" t="b">
        <f>COUNTIF('New Items'!$A$1:$A$175,A833)&gt;0</f>
        <v>0</v>
      </c>
      <c r="U833" s="181" t="b">
        <f>COUNTIF(Discontinued!$A$1:$A$150,A833)&gt;0</f>
        <v>0</v>
      </c>
    </row>
    <row r="834" spans="1:21" s="8" customFormat="1" ht="11.25" x14ac:dyDescent="0.2">
      <c r="A834" s="152">
        <v>10123497</v>
      </c>
      <c r="B834" s="10" t="s">
        <v>628</v>
      </c>
      <c r="C834" s="14" t="s">
        <v>812</v>
      </c>
      <c r="D834" s="11" t="s">
        <v>727</v>
      </c>
      <c r="E834" s="14" t="s">
        <v>782</v>
      </c>
      <c r="F834" s="13">
        <v>12</v>
      </c>
      <c r="G834" s="22">
        <f>Overview!$B$74</f>
        <v>24</v>
      </c>
      <c r="H834" s="23">
        <f>G834-I834</f>
        <v>24</v>
      </c>
      <c r="I834" s="114">
        <f>Overview!$E$74</f>
        <v>0</v>
      </c>
      <c r="J834" s="24">
        <f>I834/F834</f>
        <v>0</v>
      </c>
      <c r="K834" s="116">
        <f>Overview!$H$74</f>
        <v>0</v>
      </c>
      <c r="L834" s="51" t="e">
        <f>(K834-J834)/K834</f>
        <v>#DIV/0!</v>
      </c>
      <c r="M834" s="179"/>
      <c r="N834" s="179" t="s">
        <v>3861</v>
      </c>
      <c r="O834" s="141">
        <f t="shared" si="244"/>
        <v>0</v>
      </c>
      <c r="P834" s="181" t="b">
        <f>COUNTIF('Facility Data'!$A$1:$A$1500,"*"&amp;A834&amp;"*")&gt;0</f>
        <v>1</v>
      </c>
      <c r="Q834" s="181" t="b">
        <f>COUNTIF('Account Data'!$A$1:$A$1000,"*"&amp;A834&amp;"*")&gt;0</f>
        <v>0</v>
      </c>
      <c r="R834" s="182" t="b">
        <f t="shared" si="239"/>
        <v>1</v>
      </c>
      <c r="S834" s="182" t="b">
        <f t="shared" si="240"/>
        <v>0</v>
      </c>
      <c r="T834" s="181" t="b">
        <f>COUNTIF('New Items'!$A$1:$A$175,A834)&gt;0</f>
        <v>0</v>
      </c>
      <c r="U834" s="181" t="b">
        <f>COUNTIF(Discontinued!$A$1:$A$150,A834)&gt;0</f>
        <v>0</v>
      </c>
    </row>
    <row r="835" spans="1:21" s="8" customFormat="1" ht="11.25" x14ac:dyDescent="0.2">
      <c r="A835" s="152">
        <v>10123498</v>
      </c>
      <c r="B835" s="10" t="s">
        <v>627</v>
      </c>
      <c r="C835" s="14" t="s">
        <v>813</v>
      </c>
      <c r="D835" s="11" t="s">
        <v>726</v>
      </c>
      <c r="E835" s="14" t="s">
        <v>782</v>
      </c>
      <c r="F835" s="13">
        <v>12</v>
      </c>
      <c r="G835" s="22">
        <f>Overview!$B$74</f>
        <v>24</v>
      </c>
      <c r="H835" s="23">
        <f>G835-I835</f>
        <v>24</v>
      </c>
      <c r="I835" s="114">
        <f>Overview!$E$74</f>
        <v>0</v>
      </c>
      <c r="J835" s="24">
        <f>I835/F835</f>
        <v>0</v>
      </c>
      <c r="K835" s="116">
        <f>Overview!$H$74</f>
        <v>0</v>
      </c>
      <c r="L835" s="51" t="e">
        <f>(K835-J835)/K835</f>
        <v>#DIV/0!</v>
      </c>
      <c r="M835" s="179"/>
      <c r="N835" s="179" t="s">
        <v>3861</v>
      </c>
      <c r="O835" s="141">
        <f t="shared" si="244"/>
        <v>0</v>
      </c>
      <c r="P835" s="181" t="b">
        <f>COUNTIF('Facility Data'!$A$1:$A$1500,"*"&amp;A835&amp;"*")&gt;0</f>
        <v>1</v>
      </c>
      <c r="Q835" s="181" t="b">
        <f>COUNTIF('Account Data'!$A$1:$A$1000,"*"&amp;A835&amp;"*")&gt;0</f>
        <v>0</v>
      </c>
      <c r="R835" s="182" t="b">
        <f t="shared" si="239"/>
        <v>1</v>
      </c>
      <c r="S835" s="182" t="b">
        <f t="shared" si="240"/>
        <v>0</v>
      </c>
      <c r="T835" s="181" t="b">
        <f>COUNTIF('New Items'!$A$1:$A$175,A835)&gt;0</f>
        <v>0</v>
      </c>
      <c r="U835" s="181" t="b">
        <f>COUNTIF(Discontinued!$A$1:$A$150,A835)&gt;0</f>
        <v>0</v>
      </c>
    </row>
    <row r="836" spans="1:21" s="8" customFormat="1" ht="11.25" x14ac:dyDescent="0.2">
      <c r="A836" s="152">
        <v>10123492</v>
      </c>
      <c r="B836" s="10" t="s">
        <v>626</v>
      </c>
      <c r="C836" s="14" t="s">
        <v>811</v>
      </c>
      <c r="D836" s="11" t="s">
        <v>724</v>
      </c>
      <c r="E836" s="14" t="s">
        <v>782</v>
      </c>
      <c r="F836" s="13">
        <v>12</v>
      </c>
      <c r="G836" s="22">
        <f>Overview!$B$74</f>
        <v>24</v>
      </c>
      <c r="H836" s="23">
        <f>G836-I836</f>
        <v>24</v>
      </c>
      <c r="I836" s="114">
        <f>Overview!$E$74</f>
        <v>0</v>
      </c>
      <c r="J836" s="24">
        <f>I836/F836</f>
        <v>0</v>
      </c>
      <c r="K836" s="116">
        <f>Overview!$H$74</f>
        <v>0</v>
      </c>
      <c r="L836" s="51" t="e">
        <f>(K836-J836)/K836</f>
        <v>#DIV/0!</v>
      </c>
      <c r="M836" s="179"/>
      <c r="N836" s="179" t="s">
        <v>3861</v>
      </c>
      <c r="O836" s="141">
        <f t="shared" si="244"/>
        <v>0</v>
      </c>
      <c r="P836" s="181" t="b">
        <f>COUNTIF('Facility Data'!$A$1:$A$1500,"*"&amp;A836&amp;"*")&gt;0</f>
        <v>1</v>
      </c>
      <c r="Q836" s="181" t="b">
        <f>COUNTIF('Account Data'!$A$1:$A$1000,"*"&amp;A836&amp;"*")&gt;0</f>
        <v>0</v>
      </c>
      <c r="R836" s="182" t="b">
        <f t="shared" si="239"/>
        <v>1</v>
      </c>
      <c r="S836" s="182" t="b">
        <f t="shared" si="240"/>
        <v>0</v>
      </c>
      <c r="T836" s="181" t="b">
        <f>COUNTIF('New Items'!$A$1:$A$175,A836)&gt;0</f>
        <v>0</v>
      </c>
      <c r="U836" s="181" t="b">
        <f>COUNTIF(Discontinued!$A$1:$A$150,A836)&gt;0</f>
        <v>0</v>
      </c>
    </row>
    <row r="837" spans="1:21" s="8" customFormat="1" ht="11.25" x14ac:dyDescent="0.2">
      <c r="A837" s="152">
        <v>10123499</v>
      </c>
      <c r="B837" s="10" t="s">
        <v>625</v>
      </c>
      <c r="C837" s="14" t="s">
        <v>810</v>
      </c>
      <c r="D837" s="11" t="s">
        <v>723</v>
      </c>
      <c r="E837" s="14" t="s">
        <v>782</v>
      </c>
      <c r="F837" s="13">
        <v>12</v>
      </c>
      <c r="G837" s="22">
        <f>Overview!$B$74</f>
        <v>24</v>
      </c>
      <c r="H837" s="23">
        <f t="shared" si="241"/>
        <v>24</v>
      </c>
      <c r="I837" s="114">
        <f>Overview!$E$74</f>
        <v>0</v>
      </c>
      <c r="J837" s="24">
        <f t="shared" si="242"/>
        <v>0</v>
      </c>
      <c r="K837" s="116">
        <f>Overview!$H$74</f>
        <v>0</v>
      </c>
      <c r="L837" s="51" t="e">
        <f t="shared" si="243"/>
        <v>#DIV/0!</v>
      </c>
      <c r="M837" s="179"/>
      <c r="N837" s="179" t="s">
        <v>3861</v>
      </c>
      <c r="O837" s="141">
        <f t="shared" si="244"/>
        <v>0</v>
      </c>
      <c r="P837" s="181" t="b">
        <f>COUNTIF('Facility Data'!$A$1:$A$1500,"*"&amp;A837&amp;"*")&gt;0</f>
        <v>1</v>
      </c>
      <c r="Q837" s="181" t="b">
        <f>COUNTIF('Account Data'!$A$1:$A$1000,"*"&amp;A837&amp;"*")&gt;0</f>
        <v>0</v>
      </c>
      <c r="R837" s="182" t="b">
        <f t="shared" si="239"/>
        <v>1</v>
      </c>
      <c r="S837" s="182" t="b">
        <f t="shared" si="240"/>
        <v>0</v>
      </c>
      <c r="T837" s="181" t="b">
        <f>COUNTIF('New Items'!$A$1:$A$175,A837)&gt;0</f>
        <v>0</v>
      </c>
      <c r="U837" s="181" t="b">
        <f>COUNTIF(Discontinued!$A$1:$A$150,A837)&gt;0</f>
        <v>0</v>
      </c>
    </row>
    <row r="838" spans="1:21" s="8" customFormat="1" ht="11.25" x14ac:dyDescent="0.2">
      <c r="A838" s="154">
        <v>10123494</v>
      </c>
      <c r="B838" s="10" t="s">
        <v>876</v>
      </c>
      <c r="C838" s="14" t="s">
        <v>867</v>
      </c>
      <c r="D838" s="11" t="s">
        <v>697</v>
      </c>
      <c r="E838" s="14" t="s">
        <v>782</v>
      </c>
      <c r="F838" s="13">
        <v>12</v>
      </c>
      <c r="G838" s="22">
        <f>Overview!$B$74</f>
        <v>24</v>
      </c>
      <c r="H838" s="23">
        <f t="shared" si="241"/>
        <v>24</v>
      </c>
      <c r="I838" s="114">
        <f>Overview!$E$74</f>
        <v>0</v>
      </c>
      <c r="J838" s="24">
        <f t="shared" si="242"/>
        <v>0</v>
      </c>
      <c r="K838" s="116">
        <f>Overview!$H$74</f>
        <v>0</v>
      </c>
      <c r="L838" s="51" t="e">
        <f t="shared" si="243"/>
        <v>#DIV/0!</v>
      </c>
      <c r="M838" s="179"/>
      <c r="N838" s="179" t="s">
        <v>3861</v>
      </c>
      <c r="O838" s="141">
        <f t="shared" si="244"/>
        <v>0</v>
      </c>
      <c r="P838" s="181" t="b">
        <f>COUNTIF('Facility Data'!$A$1:$A$1500,"*"&amp;A838&amp;"*")&gt;0</f>
        <v>1</v>
      </c>
      <c r="Q838" s="181" t="b">
        <f>COUNTIF('Account Data'!$A$1:$A$1000,"*"&amp;A838&amp;"*")&gt;0</f>
        <v>0</v>
      </c>
      <c r="R838" s="182" t="b">
        <f t="shared" si="239"/>
        <v>1</v>
      </c>
      <c r="S838" s="182" t="b">
        <f t="shared" si="240"/>
        <v>0</v>
      </c>
      <c r="T838" s="181" t="b">
        <f>COUNTIF('New Items'!$A$1:$A$175,A838)&gt;0</f>
        <v>0</v>
      </c>
      <c r="U838" s="181" t="b">
        <f>COUNTIF(Discontinued!$A$1:$A$150,A838)&gt;0</f>
        <v>0</v>
      </c>
    </row>
    <row r="839" spans="1:21" s="8" customFormat="1" ht="12" thickBot="1" x14ac:dyDescent="0.25">
      <c r="A839" s="154">
        <v>10123491</v>
      </c>
      <c r="B839" s="10" t="s">
        <v>2391</v>
      </c>
      <c r="C839" s="14" t="s">
        <v>868</v>
      </c>
      <c r="D839" s="11" t="s">
        <v>866</v>
      </c>
      <c r="E839" s="14" t="s">
        <v>782</v>
      </c>
      <c r="F839" s="13">
        <v>12</v>
      </c>
      <c r="G839" s="22">
        <f>Overview!$B$74</f>
        <v>24</v>
      </c>
      <c r="H839" s="23">
        <f t="shared" si="241"/>
        <v>24</v>
      </c>
      <c r="I839" s="114">
        <f>Overview!$E$74</f>
        <v>0</v>
      </c>
      <c r="J839" s="24">
        <f t="shared" si="242"/>
        <v>0</v>
      </c>
      <c r="K839" s="116">
        <f>Overview!$H$74</f>
        <v>0</v>
      </c>
      <c r="L839" s="51" t="e">
        <f t="shared" si="243"/>
        <v>#DIV/0!</v>
      </c>
      <c r="M839" s="179"/>
      <c r="N839" s="179" t="s">
        <v>3861</v>
      </c>
      <c r="O839" s="141">
        <f t="shared" si="244"/>
        <v>0</v>
      </c>
      <c r="P839" s="181" t="b">
        <f>COUNTIF('Facility Data'!$A$1:$A$1500,"*"&amp;A839&amp;"*")&gt;0</f>
        <v>1</v>
      </c>
      <c r="Q839" s="181" t="b">
        <f>COUNTIF('Account Data'!$A$1:$A$1000,"*"&amp;A839&amp;"*")&gt;0</f>
        <v>0</v>
      </c>
      <c r="R839" s="182" t="b">
        <f t="shared" si="239"/>
        <v>1</v>
      </c>
      <c r="S839" s="182" t="b">
        <f t="shared" si="240"/>
        <v>0</v>
      </c>
      <c r="T839" s="181" t="b">
        <f>COUNTIF('New Items'!$A$1:$A$175,A839)&gt;0</f>
        <v>0</v>
      </c>
      <c r="U839" s="181" t="b">
        <f>COUNTIF(Discontinued!$A$1:$A$150,A839)&gt;0</f>
        <v>0</v>
      </c>
    </row>
    <row r="840" spans="1:21" s="8" customFormat="1" ht="13.5" thickBot="1" x14ac:dyDescent="0.25">
      <c r="A840" s="300" t="s">
        <v>534</v>
      </c>
      <c r="B840" s="301"/>
      <c r="C840" s="301"/>
      <c r="D840" s="301"/>
      <c r="E840" s="301"/>
      <c r="F840" s="301"/>
      <c r="G840" s="301"/>
      <c r="H840" s="301"/>
      <c r="I840" s="301"/>
      <c r="J840" s="301"/>
      <c r="K840" s="301"/>
      <c r="L840" s="302"/>
      <c r="M840" s="179" t="s">
        <v>4361</v>
      </c>
      <c r="N840" s="179" t="s">
        <v>988</v>
      </c>
      <c r="O840" s="141">
        <f>AVERAGE(O841:O848)</f>
        <v>0</v>
      </c>
      <c r="P840" s="181" t="b">
        <f>COUNTIF(P841:P848,TRUE)&gt;0</f>
        <v>1</v>
      </c>
      <c r="Q840" s="181" t="b">
        <f>COUNTIF(Q841:Q848,TRUE)&gt;0</f>
        <v>1</v>
      </c>
      <c r="R840" s="181" t="b">
        <f>COUNTIF(R841:R848,TRUE)&gt;0</f>
        <v>1</v>
      </c>
      <c r="S840" s="181" t="b">
        <f>COUNTIF(S841:S848,TRUE)&gt;0</f>
        <v>1</v>
      </c>
      <c r="T840" s="181" t="b">
        <f>COUNTIF(T841:T848,TRUE)&gt;0</f>
        <v>0</v>
      </c>
      <c r="U840" s="181"/>
    </row>
    <row r="841" spans="1:21" s="8" customFormat="1" ht="11.25" x14ac:dyDescent="0.2">
      <c r="A841" s="152">
        <v>20019287</v>
      </c>
      <c r="B841" s="10" t="s">
        <v>535</v>
      </c>
      <c r="C841" s="14" t="s">
        <v>536</v>
      </c>
      <c r="D841" s="25" t="s">
        <v>881</v>
      </c>
      <c r="E841" s="14" t="s">
        <v>787</v>
      </c>
      <c r="F841" s="13">
        <v>12</v>
      </c>
      <c r="G841" s="22">
        <f>Overview!$B$75</f>
        <v>26</v>
      </c>
      <c r="H841" s="23">
        <f>G841-I841</f>
        <v>26</v>
      </c>
      <c r="I841" s="114">
        <f>Overview!$E$75</f>
        <v>0</v>
      </c>
      <c r="J841" s="24">
        <f>I841/F841</f>
        <v>0</v>
      </c>
      <c r="K841" s="116">
        <f>Overview!$H$75</f>
        <v>0</v>
      </c>
      <c r="L841" s="51" t="e">
        <f>(K841-J841)/K841</f>
        <v>#DIV/0!</v>
      </c>
      <c r="M841" s="179"/>
      <c r="N841" s="179" t="s">
        <v>988</v>
      </c>
      <c r="O841" s="141">
        <f>I841</f>
        <v>0</v>
      </c>
      <c r="P841" s="181" t="b">
        <f>COUNTIF('Facility Data'!$A$1:$A$1500,"*"&amp;A841&amp;"*")&gt;0</f>
        <v>1</v>
      </c>
      <c r="Q841" s="181" t="b">
        <f>COUNTIF('Account Data'!$A$1:$A$1000,"*"&amp;A841&amp;"*")&gt;0</f>
        <v>1</v>
      </c>
      <c r="R841" s="182" t="b">
        <f t="shared" ref="R841:R848" si="245">IF(OR(P841=TRUE,T841=TRUE),TRUE,FALSE)</f>
        <v>1</v>
      </c>
      <c r="S841" s="182" t="b">
        <f t="shared" ref="S841:S848" si="246">IF(OR(Q841=TRUE,T841=TRUE),TRUE,FALSE)</f>
        <v>1</v>
      </c>
      <c r="T841" s="181" t="b">
        <f>COUNTIF('New Items'!$A$1:$A$175,A841)&gt;0</f>
        <v>0</v>
      </c>
      <c r="U841" s="181" t="b">
        <f>COUNTIF(Discontinued!$A$1:$A$150,A841)&gt;0</f>
        <v>0</v>
      </c>
    </row>
    <row r="842" spans="1:21" s="8" customFormat="1" ht="11.25" x14ac:dyDescent="0.2">
      <c r="A842" s="152">
        <v>20019288</v>
      </c>
      <c r="B842" s="10" t="s">
        <v>537</v>
      </c>
      <c r="C842" s="14" t="s">
        <v>538</v>
      </c>
      <c r="D842" s="26" t="s">
        <v>879</v>
      </c>
      <c r="E842" s="14" t="s">
        <v>787</v>
      </c>
      <c r="F842" s="13">
        <v>12</v>
      </c>
      <c r="G842" s="22">
        <f>Overview!$B$75</f>
        <v>26</v>
      </c>
      <c r="H842" s="23">
        <f t="shared" ref="H842:H848" si="247">G842-I842</f>
        <v>26</v>
      </c>
      <c r="I842" s="114">
        <f>Overview!$E$75</f>
        <v>0</v>
      </c>
      <c r="J842" s="24">
        <f t="shared" ref="J842:J848" si="248">I842/F842</f>
        <v>0</v>
      </c>
      <c r="K842" s="116">
        <f>Overview!$H$75</f>
        <v>0</v>
      </c>
      <c r="L842" s="51" t="e">
        <f t="shared" ref="L842:L848" si="249">(K842-J842)/K842</f>
        <v>#DIV/0!</v>
      </c>
      <c r="M842" s="179"/>
      <c r="N842" s="179" t="s">
        <v>988</v>
      </c>
      <c r="O842" s="141">
        <f t="shared" ref="O842:O848" si="250">I842</f>
        <v>0</v>
      </c>
      <c r="P842" s="181" t="b">
        <f>COUNTIF('Facility Data'!$A$1:$A$1500,"*"&amp;A842&amp;"*")&gt;0</f>
        <v>1</v>
      </c>
      <c r="Q842" s="181" t="b">
        <f>COUNTIF('Account Data'!$A$1:$A$1000,"*"&amp;A842&amp;"*")&gt;0</f>
        <v>1</v>
      </c>
      <c r="R842" s="182" t="b">
        <f t="shared" si="245"/>
        <v>1</v>
      </c>
      <c r="S842" s="182" t="b">
        <f t="shared" si="246"/>
        <v>1</v>
      </c>
      <c r="T842" s="181" t="b">
        <f>COUNTIF('New Items'!$A$1:$A$175,A842)&gt;0</f>
        <v>0</v>
      </c>
      <c r="U842" s="181" t="b">
        <f>COUNTIF(Discontinued!$A$1:$A$150,A842)&gt;0</f>
        <v>0</v>
      </c>
    </row>
    <row r="843" spans="1:21" s="8" customFormat="1" ht="11.25" x14ac:dyDescent="0.2">
      <c r="A843" s="152">
        <v>20019290</v>
      </c>
      <c r="B843" s="10" t="s">
        <v>539</v>
      </c>
      <c r="C843" s="14" t="s">
        <v>540</v>
      </c>
      <c r="D843" s="27" t="s">
        <v>738</v>
      </c>
      <c r="E843" s="14" t="s">
        <v>787</v>
      </c>
      <c r="F843" s="13">
        <v>12</v>
      </c>
      <c r="G843" s="22">
        <f>Overview!$B$75</f>
        <v>26</v>
      </c>
      <c r="H843" s="23">
        <f t="shared" si="247"/>
        <v>26</v>
      </c>
      <c r="I843" s="114">
        <f>Overview!$E$75</f>
        <v>0</v>
      </c>
      <c r="J843" s="24">
        <f t="shared" si="248"/>
        <v>0</v>
      </c>
      <c r="K843" s="116">
        <f>Overview!$H$75</f>
        <v>0</v>
      </c>
      <c r="L843" s="51" t="e">
        <f t="shared" si="249"/>
        <v>#DIV/0!</v>
      </c>
      <c r="M843" s="179"/>
      <c r="N843" s="179" t="s">
        <v>988</v>
      </c>
      <c r="O843" s="141">
        <f t="shared" si="250"/>
        <v>0</v>
      </c>
      <c r="P843" s="181" t="b">
        <f>COUNTIF('Facility Data'!$A$1:$A$1500,"*"&amp;A843&amp;"*")&gt;0</f>
        <v>1</v>
      </c>
      <c r="Q843" s="181" t="b">
        <f>COUNTIF('Account Data'!$A$1:$A$1000,"*"&amp;A843&amp;"*")&gt;0</f>
        <v>1</v>
      </c>
      <c r="R843" s="182" t="b">
        <f t="shared" si="245"/>
        <v>1</v>
      </c>
      <c r="S843" s="182" t="b">
        <f t="shared" si="246"/>
        <v>1</v>
      </c>
      <c r="T843" s="181" t="b">
        <f>COUNTIF('New Items'!$A$1:$A$175,A843)&gt;0</f>
        <v>0</v>
      </c>
      <c r="U843" s="181" t="b">
        <f>COUNTIF(Discontinued!$A$1:$A$150,A843)&gt;0</f>
        <v>0</v>
      </c>
    </row>
    <row r="844" spans="1:21" s="8" customFormat="1" ht="11.25" x14ac:dyDescent="0.2">
      <c r="A844" s="152">
        <v>20019291</v>
      </c>
      <c r="B844" s="10" t="s">
        <v>541</v>
      </c>
      <c r="C844" s="14" t="s">
        <v>542</v>
      </c>
      <c r="D844" s="28" t="s">
        <v>880</v>
      </c>
      <c r="E844" s="14" t="s">
        <v>787</v>
      </c>
      <c r="F844" s="13">
        <v>12</v>
      </c>
      <c r="G844" s="22">
        <f>Overview!$B$75</f>
        <v>26</v>
      </c>
      <c r="H844" s="23">
        <f t="shared" si="247"/>
        <v>26</v>
      </c>
      <c r="I844" s="114">
        <f>Overview!$E$75</f>
        <v>0</v>
      </c>
      <c r="J844" s="24">
        <f t="shared" si="248"/>
        <v>0</v>
      </c>
      <c r="K844" s="116">
        <f>Overview!$H$75</f>
        <v>0</v>
      </c>
      <c r="L844" s="51" t="e">
        <f t="shared" si="249"/>
        <v>#DIV/0!</v>
      </c>
      <c r="M844" s="179"/>
      <c r="N844" s="179" t="s">
        <v>988</v>
      </c>
      <c r="O844" s="141">
        <f t="shared" si="250"/>
        <v>0</v>
      </c>
      <c r="P844" s="181" t="b">
        <f>COUNTIF('Facility Data'!$A$1:$A$1500,"*"&amp;A844&amp;"*")&gt;0</f>
        <v>0</v>
      </c>
      <c r="Q844" s="181" t="b">
        <f>COUNTIF('Account Data'!$A$1:$A$1000,"*"&amp;A844&amp;"*")&gt;0</f>
        <v>1</v>
      </c>
      <c r="R844" s="182" t="b">
        <f t="shared" si="245"/>
        <v>0</v>
      </c>
      <c r="S844" s="182" t="b">
        <f t="shared" si="246"/>
        <v>1</v>
      </c>
      <c r="T844" s="181" t="b">
        <f>COUNTIF('New Items'!$A$1:$A$175,A844)&gt;0</f>
        <v>0</v>
      </c>
      <c r="U844" s="181" t="b">
        <f>COUNTIF(Discontinued!$A$1:$A$150,A844)&gt;0</f>
        <v>0</v>
      </c>
    </row>
    <row r="845" spans="1:21" s="8" customFormat="1" ht="11.25" x14ac:dyDescent="0.2">
      <c r="A845" s="152">
        <v>20002035</v>
      </c>
      <c r="B845" s="10" t="s">
        <v>547</v>
      </c>
      <c r="C845" s="14" t="s">
        <v>548</v>
      </c>
      <c r="D845" s="27" t="s">
        <v>741</v>
      </c>
      <c r="E845" s="14" t="s">
        <v>787</v>
      </c>
      <c r="F845" s="13">
        <v>12</v>
      </c>
      <c r="G845" s="22">
        <f>Overview!$B$75</f>
        <v>26</v>
      </c>
      <c r="H845" s="23">
        <f>G845-I845</f>
        <v>26</v>
      </c>
      <c r="I845" s="114">
        <f>Overview!$E$75</f>
        <v>0</v>
      </c>
      <c r="J845" s="24">
        <f>I845/F845</f>
        <v>0</v>
      </c>
      <c r="K845" s="116">
        <f>Overview!$H$75</f>
        <v>0</v>
      </c>
      <c r="L845" s="51" t="e">
        <f>(K845-J845)/K845</f>
        <v>#DIV/0!</v>
      </c>
      <c r="M845" s="179"/>
      <c r="N845" s="179" t="s">
        <v>988</v>
      </c>
      <c r="O845" s="141">
        <f t="shared" si="250"/>
        <v>0</v>
      </c>
      <c r="P845" s="181" t="b">
        <f>COUNTIF('Facility Data'!$A$1:$A$1500,"*"&amp;A845&amp;"*")&gt;0</f>
        <v>0</v>
      </c>
      <c r="Q845" s="181" t="b">
        <f>COUNTIF('Account Data'!$A$1:$A$1000,"*"&amp;A845&amp;"*")&gt;0</f>
        <v>0</v>
      </c>
      <c r="R845" s="182" t="b">
        <f t="shared" si="245"/>
        <v>0</v>
      </c>
      <c r="S845" s="182" t="b">
        <f t="shared" si="246"/>
        <v>0</v>
      </c>
      <c r="T845" s="181" t="b">
        <f>COUNTIF('New Items'!$A$1:$A$175,A845)&gt;0</f>
        <v>0</v>
      </c>
      <c r="U845" s="181" t="b">
        <f>COUNTIF(Discontinued!$A$1:$A$150,A845)&gt;0</f>
        <v>0</v>
      </c>
    </row>
    <row r="846" spans="1:21" s="8" customFormat="1" ht="11.25" x14ac:dyDescent="0.2">
      <c r="A846" s="152">
        <v>20028806</v>
      </c>
      <c r="B846" s="10" t="s">
        <v>3775</v>
      </c>
      <c r="C846" s="14" t="s">
        <v>3604</v>
      </c>
      <c r="D846" s="254" t="s">
        <v>3605</v>
      </c>
      <c r="E846" s="14" t="s">
        <v>787</v>
      </c>
      <c r="F846" s="13">
        <v>12</v>
      </c>
      <c r="G846" s="22">
        <f>Overview!$B$75</f>
        <v>26</v>
      </c>
      <c r="H846" s="23">
        <f>G846-I846</f>
        <v>26</v>
      </c>
      <c r="I846" s="114">
        <f>Overview!$E$75</f>
        <v>0</v>
      </c>
      <c r="J846" s="24">
        <f>I846/F846</f>
        <v>0</v>
      </c>
      <c r="K846" s="116">
        <f>Overview!$H$75</f>
        <v>0</v>
      </c>
      <c r="L846" s="51" t="e">
        <f>(K846-J846)/K846</f>
        <v>#DIV/0!</v>
      </c>
      <c r="M846" s="179"/>
      <c r="N846" s="179" t="s">
        <v>988</v>
      </c>
      <c r="O846" s="141">
        <f>I846</f>
        <v>0</v>
      </c>
      <c r="P846" s="181" t="b">
        <f>COUNTIF('Facility Data'!$A$1:$A$1500,"*"&amp;A846&amp;"*")&gt;0</f>
        <v>0</v>
      </c>
      <c r="Q846" s="181" t="b">
        <f>COUNTIF('Account Data'!$A$1:$A$1000,"*"&amp;A846&amp;"*")&gt;0</f>
        <v>0</v>
      </c>
      <c r="R846" s="182" t="b">
        <f t="shared" si="245"/>
        <v>0</v>
      </c>
      <c r="S846" s="182" t="b">
        <f>IF(OR(Q846=TRUE,T846=TRUE),TRUE,FALSE)</f>
        <v>0</v>
      </c>
      <c r="T846" s="181" t="b">
        <f>COUNTIF('New Items'!$A$1:$A$175,A846)&gt;0</f>
        <v>0</v>
      </c>
      <c r="U846" s="181" t="b">
        <f>COUNTIF(Discontinued!$A$1:$A$150,A846)&gt;0</f>
        <v>0</v>
      </c>
    </row>
    <row r="847" spans="1:21" s="8" customFormat="1" ht="11.25" x14ac:dyDescent="0.2">
      <c r="A847" s="152">
        <v>20019292</v>
      </c>
      <c r="B847" s="10" t="s">
        <v>543</v>
      </c>
      <c r="C847" s="14" t="s">
        <v>544</v>
      </c>
      <c r="D847" s="29" t="s">
        <v>739</v>
      </c>
      <c r="E847" s="14" t="s">
        <v>787</v>
      </c>
      <c r="F847" s="13">
        <v>12</v>
      </c>
      <c r="G847" s="22">
        <f>Overview!$B$75</f>
        <v>26</v>
      </c>
      <c r="H847" s="23">
        <f t="shared" si="247"/>
        <v>26</v>
      </c>
      <c r="I847" s="114">
        <f>Overview!$E$75</f>
        <v>0</v>
      </c>
      <c r="J847" s="24">
        <f t="shared" si="248"/>
        <v>0</v>
      </c>
      <c r="K847" s="116">
        <f>Overview!$H$75</f>
        <v>0</v>
      </c>
      <c r="L847" s="51" t="e">
        <f t="shared" si="249"/>
        <v>#DIV/0!</v>
      </c>
      <c r="M847" s="179"/>
      <c r="N847" s="179" t="s">
        <v>988</v>
      </c>
      <c r="O847" s="141">
        <f t="shared" si="250"/>
        <v>0</v>
      </c>
      <c r="P847" s="181" t="b">
        <f>COUNTIF('Facility Data'!$A$1:$A$1500,"*"&amp;A847&amp;"*")&gt;0</f>
        <v>1</v>
      </c>
      <c r="Q847" s="181" t="b">
        <f>COUNTIF('Account Data'!$A$1:$A$1000,"*"&amp;A847&amp;"*")&gt;0</f>
        <v>1</v>
      </c>
      <c r="R847" s="182" t="b">
        <f t="shared" si="245"/>
        <v>1</v>
      </c>
      <c r="S847" s="182" t="b">
        <f t="shared" si="246"/>
        <v>1</v>
      </c>
      <c r="T847" s="181" t="b">
        <f>COUNTIF('New Items'!$A$1:$A$175,A847)&gt;0</f>
        <v>0</v>
      </c>
      <c r="U847" s="181" t="b">
        <f>COUNTIF(Discontinued!$A$1:$A$150,A847)&gt;0</f>
        <v>0</v>
      </c>
    </row>
    <row r="848" spans="1:21" s="8" customFormat="1" ht="12" thickBot="1" x14ac:dyDescent="0.25">
      <c r="A848" s="152">
        <v>20019289</v>
      </c>
      <c r="B848" s="10" t="s">
        <v>545</v>
      </c>
      <c r="C848" s="14" t="s">
        <v>546</v>
      </c>
      <c r="D848" s="30" t="s">
        <v>740</v>
      </c>
      <c r="E848" s="14" t="s">
        <v>787</v>
      </c>
      <c r="F848" s="13">
        <v>12</v>
      </c>
      <c r="G848" s="22">
        <f>Overview!$B$75</f>
        <v>26</v>
      </c>
      <c r="H848" s="23">
        <f t="shared" si="247"/>
        <v>26</v>
      </c>
      <c r="I848" s="114">
        <f>Overview!$E$75</f>
        <v>0</v>
      </c>
      <c r="J848" s="24">
        <f t="shared" si="248"/>
        <v>0</v>
      </c>
      <c r="K848" s="116">
        <f>Overview!$H$75</f>
        <v>0</v>
      </c>
      <c r="L848" s="51" t="e">
        <f t="shared" si="249"/>
        <v>#DIV/0!</v>
      </c>
      <c r="M848" s="179"/>
      <c r="N848" s="179" t="s">
        <v>988</v>
      </c>
      <c r="O848" s="141">
        <f t="shared" si="250"/>
        <v>0</v>
      </c>
      <c r="P848" s="181" t="b">
        <f>COUNTIF('Facility Data'!$A$1:$A$1500,"*"&amp;A848&amp;"*")&gt;0</f>
        <v>1</v>
      </c>
      <c r="Q848" s="181" t="b">
        <f>COUNTIF('Account Data'!$A$1:$A$1000,"*"&amp;A848&amp;"*")&gt;0</f>
        <v>1</v>
      </c>
      <c r="R848" s="182" t="b">
        <f t="shared" si="245"/>
        <v>1</v>
      </c>
      <c r="S848" s="182" t="b">
        <f t="shared" si="246"/>
        <v>1</v>
      </c>
      <c r="T848" s="181" t="b">
        <f>COUNTIF('New Items'!$A$1:$A$175,A848)&gt;0</f>
        <v>0</v>
      </c>
      <c r="U848" s="181" t="b">
        <f>COUNTIF(Discontinued!$A$1:$A$150,A848)&gt;0</f>
        <v>0</v>
      </c>
    </row>
    <row r="849" spans="1:21" s="8" customFormat="1" ht="13.5" thickBot="1" x14ac:dyDescent="0.25">
      <c r="A849" s="300" t="s">
        <v>567</v>
      </c>
      <c r="B849" s="301"/>
      <c r="C849" s="301"/>
      <c r="D849" s="301"/>
      <c r="E849" s="301"/>
      <c r="F849" s="301"/>
      <c r="G849" s="301"/>
      <c r="H849" s="301"/>
      <c r="I849" s="301"/>
      <c r="J849" s="301"/>
      <c r="K849" s="301"/>
      <c r="L849" s="302"/>
      <c r="M849" s="179" t="s">
        <v>4361</v>
      </c>
      <c r="N849" s="179" t="s">
        <v>990</v>
      </c>
      <c r="O849" s="141">
        <f>AVERAGE(O850:O855)</f>
        <v>0</v>
      </c>
      <c r="P849" s="181" t="b">
        <f>COUNTIF(P850:P855,TRUE)&gt;0</f>
        <v>1</v>
      </c>
      <c r="Q849" s="181" t="b">
        <f>COUNTIF(Q850:Q855,TRUE)&gt;0</f>
        <v>1</v>
      </c>
      <c r="R849" s="181" t="b">
        <f>COUNTIF(R850:R855,TRUE)&gt;0</f>
        <v>1</v>
      </c>
      <c r="S849" s="181" t="b">
        <f>COUNTIF(S850:S855,TRUE)&gt;0</f>
        <v>1</v>
      </c>
      <c r="T849" s="181" t="b">
        <f>COUNTIF(T850:T855,TRUE)&gt;0</f>
        <v>0</v>
      </c>
      <c r="U849" s="181"/>
    </row>
    <row r="850" spans="1:21" s="8" customFormat="1" ht="11.25" x14ac:dyDescent="0.2">
      <c r="A850" s="152">
        <v>10120803</v>
      </c>
      <c r="B850" s="9" t="s">
        <v>574</v>
      </c>
      <c r="C850" s="15" t="s">
        <v>578</v>
      </c>
      <c r="D850" s="11" t="s">
        <v>731</v>
      </c>
      <c r="E850" s="12" t="s">
        <v>772</v>
      </c>
      <c r="F850" s="13">
        <v>12</v>
      </c>
      <c r="G850" s="121">
        <f>Overview!$B$76</f>
        <v>18</v>
      </c>
      <c r="H850" s="23">
        <f t="shared" ref="H850:H855" si="251">G850-I850</f>
        <v>18</v>
      </c>
      <c r="I850" s="114">
        <f>Overview!$E$76</f>
        <v>0</v>
      </c>
      <c r="J850" s="24">
        <f t="shared" ref="J850:J855" si="252">I850/F850</f>
        <v>0</v>
      </c>
      <c r="K850" s="116">
        <f>Overview!$H$76</f>
        <v>0</v>
      </c>
      <c r="L850" s="51" t="e">
        <f t="shared" ref="L850:L855" si="253">(K850-J850)/K850</f>
        <v>#DIV/0!</v>
      </c>
      <c r="M850" s="179"/>
      <c r="N850" s="179" t="s">
        <v>990</v>
      </c>
      <c r="O850" s="141">
        <f t="shared" ref="O850:O855" si="254">I850</f>
        <v>0</v>
      </c>
      <c r="P850" s="181" t="b">
        <f>COUNTIF('Facility Data'!$A$1:$A$1500,"*"&amp;A850&amp;"*")&gt;0</f>
        <v>0</v>
      </c>
      <c r="Q850" s="181" t="b">
        <f>COUNTIF('Account Data'!$A$1:$A$1000,"*"&amp;A850&amp;"*")&gt;0</f>
        <v>1</v>
      </c>
      <c r="R850" s="182" t="b">
        <f t="shared" ref="R850:R855" si="255">IF(OR(P850=TRUE,T850=TRUE),TRUE,FALSE)</f>
        <v>0</v>
      </c>
      <c r="S850" s="182" t="b">
        <f t="shared" ref="S850:S855" si="256">IF(OR(Q850=TRUE,T850=TRUE),TRUE,FALSE)</f>
        <v>1</v>
      </c>
      <c r="T850" s="181" t="b">
        <f>COUNTIF('New Items'!$A$1:$A$175,A850)&gt;0</f>
        <v>0</v>
      </c>
      <c r="U850" s="181" t="b">
        <f>COUNTIF(Discontinued!$A$1:$A$150,A850)&gt;0</f>
        <v>0</v>
      </c>
    </row>
    <row r="851" spans="1:21" s="8" customFormat="1" ht="11.25" x14ac:dyDescent="0.2">
      <c r="A851" s="152">
        <v>10120792</v>
      </c>
      <c r="B851" s="9" t="s">
        <v>575</v>
      </c>
      <c r="C851" s="15" t="s">
        <v>579</v>
      </c>
      <c r="D851" s="11" t="s">
        <v>667</v>
      </c>
      <c r="E851" s="12" t="s">
        <v>772</v>
      </c>
      <c r="F851" s="13">
        <v>12</v>
      </c>
      <c r="G851" s="121">
        <f>Overview!$B$76</f>
        <v>18</v>
      </c>
      <c r="H851" s="23">
        <f t="shared" si="251"/>
        <v>18</v>
      </c>
      <c r="I851" s="114">
        <f>Overview!$E$76</f>
        <v>0</v>
      </c>
      <c r="J851" s="24">
        <f t="shared" si="252"/>
        <v>0</v>
      </c>
      <c r="K851" s="116">
        <f>Overview!$H$76</f>
        <v>0</v>
      </c>
      <c r="L851" s="51" t="e">
        <f t="shared" si="253"/>
        <v>#DIV/0!</v>
      </c>
      <c r="M851" s="179"/>
      <c r="N851" s="179" t="s">
        <v>990</v>
      </c>
      <c r="O851" s="141">
        <f t="shared" si="254"/>
        <v>0</v>
      </c>
      <c r="P851" s="181" t="b">
        <f>COUNTIF('Facility Data'!$A$1:$A$1500,"*"&amp;A851&amp;"*")&gt;0</f>
        <v>0</v>
      </c>
      <c r="Q851" s="181" t="b">
        <f>COUNTIF('Account Data'!$A$1:$A$1000,"*"&amp;A851&amp;"*")&gt;0</f>
        <v>1</v>
      </c>
      <c r="R851" s="182" t="b">
        <f t="shared" si="255"/>
        <v>0</v>
      </c>
      <c r="S851" s="182" t="b">
        <f t="shared" si="256"/>
        <v>1</v>
      </c>
      <c r="T851" s="181" t="b">
        <f>COUNTIF('New Items'!$A$1:$A$175,A851)&gt;0</f>
        <v>0</v>
      </c>
      <c r="U851" s="181" t="b">
        <f>COUNTIF(Discontinued!$A$1:$A$150,A851)&gt;0</f>
        <v>0</v>
      </c>
    </row>
    <row r="852" spans="1:21" s="8" customFormat="1" ht="11.25" x14ac:dyDescent="0.2">
      <c r="A852" s="152">
        <v>10120837</v>
      </c>
      <c r="B852" s="9" t="s">
        <v>576</v>
      </c>
      <c r="C852" s="15" t="s">
        <v>580</v>
      </c>
      <c r="D852" s="11" t="s">
        <v>751</v>
      </c>
      <c r="E852" s="12" t="s">
        <v>772</v>
      </c>
      <c r="F852" s="13">
        <v>12</v>
      </c>
      <c r="G852" s="121">
        <f>Overview!$B$76</f>
        <v>18</v>
      </c>
      <c r="H852" s="23">
        <f t="shared" si="251"/>
        <v>18</v>
      </c>
      <c r="I852" s="114">
        <f>Overview!$E$76</f>
        <v>0</v>
      </c>
      <c r="J852" s="24">
        <f t="shared" si="252"/>
        <v>0</v>
      </c>
      <c r="K852" s="116">
        <f>Overview!$H$76</f>
        <v>0</v>
      </c>
      <c r="L852" s="51" t="e">
        <f t="shared" si="253"/>
        <v>#DIV/0!</v>
      </c>
      <c r="M852" s="179"/>
      <c r="N852" s="179" t="s">
        <v>990</v>
      </c>
      <c r="O852" s="141">
        <f t="shared" si="254"/>
        <v>0</v>
      </c>
      <c r="P852" s="181" t="b">
        <f>COUNTIF('Facility Data'!$A$1:$A$1500,"*"&amp;A852&amp;"*")&gt;0</f>
        <v>0</v>
      </c>
      <c r="Q852" s="181" t="b">
        <f>COUNTIF('Account Data'!$A$1:$A$1000,"*"&amp;A852&amp;"*")&gt;0</f>
        <v>1</v>
      </c>
      <c r="R852" s="182" t="b">
        <f t="shared" si="255"/>
        <v>0</v>
      </c>
      <c r="S852" s="182" t="b">
        <f t="shared" si="256"/>
        <v>1</v>
      </c>
      <c r="T852" s="181" t="b">
        <f>COUNTIF('New Items'!$A$1:$A$175,A852)&gt;0</f>
        <v>0</v>
      </c>
      <c r="U852" s="181" t="b">
        <f>COUNTIF(Discontinued!$A$1:$A$150,A852)&gt;0</f>
        <v>0</v>
      </c>
    </row>
    <row r="853" spans="1:21" s="8" customFormat="1" ht="11.25" x14ac:dyDescent="0.2">
      <c r="A853" s="152">
        <v>10120832</v>
      </c>
      <c r="B853" s="9" t="s">
        <v>577</v>
      </c>
      <c r="C853" s="15" t="s">
        <v>581</v>
      </c>
      <c r="D853" s="11" t="s">
        <v>752</v>
      </c>
      <c r="E853" s="12" t="s">
        <v>772</v>
      </c>
      <c r="F853" s="13">
        <v>12</v>
      </c>
      <c r="G853" s="121">
        <f>Overview!$B$76</f>
        <v>18</v>
      </c>
      <c r="H853" s="23">
        <f t="shared" si="251"/>
        <v>18</v>
      </c>
      <c r="I853" s="114">
        <f>Overview!$E$76</f>
        <v>0</v>
      </c>
      <c r="J853" s="24">
        <f t="shared" si="252"/>
        <v>0</v>
      </c>
      <c r="K853" s="116">
        <f>Overview!$H$76</f>
        <v>0</v>
      </c>
      <c r="L853" s="51" t="e">
        <f t="shared" si="253"/>
        <v>#DIV/0!</v>
      </c>
      <c r="M853" s="179"/>
      <c r="N853" s="179" t="s">
        <v>990</v>
      </c>
      <c r="O853" s="141">
        <f t="shared" si="254"/>
        <v>0</v>
      </c>
      <c r="P853" s="181" t="b">
        <f>COUNTIF('Facility Data'!$A$1:$A$1500,"*"&amp;A853&amp;"*")&gt;0</f>
        <v>0</v>
      </c>
      <c r="Q853" s="181" t="b">
        <f>COUNTIF('Account Data'!$A$1:$A$1000,"*"&amp;A853&amp;"*")&gt;0</f>
        <v>1</v>
      </c>
      <c r="R853" s="182" t="b">
        <f t="shared" si="255"/>
        <v>0</v>
      </c>
      <c r="S853" s="182" t="b">
        <f t="shared" si="256"/>
        <v>1</v>
      </c>
      <c r="T853" s="181" t="b">
        <f>COUNTIF('New Items'!$A$1:$A$175,A853)&gt;0</f>
        <v>0</v>
      </c>
      <c r="U853" s="181" t="b">
        <f>COUNTIF(Discontinued!$A$1:$A$150,A853)&gt;0</f>
        <v>0</v>
      </c>
    </row>
    <row r="854" spans="1:21" s="8" customFormat="1" ht="11.25" x14ac:dyDescent="0.2">
      <c r="A854" s="152">
        <v>10120833</v>
      </c>
      <c r="B854" s="9" t="s">
        <v>4058</v>
      </c>
      <c r="C854" s="15" t="s">
        <v>861</v>
      </c>
      <c r="D854" s="11" t="s">
        <v>860</v>
      </c>
      <c r="E854" s="12" t="s">
        <v>772</v>
      </c>
      <c r="F854" s="13">
        <v>12</v>
      </c>
      <c r="G854" s="121">
        <f>Overview!$B$76</f>
        <v>18</v>
      </c>
      <c r="H854" s="23">
        <f t="shared" si="251"/>
        <v>18</v>
      </c>
      <c r="I854" s="114">
        <f>Overview!$E$76</f>
        <v>0</v>
      </c>
      <c r="J854" s="24">
        <f t="shared" si="252"/>
        <v>0</v>
      </c>
      <c r="K854" s="116">
        <f>Overview!$H$76</f>
        <v>0</v>
      </c>
      <c r="L854" s="51" t="e">
        <f t="shared" si="253"/>
        <v>#DIV/0!</v>
      </c>
      <c r="M854" s="179"/>
      <c r="N854" s="179" t="s">
        <v>990</v>
      </c>
      <c r="O854" s="141">
        <f t="shared" si="254"/>
        <v>0</v>
      </c>
      <c r="P854" s="181" t="b">
        <f>COUNTIF('Facility Data'!$A$1:$A$1500,"*"&amp;A854&amp;"*")&gt;0</f>
        <v>1</v>
      </c>
      <c r="Q854" s="181" t="b">
        <f>COUNTIF('Account Data'!$A$1:$A$1000,"*"&amp;A854&amp;"*")&gt;0</f>
        <v>1</v>
      </c>
      <c r="R854" s="182" t="b">
        <f t="shared" si="255"/>
        <v>1</v>
      </c>
      <c r="S854" s="182" t="b">
        <f t="shared" si="256"/>
        <v>1</v>
      </c>
      <c r="T854" s="181" t="b">
        <f>COUNTIF('New Items'!$A$1:$A$175,A854)&gt;0</f>
        <v>0</v>
      </c>
      <c r="U854" s="181" t="b">
        <f>COUNTIF(Discontinued!$A$1:$A$150,A854)&gt;0</f>
        <v>0</v>
      </c>
    </row>
    <row r="855" spans="1:21" s="8" customFormat="1" ht="12" thickBot="1" x14ac:dyDescent="0.25">
      <c r="A855" s="152">
        <v>10120838</v>
      </c>
      <c r="B855" s="9" t="s">
        <v>4057</v>
      </c>
      <c r="C855" s="15" t="s">
        <v>859</v>
      </c>
      <c r="D855" s="11" t="s">
        <v>696</v>
      </c>
      <c r="E855" s="12" t="s">
        <v>772</v>
      </c>
      <c r="F855" s="13">
        <v>12</v>
      </c>
      <c r="G855" s="121">
        <f>Overview!$B$76</f>
        <v>18</v>
      </c>
      <c r="H855" s="23">
        <f t="shared" si="251"/>
        <v>18</v>
      </c>
      <c r="I855" s="114">
        <f>Overview!$E$76</f>
        <v>0</v>
      </c>
      <c r="J855" s="24">
        <f t="shared" si="252"/>
        <v>0</v>
      </c>
      <c r="K855" s="116">
        <f>Overview!$H$76</f>
        <v>0</v>
      </c>
      <c r="L855" s="51" t="e">
        <f t="shared" si="253"/>
        <v>#DIV/0!</v>
      </c>
      <c r="M855" s="179"/>
      <c r="N855" s="179" t="s">
        <v>990</v>
      </c>
      <c r="O855" s="141">
        <f t="shared" si="254"/>
        <v>0</v>
      </c>
      <c r="P855" s="181" t="b">
        <f>COUNTIF('Facility Data'!$A$1:$A$1500,"*"&amp;A855&amp;"*")&gt;0</f>
        <v>1</v>
      </c>
      <c r="Q855" s="181" t="b">
        <f>COUNTIF('Account Data'!$A$1:$A$1000,"*"&amp;A855&amp;"*")&gt;0</f>
        <v>1</v>
      </c>
      <c r="R855" s="182" t="b">
        <f t="shared" si="255"/>
        <v>1</v>
      </c>
      <c r="S855" s="182" t="b">
        <f t="shared" si="256"/>
        <v>1</v>
      </c>
      <c r="T855" s="181" t="b">
        <f>COUNTIF('New Items'!$A$1:$A$175,A855)&gt;0</f>
        <v>0</v>
      </c>
      <c r="U855" s="181" t="b">
        <f>COUNTIF(Discontinued!$A$1:$A$150,A855)&gt;0</f>
        <v>0</v>
      </c>
    </row>
    <row r="856" spans="1:21" s="8" customFormat="1" ht="13.5" thickBot="1" x14ac:dyDescent="0.25">
      <c r="A856" s="300" t="s">
        <v>3282</v>
      </c>
      <c r="B856" s="301"/>
      <c r="C856" s="301"/>
      <c r="D856" s="301"/>
      <c r="E856" s="301"/>
      <c r="F856" s="301"/>
      <c r="G856" s="301"/>
      <c r="H856" s="301"/>
      <c r="I856" s="301"/>
      <c r="J856" s="301"/>
      <c r="K856" s="301"/>
      <c r="L856" s="302"/>
      <c r="M856" s="179" t="s">
        <v>4361</v>
      </c>
      <c r="N856" s="179" t="s">
        <v>3131</v>
      </c>
      <c r="O856" s="141">
        <f>AVERAGE(O857:O862)</f>
        <v>0</v>
      </c>
      <c r="P856" s="181" t="b">
        <f>COUNTIF(P857:P862,TRUE)&gt;0</f>
        <v>0</v>
      </c>
      <c r="Q856" s="181" t="b">
        <f>COUNTIF(Q857:Q862,TRUE)&gt;0</f>
        <v>0</v>
      </c>
      <c r="R856" s="181" t="b">
        <f>COUNTIF(R857:R862,TRUE)&gt;0</f>
        <v>0</v>
      </c>
      <c r="S856" s="181" t="b">
        <f>COUNTIF(S857:S862,TRUE)&gt;0</f>
        <v>0</v>
      </c>
      <c r="T856" s="181" t="b">
        <f>COUNTIF(T857:T862,TRUE)&gt;0</f>
        <v>0</v>
      </c>
      <c r="U856" s="181"/>
    </row>
    <row r="857" spans="1:21" s="8" customFormat="1" ht="11.25" x14ac:dyDescent="0.2">
      <c r="A857" s="152">
        <v>20000087</v>
      </c>
      <c r="B857" s="10" t="s">
        <v>2717</v>
      </c>
      <c r="C857" s="12" t="s">
        <v>2718</v>
      </c>
      <c r="D857" s="11" t="s">
        <v>2714</v>
      </c>
      <c r="E857" s="12" t="s">
        <v>776</v>
      </c>
      <c r="F857" s="173">
        <v>24</v>
      </c>
      <c r="G857" s="98">
        <f>Overview!$B$77</f>
        <v>17.5</v>
      </c>
      <c r="H857" s="99">
        <f t="shared" ref="H857:H862" si="257">G857-I857</f>
        <v>17.5</v>
      </c>
      <c r="I857" s="99">
        <f>Overview!$E$77</f>
        <v>0</v>
      </c>
      <c r="J857" s="100">
        <f t="shared" ref="J857:J862" si="258">I857/F857</f>
        <v>0</v>
      </c>
      <c r="K857" s="101">
        <f>Overview!$H$77</f>
        <v>0</v>
      </c>
      <c r="L857" s="102" t="e">
        <f t="shared" ref="L857:L862" si="259">(K857-J857)/K857</f>
        <v>#DIV/0!</v>
      </c>
      <c r="M857" s="179"/>
      <c r="N857" s="179" t="s">
        <v>3131</v>
      </c>
      <c r="O857" s="141">
        <f t="shared" ref="O857:O862" si="260">I857</f>
        <v>0</v>
      </c>
      <c r="P857" s="181" t="b">
        <f>COUNTIF('Facility Data'!$A$1:$A$1500,"*"&amp;A857&amp;"*")&gt;0</f>
        <v>0</v>
      </c>
      <c r="Q857" s="181" t="b">
        <f>COUNTIF('Account Data'!$A$1:$A$1000,"*"&amp;A857&amp;"*")&gt;0</f>
        <v>0</v>
      </c>
      <c r="R857" s="182" t="b">
        <f t="shared" ref="R857:R862" si="261">IF(OR(P857=TRUE,T857=TRUE),TRUE,FALSE)</f>
        <v>0</v>
      </c>
      <c r="S857" s="182" t="b">
        <f t="shared" ref="S857:S862" si="262">IF(OR(Q857=TRUE,T857=TRUE),TRUE,FALSE)</f>
        <v>0</v>
      </c>
      <c r="T857" s="181" t="b">
        <f>COUNTIF('New Items'!$A$1:$A$175,A857)&gt;0</f>
        <v>0</v>
      </c>
      <c r="U857" s="181" t="b">
        <f>COUNTIF(Discontinued!$A$1:$A$150,A857)&gt;0</f>
        <v>0</v>
      </c>
    </row>
    <row r="858" spans="1:21" s="8" customFormat="1" ht="11.25" x14ac:dyDescent="0.2">
      <c r="A858" s="152">
        <v>20000088</v>
      </c>
      <c r="B858" s="10" t="s">
        <v>2719</v>
      </c>
      <c r="C858" s="12" t="s">
        <v>2720</v>
      </c>
      <c r="D858" s="11" t="s">
        <v>2715</v>
      </c>
      <c r="E858" s="12" t="s">
        <v>776</v>
      </c>
      <c r="F858" s="173">
        <v>24</v>
      </c>
      <c r="G858" s="98">
        <f>Overview!$B$77</f>
        <v>17.5</v>
      </c>
      <c r="H858" s="99">
        <f t="shared" si="257"/>
        <v>17.5</v>
      </c>
      <c r="I858" s="99">
        <f>Overview!$E$77</f>
        <v>0</v>
      </c>
      <c r="J858" s="100">
        <f t="shared" si="258"/>
        <v>0</v>
      </c>
      <c r="K858" s="101">
        <f>Overview!$H$77</f>
        <v>0</v>
      </c>
      <c r="L858" s="102" t="e">
        <f t="shared" si="259"/>
        <v>#DIV/0!</v>
      </c>
      <c r="M858" s="179"/>
      <c r="N858" s="179" t="s">
        <v>3131</v>
      </c>
      <c r="O858" s="141">
        <f t="shared" si="260"/>
        <v>0</v>
      </c>
      <c r="P858" s="181" t="b">
        <f>COUNTIF('Facility Data'!$A$1:$A$1500,"*"&amp;A858&amp;"*")&gt;0</f>
        <v>0</v>
      </c>
      <c r="Q858" s="181" t="b">
        <f>COUNTIF('Account Data'!$A$1:$A$1000,"*"&amp;A858&amp;"*")&gt;0</f>
        <v>0</v>
      </c>
      <c r="R858" s="182" t="b">
        <f t="shared" si="261"/>
        <v>0</v>
      </c>
      <c r="S858" s="182" t="b">
        <f t="shared" si="262"/>
        <v>0</v>
      </c>
      <c r="T858" s="181" t="b">
        <f>COUNTIF('New Items'!$A$1:$A$175,A858)&gt;0</f>
        <v>0</v>
      </c>
      <c r="U858" s="181" t="b">
        <f>COUNTIF(Discontinued!$A$1:$A$150,A858)&gt;0</f>
        <v>0</v>
      </c>
    </row>
    <row r="859" spans="1:21" s="8" customFormat="1" ht="11.25" x14ac:dyDescent="0.2">
      <c r="A859" s="152">
        <v>20000089</v>
      </c>
      <c r="B859" s="10" t="s">
        <v>2721</v>
      </c>
      <c r="C859" s="12" t="s">
        <v>2722</v>
      </c>
      <c r="D859" s="11" t="s">
        <v>2716</v>
      </c>
      <c r="E859" s="12" t="s">
        <v>776</v>
      </c>
      <c r="F859" s="173">
        <v>24</v>
      </c>
      <c r="G859" s="98">
        <f>Overview!$B$77</f>
        <v>17.5</v>
      </c>
      <c r="H859" s="99">
        <f t="shared" si="257"/>
        <v>17.5</v>
      </c>
      <c r="I859" s="99">
        <f>Overview!$E$77</f>
        <v>0</v>
      </c>
      <c r="J859" s="100">
        <f t="shared" si="258"/>
        <v>0</v>
      </c>
      <c r="K859" s="101">
        <f>Overview!$H$77</f>
        <v>0</v>
      </c>
      <c r="L859" s="102" t="e">
        <f t="shared" si="259"/>
        <v>#DIV/0!</v>
      </c>
      <c r="M859" s="179"/>
      <c r="N859" s="179" t="s">
        <v>3131</v>
      </c>
      <c r="O859" s="141">
        <f t="shared" si="260"/>
        <v>0</v>
      </c>
      <c r="P859" s="181" t="b">
        <f>COUNTIF('Facility Data'!$A$1:$A$1500,"*"&amp;A859&amp;"*")&gt;0</f>
        <v>0</v>
      </c>
      <c r="Q859" s="181" t="b">
        <f>COUNTIF('Account Data'!$A$1:$A$1000,"*"&amp;A859&amp;"*")&gt;0</f>
        <v>0</v>
      </c>
      <c r="R859" s="182" t="b">
        <f t="shared" si="261"/>
        <v>0</v>
      </c>
      <c r="S859" s="182" t="b">
        <f t="shared" si="262"/>
        <v>0</v>
      </c>
      <c r="T859" s="181" t="b">
        <f>COUNTIF('New Items'!$A$1:$A$175,A859)&gt;0</f>
        <v>0</v>
      </c>
      <c r="U859" s="181" t="b">
        <f>COUNTIF(Discontinued!$A$1:$A$150,A859)&gt;0</f>
        <v>0</v>
      </c>
    </row>
    <row r="860" spans="1:21" s="8" customFormat="1" ht="11.25" x14ac:dyDescent="0.2">
      <c r="A860" s="152">
        <v>20000105</v>
      </c>
      <c r="B860" s="10" t="s">
        <v>2723</v>
      </c>
      <c r="C860" s="12" t="s">
        <v>2724</v>
      </c>
      <c r="D860" s="11" t="s">
        <v>2714</v>
      </c>
      <c r="E860" s="12" t="s">
        <v>769</v>
      </c>
      <c r="F860" s="173">
        <v>24</v>
      </c>
      <c r="G860" s="98">
        <f>Overview!$B$78</f>
        <v>26</v>
      </c>
      <c r="H860" s="99">
        <f t="shared" si="257"/>
        <v>26</v>
      </c>
      <c r="I860" s="99">
        <f>Overview!$E$78</f>
        <v>0</v>
      </c>
      <c r="J860" s="100">
        <f t="shared" si="258"/>
        <v>0</v>
      </c>
      <c r="K860" s="101">
        <f>Overview!$H$78</f>
        <v>0</v>
      </c>
      <c r="L860" s="102" t="e">
        <f t="shared" si="259"/>
        <v>#DIV/0!</v>
      </c>
      <c r="M860" s="179"/>
      <c r="N860" s="179" t="s">
        <v>3131</v>
      </c>
      <c r="O860" s="141">
        <f t="shared" si="260"/>
        <v>0</v>
      </c>
      <c r="P860" s="181" t="b">
        <f>COUNTIF('Facility Data'!$A$1:$A$1500,"*"&amp;A860&amp;"*")&gt;0</f>
        <v>0</v>
      </c>
      <c r="Q860" s="181" t="b">
        <f>COUNTIF('Account Data'!$A$1:$A$1000,"*"&amp;A860&amp;"*")&gt;0</f>
        <v>0</v>
      </c>
      <c r="R860" s="182" t="b">
        <f t="shared" si="261"/>
        <v>0</v>
      </c>
      <c r="S860" s="182" t="b">
        <f t="shared" si="262"/>
        <v>0</v>
      </c>
      <c r="T860" s="181" t="b">
        <f>COUNTIF('New Items'!$A$1:$A$175,A860)&gt;0</f>
        <v>0</v>
      </c>
      <c r="U860" s="181" t="b">
        <f>COUNTIF(Discontinued!$A$1:$A$150,A860)&gt;0</f>
        <v>0</v>
      </c>
    </row>
    <row r="861" spans="1:21" s="8" customFormat="1" ht="11.25" x14ac:dyDescent="0.2">
      <c r="A861" s="152">
        <v>20000106</v>
      </c>
      <c r="B861" s="10" t="s">
        <v>2725</v>
      </c>
      <c r="C861" s="12" t="s">
        <v>2726</v>
      </c>
      <c r="D861" s="11" t="s">
        <v>2715</v>
      </c>
      <c r="E861" s="12" t="s">
        <v>769</v>
      </c>
      <c r="F861" s="173">
        <v>24</v>
      </c>
      <c r="G861" s="98">
        <f>Overview!$B$78</f>
        <v>26</v>
      </c>
      <c r="H861" s="99">
        <f t="shared" si="257"/>
        <v>26</v>
      </c>
      <c r="I861" s="99">
        <f>Overview!$E$78</f>
        <v>0</v>
      </c>
      <c r="J861" s="100">
        <f t="shared" si="258"/>
        <v>0</v>
      </c>
      <c r="K861" s="101">
        <f>Overview!$H$78</f>
        <v>0</v>
      </c>
      <c r="L861" s="102" t="e">
        <f t="shared" si="259"/>
        <v>#DIV/0!</v>
      </c>
      <c r="M861" s="179"/>
      <c r="N861" s="179" t="s">
        <v>3131</v>
      </c>
      <c r="O861" s="141">
        <f t="shared" si="260"/>
        <v>0</v>
      </c>
      <c r="P861" s="181" t="b">
        <f>COUNTIF('Facility Data'!$A$1:$A$1500,"*"&amp;A861&amp;"*")&gt;0</f>
        <v>0</v>
      </c>
      <c r="Q861" s="181" t="b">
        <f>COUNTIF('Account Data'!$A$1:$A$1000,"*"&amp;A861&amp;"*")&gt;0</f>
        <v>0</v>
      </c>
      <c r="R861" s="182" t="b">
        <f t="shared" si="261"/>
        <v>0</v>
      </c>
      <c r="S861" s="182" t="b">
        <f t="shared" si="262"/>
        <v>0</v>
      </c>
      <c r="T861" s="181" t="b">
        <f>COUNTIF('New Items'!$A$1:$A$175,A861)&gt;0</f>
        <v>0</v>
      </c>
      <c r="U861" s="181" t="b">
        <f>COUNTIF(Discontinued!$A$1:$A$150,A861)&gt;0</f>
        <v>0</v>
      </c>
    </row>
    <row r="862" spans="1:21" s="8" customFormat="1" ht="12" thickBot="1" x14ac:dyDescent="0.25">
      <c r="A862" s="152">
        <v>20023539</v>
      </c>
      <c r="B862" s="10" t="s">
        <v>2727</v>
      </c>
      <c r="C862" s="12" t="s">
        <v>2728</v>
      </c>
      <c r="D862" s="11" t="s">
        <v>2716</v>
      </c>
      <c r="E862" s="12" t="s">
        <v>769</v>
      </c>
      <c r="F862" s="173">
        <v>24</v>
      </c>
      <c r="G862" s="98">
        <f>Overview!$B$78</f>
        <v>26</v>
      </c>
      <c r="H862" s="99">
        <f t="shared" si="257"/>
        <v>26</v>
      </c>
      <c r="I862" s="99">
        <f>Overview!$E$78</f>
        <v>0</v>
      </c>
      <c r="J862" s="100">
        <f t="shared" si="258"/>
        <v>0</v>
      </c>
      <c r="K862" s="101">
        <f>Overview!$H$78</f>
        <v>0</v>
      </c>
      <c r="L862" s="102" t="e">
        <f t="shared" si="259"/>
        <v>#DIV/0!</v>
      </c>
      <c r="M862" s="179"/>
      <c r="N862" s="179" t="s">
        <v>3131</v>
      </c>
      <c r="O862" s="141">
        <f t="shared" si="260"/>
        <v>0</v>
      </c>
      <c r="P862" s="181" t="b">
        <f>COUNTIF('Facility Data'!$A$1:$A$1500,"*"&amp;A862&amp;"*")&gt;0</f>
        <v>0</v>
      </c>
      <c r="Q862" s="181" t="b">
        <f>COUNTIF('Account Data'!$A$1:$A$1000,"*"&amp;A862&amp;"*")&gt;0</f>
        <v>0</v>
      </c>
      <c r="R862" s="182" t="b">
        <f t="shared" si="261"/>
        <v>0</v>
      </c>
      <c r="S862" s="182" t="b">
        <f t="shared" si="262"/>
        <v>0</v>
      </c>
      <c r="T862" s="181" t="b">
        <f>COUNTIF('New Items'!$A$1:$A$175,A862)&gt;0</f>
        <v>0</v>
      </c>
      <c r="U862" s="181" t="b">
        <f>COUNTIF(Discontinued!$A$1:$A$150,A862)&gt;0</f>
        <v>0</v>
      </c>
    </row>
    <row r="863" spans="1:21" s="8" customFormat="1" ht="13.5" thickBot="1" x14ac:dyDescent="0.25">
      <c r="A863" s="300" t="s">
        <v>3486</v>
      </c>
      <c r="B863" s="301"/>
      <c r="C863" s="301"/>
      <c r="D863" s="301"/>
      <c r="E863" s="301"/>
      <c r="F863" s="301"/>
      <c r="G863" s="301"/>
      <c r="H863" s="301"/>
      <c r="I863" s="301"/>
      <c r="J863" s="301"/>
      <c r="K863" s="301"/>
      <c r="L863" s="302"/>
      <c r="M863" s="179" t="s">
        <v>4361</v>
      </c>
      <c r="N863" s="179" t="s">
        <v>3487</v>
      </c>
      <c r="O863" s="141">
        <f>AVERAGE(O864:O867)</f>
        <v>0</v>
      </c>
      <c r="P863" s="181" t="b">
        <f>COUNTIF(P864:P867,TRUE)&gt;0</f>
        <v>1</v>
      </c>
      <c r="Q863" s="181" t="b">
        <f>COUNTIF(Q864:Q867,TRUE)&gt;0</f>
        <v>1</v>
      </c>
      <c r="R863" s="181" t="b">
        <f>COUNTIF(R864:R867,TRUE)&gt;0</f>
        <v>1</v>
      </c>
      <c r="S863" s="181" t="b">
        <f>COUNTIF(S864:S867,TRUE)&gt;0</f>
        <v>1</v>
      </c>
      <c r="T863" s="181" t="b">
        <f>COUNTIF(T864:T867,TRUE)&gt;0</f>
        <v>0</v>
      </c>
      <c r="U863" s="181"/>
    </row>
    <row r="864" spans="1:21" s="8" customFormat="1" ht="11.25" x14ac:dyDescent="0.2">
      <c r="A864" s="157">
        <v>10110040</v>
      </c>
      <c r="B864" s="82" t="s">
        <v>4051</v>
      </c>
      <c r="C864" s="83" t="s">
        <v>467</v>
      </c>
      <c r="D864" s="97" t="s">
        <v>713</v>
      </c>
      <c r="E864" s="83" t="s">
        <v>782</v>
      </c>
      <c r="F864" s="16">
        <v>12</v>
      </c>
      <c r="G864" s="85">
        <f>Overview!$B$81</f>
        <v>24</v>
      </c>
      <c r="H864" s="86">
        <f>G864-I864</f>
        <v>24</v>
      </c>
      <c r="I864" s="164">
        <f>Overview!$E$81</f>
        <v>0</v>
      </c>
      <c r="J864" s="87">
        <f>I864/F864</f>
        <v>0</v>
      </c>
      <c r="K864" s="165">
        <f>Overview!$H$81</f>
        <v>0</v>
      </c>
      <c r="L864" s="88" t="e">
        <f>(K864-J864)/K864</f>
        <v>#DIV/0!</v>
      </c>
      <c r="M864" s="179"/>
      <c r="N864" s="179" t="s">
        <v>3487</v>
      </c>
      <c r="O864" s="141">
        <f>I864</f>
        <v>0</v>
      </c>
      <c r="P864" s="181" t="b">
        <f>COUNTIF('Facility Data'!$A$1:$A$1500,"*"&amp;A864&amp;"*")&gt;0</f>
        <v>1</v>
      </c>
      <c r="Q864" s="181" t="b">
        <f>COUNTIF('Account Data'!$A$1:$A$1000,"*"&amp;A864&amp;"*")&gt;0</f>
        <v>1</v>
      </c>
      <c r="R864" s="182" t="b">
        <f>IF(OR(P864=TRUE,T864=TRUE),TRUE,FALSE)</f>
        <v>1</v>
      </c>
      <c r="S864" s="182" t="b">
        <f>IF(OR(Q864=TRUE,T864=TRUE),TRUE,FALSE)</f>
        <v>1</v>
      </c>
      <c r="T864" s="181" t="b">
        <f>COUNTIF('New Items'!$A$1:$A$175,A864)&gt;0</f>
        <v>0</v>
      </c>
      <c r="U864" s="181" t="b">
        <f>COUNTIF(Discontinued!$A$1:$A$150,A864)&gt;0</f>
        <v>0</v>
      </c>
    </row>
    <row r="865" spans="1:21" s="8" customFormat="1" ht="11.25" x14ac:dyDescent="0.2">
      <c r="A865" s="154">
        <v>10110053</v>
      </c>
      <c r="B865" s="10" t="s">
        <v>4052</v>
      </c>
      <c r="C865" s="14" t="s">
        <v>466</v>
      </c>
      <c r="D865" s="48" t="s">
        <v>712</v>
      </c>
      <c r="E865" s="14" t="s">
        <v>782</v>
      </c>
      <c r="F865" s="13">
        <v>12</v>
      </c>
      <c r="G865" s="85">
        <f>Overview!$B$81</f>
        <v>24</v>
      </c>
      <c r="H865" s="23">
        <f>G865-I865</f>
        <v>24</v>
      </c>
      <c r="I865" s="164">
        <f>Overview!$E$81</f>
        <v>0</v>
      </c>
      <c r="J865" s="24">
        <f>I865/F865</f>
        <v>0</v>
      </c>
      <c r="K865" s="165">
        <f>Overview!$H$81</f>
        <v>0</v>
      </c>
      <c r="L865" s="51" t="e">
        <f>(K865-J865)/K865</f>
        <v>#DIV/0!</v>
      </c>
      <c r="M865" s="179"/>
      <c r="N865" s="179" t="s">
        <v>3487</v>
      </c>
      <c r="O865" s="141">
        <f>I865</f>
        <v>0</v>
      </c>
      <c r="P865" s="181" t="b">
        <f>COUNTIF('Facility Data'!$A$1:$A$1500,"*"&amp;A865&amp;"*")&gt;0</f>
        <v>1</v>
      </c>
      <c r="Q865" s="181" t="b">
        <f>COUNTIF('Account Data'!$A$1:$A$1000,"*"&amp;A865&amp;"*")&gt;0</f>
        <v>1</v>
      </c>
      <c r="R865" s="182" t="b">
        <f>IF(OR(P865=TRUE,T865=TRUE),TRUE,FALSE)</f>
        <v>1</v>
      </c>
      <c r="S865" s="182" t="b">
        <f>IF(OR(Q865=TRUE,T865=TRUE),TRUE,FALSE)</f>
        <v>1</v>
      </c>
      <c r="T865" s="181" t="b">
        <f>COUNTIF('New Items'!$A$1:$A$175,A865)&gt;0</f>
        <v>0</v>
      </c>
      <c r="U865" s="181" t="b">
        <f>COUNTIF(Discontinued!$A$1:$A$150,A865)&gt;0</f>
        <v>0</v>
      </c>
    </row>
    <row r="866" spans="1:21" s="8" customFormat="1" ht="11.25" x14ac:dyDescent="0.2">
      <c r="A866" s="154">
        <v>10110009</v>
      </c>
      <c r="B866" s="10" t="s">
        <v>4050</v>
      </c>
      <c r="C866" s="14" t="s">
        <v>465</v>
      </c>
      <c r="D866" s="47" t="s">
        <v>711</v>
      </c>
      <c r="E866" s="14" t="s">
        <v>782</v>
      </c>
      <c r="F866" s="13">
        <v>12</v>
      </c>
      <c r="G866" s="85">
        <f>Overview!$B$81</f>
        <v>24</v>
      </c>
      <c r="H866" s="23">
        <f>G866-I866</f>
        <v>24</v>
      </c>
      <c r="I866" s="164">
        <f>Overview!$E$81</f>
        <v>0</v>
      </c>
      <c r="J866" s="24">
        <f>I866/F866</f>
        <v>0</v>
      </c>
      <c r="K866" s="165">
        <f>Overview!$H$81</f>
        <v>0</v>
      </c>
      <c r="L866" s="51" t="e">
        <f>(K866-J866)/K866</f>
        <v>#DIV/0!</v>
      </c>
      <c r="M866" s="179"/>
      <c r="N866" s="179" t="s">
        <v>3487</v>
      </c>
      <c r="O866" s="141">
        <f>I866</f>
        <v>0</v>
      </c>
      <c r="P866" s="181" t="b">
        <f>COUNTIF('Facility Data'!$A$1:$A$1500,"*"&amp;A866&amp;"*")&gt;0</f>
        <v>1</v>
      </c>
      <c r="Q866" s="181" t="b">
        <f>COUNTIF('Account Data'!$A$1:$A$1000,"*"&amp;A866&amp;"*")&gt;0</f>
        <v>1</v>
      </c>
      <c r="R866" s="182" t="b">
        <f>IF(OR(P866=TRUE,T866=TRUE),TRUE,FALSE)</f>
        <v>1</v>
      </c>
      <c r="S866" s="182" t="b">
        <f>IF(OR(Q866=TRUE,T866=TRUE),TRUE,FALSE)</f>
        <v>1</v>
      </c>
      <c r="T866" s="181" t="b">
        <f>COUNTIF('New Items'!$A$1:$A$175,A866)&gt;0</f>
        <v>0</v>
      </c>
      <c r="U866" s="181" t="b">
        <f>COUNTIF(Discontinued!$A$1:$A$150,A866)&gt;0</f>
        <v>0</v>
      </c>
    </row>
    <row r="867" spans="1:21" s="8" customFormat="1" ht="12" thickBot="1" x14ac:dyDescent="0.25">
      <c r="A867" s="154">
        <v>10110032</v>
      </c>
      <c r="B867" s="10" t="s">
        <v>808</v>
      </c>
      <c r="C867" s="14" t="s">
        <v>468</v>
      </c>
      <c r="D867" s="49" t="s">
        <v>714</v>
      </c>
      <c r="E867" s="14" t="s">
        <v>782</v>
      </c>
      <c r="F867" s="13">
        <v>12</v>
      </c>
      <c r="G867" s="85">
        <f>Overview!$B$81</f>
        <v>24</v>
      </c>
      <c r="H867" s="23">
        <f>G867-I867</f>
        <v>24</v>
      </c>
      <c r="I867" s="164">
        <f>Overview!$E$81</f>
        <v>0</v>
      </c>
      <c r="J867" s="24">
        <f>I867/F867</f>
        <v>0</v>
      </c>
      <c r="K867" s="165">
        <f>Overview!$H$81</f>
        <v>0</v>
      </c>
      <c r="L867" s="51" t="e">
        <f>(K867-J867)/K867</f>
        <v>#DIV/0!</v>
      </c>
      <c r="M867" s="179"/>
      <c r="N867" s="179" t="s">
        <v>3487</v>
      </c>
      <c r="O867" s="141">
        <f>I867</f>
        <v>0</v>
      </c>
      <c r="P867" s="181" t="b">
        <f>COUNTIF('Facility Data'!$A$1:$A$1500,"*"&amp;A867&amp;"*")&gt;0</f>
        <v>1</v>
      </c>
      <c r="Q867" s="181" t="b">
        <f>COUNTIF('Account Data'!$A$1:$A$1000,"*"&amp;A867&amp;"*")&gt;0</f>
        <v>1</v>
      </c>
      <c r="R867" s="182" t="b">
        <f>IF(OR(P867=TRUE,T867=TRUE),TRUE,FALSE)</f>
        <v>1</v>
      </c>
      <c r="S867" s="182" t="b">
        <f>IF(OR(Q867=TRUE,T867=TRUE),TRUE,FALSE)</f>
        <v>1</v>
      </c>
      <c r="T867" s="181" t="b">
        <f>COUNTIF('New Items'!$A$1:$A$175,A867)&gt;0</f>
        <v>0</v>
      </c>
      <c r="U867" s="181" t="b">
        <f>COUNTIF(Discontinued!$A$1:$A$150,A867)&gt;0</f>
        <v>0</v>
      </c>
    </row>
    <row r="868" spans="1:21" s="8" customFormat="1" ht="13.5" thickBot="1" x14ac:dyDescent="0.25">
      <c r="A868" s="300" t="s">
        <v>3182</v>
      </c>
      <c r="B868" s="301"/>
      <c r="C868" s="301"/>
      <c r="D868" s="301"/>
      <c r="E868" s="301"/>
      <c r="F868" s="301"/>
      <c r="G868" s="301"/>
      <c r="H868" s="301"/>
      <c r="I868" s="301"/>
      <c r="J868" s="301"/>
      <c r="K868" s="301"/>
      <c r="L868" s="302"/>
      <c r="M868" s="179" t="s">
        <v>4361</v>
      </c>
      <c r="N868" s="179" t="s">
        <v>974</v>
      </c>
      <c r="O868" s="141">
        <f>AVERAGE(O869:O873)</f>
        <v>0</v>
      </c>
      <c r="P868" s="181" t="b">
        <f>COUNTIF(P869:P873,TRUE)&gt;0</f>
        <v>1</v>
      </c>
      <c r="Q868" s="181" t="b">
        <f>COUNTIF(Q869:Q873,TRUE)&gt;0</f>
        <v>1</v>
      </c>
      <c r="R868" s="181" t="b">
        <f>COUNTIF(R869:R873,TRUE)&gt;0</f>
        <v>1</v>
      </c>
      <c r="S868" s="181" t="b">
        <f>COUNTIF(S869:S873,TRUE)&gt;0</f>
        <v>1</v>
      </c>
      <c r="T868" s="181" t="b">
        <f>COUNTIF(T869:T873,TRUE)&gt;0</f>
        <v>0</v>
      </c>
      <c r="U868" s="181"/>
    </row>
    <row r="869" spans="1:21" s="8" customFormat="1" ht="11.25" x14ac:dyDescent="0.2">
      <c r="A869" s="152">
        <v>10079084</v>
      </c>
      <c r="B869" s="10" t="s">
        <v>4034</v>
      </c>
      <c r="C869" s="12" t="s">
        <v>362</v>
      </c>
      <c r="D869" s="11" t="s">
        <v>679</v>
      </c>
      <c r="E869" s="12" t="s">
        <v>777</v>
      </c>
      <c r="F869" s="13">
        <v>12</v>
      </c>
      <c r="G869" s="22">
        <f>Overview!$B$82</f>
        <v>18</v>
      </c>
      <c r="H869" s="114">
        <f>G869-I869</f>
        <v>18</v>
      </c>
      <c r="I869" s="114">
        <f>Overview!$E$82</f>
        <v>0</v>
      </c>
      <c r="J869" s="115">
        <f>I869/F869</f>
        <v>0</v>
      </c>
      <c r="K869" s="116">
        <f>Overview!$H$82</f>
        <v>0</v>
      </c>
      <c r="L869" s="117" t="e">
        <f>(K869-J869)/K869</f>
        <v>#DIV/0!</v>
      </c>
      <c r="M869" s="179"/>
      <c r="N869" s="179" t="s">
        <v>974</v>
      </c>
      <c r="O869" s="141">
        <f>I869</f>
        <v>0</v>
      </c>
      <c r="P869" s="181" t="b">
        <f>COUNTIF('Facility Data'!$A$1:$A$1500,"*"&amp;A869&amp;"*")&gt;0</f>
        <v>1</v>
      </c>
      <c r="Q869" s="181" t="b">
        <f>COUNTIF('Account Data'!$A$1:$A$1000,"*"&amp;A869&amp;"*")&gt;0</f>
        <v>1</v>
      </c>
      <c r="R869" s="182" t="b">
        <f>IF(OR(P869=TRUE,T869=TRUE),TRUE,FALSE)</f>
        <v>1</v>
      </c>
      <c r="S869" s="182" t="b">
        <f>IF(OR(Q869=TRUE,T869=TRUE),TRUE,FALSE)</f>
        <v>1</v>
      </c>
      <c r="T869" s="181" t="b">
        <f>COUNTIF('New Items'!$A$1:$A$175,A869)&gt;0</f>
        <v>0</v>
      </c>
      <c r="U869" s="181" t="b">
        <f>COUNTIF(Discontinued!$A$1:$A$150,A869)&gt;0</f>
        <v>0</v>
      </c>
    </row>
    <row r="870" spans="1:21" s="8" customFormat="1" ht="11.25" x14ac:dyDescent="0.2">
      <c r="A870" s="152">
        <v>10079086</v>
      </c>
      <c r="B870" s="10" t="s">
        <v>4036</v>
      </c>
      <c r="C870" s="12" t="s">
        <v>361</v>
      </c>
      <c r="D870" s="11" t="s">
        <v>678</v>
      </c>
      <c r="E870" s="12" t="s">
        <v>777</v>
      </c>
      <c r="F870" s="13">
        <v>12</v>
      </c>
      <c r="G870" s="22">
        <f>Overview!$B$82</f>
        <v>18</v>
      </c>
      <c r="H870" s="23">
        <f>G870-I870</f>
        <v>18</v>
      </c>
      <c r="I870" s="114">
        <f>Overview!$E$82</f>
        <v>0</v>
      </c>
      <c r="J870" s="24">
        <f>I870/F870</f>
        <v>0</v>
      </c>
      <c r="K870" s="116">
        <f>Overview!$H$82</f>
        <v>0</v>
      </c>
      <c r="L870" s="51" t="e">
        <f>(K870-J870)/K870</f>
        <v>#DIV/0!</v>
      </c>
      <c r="M870" s="179"/>
      <c r="N870" s="179" t="s">
        <v>974</v>
      </c>
      <c r="O870" s="141">
        <f>I870</f>
        <v>0</v>
      </c>
      <c r="P870" s="181" t="b">
        <f>COUNTIF('Facility Data'!$A$1:$A$1500,"*"&amp;A870&amp;"*")&gt;0</f>
        <v>1</v>
      </c>
      <c r="Q870" s="181" t="b">
        <f>COUNTIF('Account Data'!$A$1:$A$1000,"*"&amp;A870&amp;"*")&gt;0</f>
        <v>1</v>
      </c>
      <c r="R870" s="182" t="b">
        <f>IF(OR(P870=TRUE,T870=TRUE),TRUE,FALSE)</f>
        <v>1</v>
      </c>
      <c r="S870" s="182" t="b">
        <f>IF(OR(Q870=TRUE,T870=TRUE),TRUE,FALSE)</f>
        <v>1</v>
      </c>
      <c r="T870" s="181" t="b">
        <f>COUNTIF('New Items'!$A$1:$A$175,A870)&gt;0</f>
        <v>0</v>
      </c>
      <c r="U870" s="181" t="b">
        <f>COUNTIF(Discontinued!$A$1:$A$150,A870)&gt;0</f>
        <v>0</v>
      </c>
    </row>
    <row r="871" spans="1:21" s="8" customFormat="1" ht="11.25" x14ac:dyDescent="0.2">
      <c r="A871" s="152">
        <v>10079085</v>
      </c>
      <c r="B871" s="10" t="s">
        <v>4035</v>
      </c>
      <c r="C871" s="12" t="s">
        <v>363</v>
      </c>
      <c r="D871" s="11" t="s">
        <v>680</v>
      </c>
      <c r="E871" s="12" t="s">
        <v>777</v>
      </c>
      <c r="F871" s="13">
        <v>12</v>
      </c>
      <c r="G871" s="22">
        <f>Overview!$B$82</f>
        <v>18</v>
      </c>
      <c r="H871" s="23">
        <f>G871-I871</f>
        <v>18</v>
      </c>
      <c r="I871" s="114">
        <f>Overview!$E$82</f>
        <v>0</v>
      </c>
      <c r="J871" s="24">
        <f>I871/F871</f>
        <v>0</v>
      </c>
      <c r="K871" s="116">
        <f>Overview!$H$82</f>
        <v>0</v>
      </c>
      <c r="L871" s="51" t="e">
        <f>(K871-J871)/K871</f>
        <v>#DIV/0!</v>
      </c>
      <c r="M871" s="179"/>
      <c r="N871" s="179" t="s">
        <v>974</v>
      </c>
      <c r="O871" s="141">
        <f>I871</f>
        <v>0</v>
      </c>
      <c r="P871" s="181" t="b">
        <f>COUNTIF('Facility Data'!$A$1:$A$1500,"*"&amp;A871&amp;"*")&gt;0</f>
        <v>1</v>
      </c>
      <c r="Q871" s="181" t="b">
        <f>COUNTIF('Account Data'!$A$1:$A$1000,"*"&amp;A871&amp;"*")&gt;0</f>
        <v>1</v>
      </c>
      <c r="R871" s="182" t="b">
        <f>IF(OR(P871=TRUE,T871=TRUE),TRUE,FALSE)</f>
        <v>1</v>
      </c>
      <c r="S871" s="182" t="b">
        <f>IF(OR(Q871=TRUE,T871=TRUE),TRUE,FALSE)</f>
        <v>1</v>
      </c>
      <c r="T871" s="181" t="b">
        <f>COUNTIF('New Items'!$A$1:$A$175,A871)&gt;0</f>
        <v>0</v>
      </c>
      <c r="U871" s="181" t="b">
        <f>COUNTIF(Discontinued!$A$1:$A$150,A871)&gt;0</f>
        <v>0</v>
      </c>
    </row>
    <row r="872" spans="1:21" s="8" customFormat="1" ht="11.25" x14ac:dyDescent="0.2">
      <c r="A872" s="152">
        <v>10083936</v>
      </c>
      <c r="B872" s="10" t="s">
        <v>364</v>
      </c>
      <c r="C872" s="12" t="s">
        <v>365</v>
      </c>
      <c r="D872" s="11" t="s">
        <v>681</v>
      </c>
      <c r="E872" s="12" t="s">
        <v>777</v>
      </c>
      <c r="F872" s="13">
        <v>12</v>
      </c>
      <c r="G872" s="22">
        <f>Overview!$B$82</f>
        <v>18</v>
      </c>
      <c r="H872" s="23">
        <f t="shared" ref="H872:H877" si="263">G872-I872</f>
        <v>18</v>
      </c>
      <c r="I872" s="114">
        <f>Overview!$E$82</f>
        <v>0</v>
      </c>
      <c r="J872" s="24">
        <f>I872/F872</f>
        <v>0</v>
      </c>
      <c r="K872" s="116">
        <f>Overview!$H$82</f>
        <v>0</v>
      </c>
      <c r="L872" s="51" t="e">
        <f>(K872-J872)/K872</f>
        <v>#DIV/0!</v>
      </c>
      <c r="M872" s="179"/>
      <c r="N872" s="179" t="s">
        <v>974</v>
      </c>
      <c r="O872" s="141">
        <f>I872</f>
        <v>0</v>
      </c>
      <c r="P872" s="181" t="b">
        <f>COUNTIF('Facility Data'!$A$1:$A$1500,"*"&amp;A872&amp;"*")&gt;0</f>
        <v>0</v>
      </c>
      <c r="Q872" s="181" t="b">
        <f>COUNTIF('Account Data'!$A$1:$A$1000,"*"&amp;A872&amp;"*")&gt;0</f>
        <v>1</v>
      </c>
      <c r="R872" s="182" t="b">
        <f>IF(OR(P872=TRUE,T872=TRUE),TRUE,FALSE)</f>
        <v>0</v>
      </c>
      <c r="S872" s="182" t="b">
        <f>IF(OR(Q872=TRUE,T872=TRUE),TRUE,FALSE)</f>
        <v>1</v>
      </c>
      <c r="T872" s="181" t="b">
        <f>COUNTIF('New Items'!$A$1:$A$175,A872)&gt;0</f>
        <v>0</v>
      </c>
      <c r="U872" s="181" t="b">
        <f>COUNTIF(Discontinued!$A$1:$A$150,A872)&gt;0</f>
        <v>0</v>
      </c>
    </row>
    <row r="873" spans="1:21" s="8" customFormat="1" ht="12" thickBot="1" x14ac:dyDescent="0.25">
      <c r="A873" s="152">
        <v>10083935</v>
      </c>
      <c r="B873" s="10" t="s">
        <v>366</v>
      </c>
      <c r="C873" s="12" t="s">
        <v>367</v>
      </c>
      <c r="D873" s="11" t="s">
        <v>682</v>
      </c>
      <c r="E873" s="12" t="s">
        <v>777</v>
      </c>
      <c r="F873" s="13">
        <v>12</v>
      </c>
      <c r="G873" s="22">
        <f>Overview!$B$82</f>
        <v>18</v>
      </c>
      <c r="H873" s="23">
        <f t="shared" si="263"/>
        <v>18</v>
      </c>
      <c r="I873" s="114">
        <f>Overview!$E$82</f>
        <v>0</v>
      </c>
      <c r="J873" s="24">
        <f>I873/F873</f>
        <v>0</v>
      </c>
      <c r="K873" s="116">
        <f>Overview!$H$82</f>
        <v>0</v>
      </c>
      <c r="L873" s="51" t="e">
        <f>(K873-J873)/K873</f>
        <v>#DIV/0!</v>
      </c>
      <c r="M873" s="179"/>
      <c r="N873" s="179" t="s">
        <v>974</v>
      </c>
      <c r="O873" s="141">
        <f>I873</f>
        <v>0</v>
      </c>
      <c r="P873" s="181" t="b">
        <f>COUNTIF('Facility Data'!$A$1:$A$1500,"*"&amp;A873&amp;"*")&gt;0</f>
        <v>1</v>
      </c>
      <c r="Q873" s="181" t="b">
        <f>COUNTIF('Account Data'!$A$1:$A$1000,"*"&amp;A873&amp;"*")&gt;0</f>
        <v>1</v>
      </c>
      <c r="R873" s="182" t="b">
        <f>IF(OR(P873=TRUE,T873=TRUE),TRUE,FALSE)</f>
        <v>1</v>
      </c>
      <c r="S873" s="182" t="b">
        <f>IF(OR(Q873=TRUE,T873=TRUE),TRUE,FALSE)</f>
        <v>1</v>
      </c>
      <c r="T873" s="181" t="b">
        <f>COUNTIF('New Items'!$A$1:$A$175,A873)&gt;0</f>
        <v>0</v>
      </c>
      <c r="U873" s="181" t="b">
        <f>COUNTIF(Discontinued!$A$1:$A$150,A873)&gt;0</f>
        <v>0</v>
      </c>
    </row>
    <row r="874" spans="1:21" s="8" customFormat="1" ht="13.5" thickBot="1" x14ac:dyDescent="0.25">
      <c r="A874" s="300" t="s">
        <v>3183</v>
      </c>
      <c r="B874" s="301"/>
      <c r="C874" s="301"/>
      <c r="D874" s="301"/>
      <c r="E874" s="301"/>
      <c r="F874" s="301"/>
      <c r="G874" s="301"/>
      <c r="H874" s="301"/>
      <c r="I874" s="301"/>
      <c r="J874" s="301"/>
      <c r="K874" s="301"/>
      <c r="L874" s="302"/>
      <c r="M874" s="179" t="s">
        <v>4361</v>
      </c>
      <c r="N874" s="179" t="s">
        <v>975</v>
      </c>
      <c r="O874" s="141">
        <f>AVERAGE(O875:O877)</f>
        <v>0</v>
      </c>
      <c r="P874" s="181" t="b">
        <f>COUNTIF(P875:P877,TRUE)&gt;0</f>
        <v>1</v>
      </c>
      <c r="Q874" s="181" t="b">
        <f>COUNTIF(Q875:Q877,TRUE)&gt;0</f>
        <v>0</v>
      </c>
      <c r="R874" s="181" t="b">
        <f>COUNTIF(R875:R877,TRUE)&gt;0</f>
        <v>1</v>
      </c>
      <c r="S874" s="181" t="b">
        <f>COUNTIF(S875:S877,TRUE)&gt;0</f>
        <v>0</v>
      </c>
      <c r="T874" s="181" t="b">
        <f>COUNTIF(T875:T877,TRUE)&gt;0</f>
        <v>0</v>
      </c>
      <c r="U874" s="181"/>
    </row>
    <row r="875" spans="1:21" s="8" customFormat="1" ht="11.25" x14ac:dyDescent="0.2">
      <c r="A875" s="152">
        <v>10084025</v>
      </c>
      <c r="B875" s="10" t="s">
        <v>4038</v>
      </c>
      <c r="C875" s="14" t="s">
        <v>369</v>
      </c>
      <c r="D875" s="11" t="s">
        <v>679</v>
      </c>
      <c r="E875" s="12" t="s">
        <v>777</v>
      </c>
      <c r="F875" s="13">
        <v>4</v>
      </c>
      <c r="G875" s="22">
        <f>Overview!$B$83</f>
        <v>30</v>
      </c>
      <c r="H875" s="23">
        <f>G875-I875</f>
        <v>30</v>
      </c>
      <c r="I875" s="114">
        <f>Overview!$E$83</f>
        <v>0</v>
      </c>
      <c r="J875" s="24">
        <f>I875/F875</f>
        <v>0</v>
      </c>
      <c r="K875" s="116">
        <f>Overview!$H$83</f>
        <v>0</v>
      </c>
      <c r="L875" s="51" t="e">
        <f>(K875-J875)/K875</f>
        <v>#DIV/0!</v>
      </c>
      <c r="M875" s="179"/>
      <c r="N875" s="179" t="s">
        <v>975</v>
      </c>
      <c r="O875" s="141">
        <f>I875</f>
        <v>0</v>
      </c>
      <c r="P875" s="181" t="b">
        <f>COUNTIF('Facility Data'!$A$1:$A$1500,"*"&amp;A875&amp;"*")&gt;0</f>
        <v>1</v>
      </c>
      <c r="Q875" s="181" t="b">
        <f>COUNTIF('Account Data'!$A$1:$A$1000,"*"&amp;A875&amp;"*")&gt;0</f>
        <v>0</v>
      </c>
      <c r="R875" s="182" t="b">
        <f>IF(OR(P875=TRUE,T875=TRUE),TRUE,FALSE)</f>
        <v>1</v>
      </c>
      <c r="S875" s="182" t="b">
        <f>IF(OR(Q875=TRUE,T875=TRUE),TRUE,FALSE)</f>
        <v>0</v>
      </c>
      <c r="T875" s="181" t="b">
        <f>COUNTIF('New Items'!$A$1:$A$175,A875)&gt;0</f>
        <v>0</v>
      </c>
      <c r="U875" s="181" t="b">
        <f>COUNTIF(Discontinued!$A$1:$A$150,A875)&gt;0</f>
        <v>0</v>
      </c>
    </row>
    <row r="876" spans="1:21" s="8" customFormat="1" ht="11.25" x14ac:dyDescent="0.2">
      <c r="A876" s="152">
        <v>10084024</v>
      </c>
      <c r="B876" s="10" t="s">
        <v>4037</v>
      </c>
      <c r="C876" s="14" t="s">
        <v>368</v>
      </c>
      <c r="D876" s="11" t="s">
        <v>678</v>
      </c>
      <c r="E876" s="12" t="s">
        <v>777</v>
      </c>
      <c r="F876" s="13">
        <v>4</v>
      </c>
      <c r="G876" s="22">
        <f>Overview!$B$83</f>
        <v>30</v>
      </c>
      <c r="H876" s="23">
        <f t="shared" si="263"/>
        <v>30</v>
      </c>
      <c r="I876" s="114">
        <f>Overview!$E$83</f>
        <v>0</v>
      </c>
      <c r="J876" s="24">
        <f>I876/F876</f>
        <v>0</v>
      </c>
      <c r="K876" s="116">
        <f>Overview!$H$83</f>
        <v>0</v>
      </c>
      <c r="L876" s="51" t="e">
        <f>(K876-J876)/K876</f>
        <v>#DIV/0!</v>
      </c>
      <c r="M876" s="179"/>
      <c r="N876" s="179" t="s">
        <v>975</v>
      </c>
      <c r="O876" s="141">
        <f>I876</f>
        <v>0</v>
      </c>
      <c r="P876" s="181" t="b">
        <f>COUNTIF('Facility Data'!$A$1:$A$1500,"*"&amp;A876&amp;"*")&gt;0</f>
        <v>1</v>
      </c>
      <c r="Q876" s="181" t="b">
        <f>COUNTIF('Account Data'!$A$1:$A$1000,"*"&amp;A876&amp;"*")&gt;0</f>
        <v>0</v>
      </c>
      <c r="R876" s="182" t="b">
        <f>IF(OR(P876=TRUE,T876=TRUE),TRUE,FALSE)</f>
        <v>1</v>
      </c>
      <c r="S876" s="182" t="b">
        <f>IF(OR(Q876=TRUE,T876=TRUE),TRUE,FALSE)</f>
        <v>0</v>
      </c>
      <c r="T876" s="181" t="b">
        <f>COUNTIF('New Items'!$A$1:$A$175,A876)&gt;0</f>
        <v>0</v>
      </c>
      <c r="U876" s="181" t="b">
        <f>COUNTIF(Discontinued!$A$1:$A$150,A876)&gt;0</f>
        <v>0</v>
      </c>
    </row>
    <row r="877" spans="1:21" s="8" customFormat="1" ht="12" thickBot="1" x14ac:dyDescent="0.25">
      <c r="A877" s="152">
        <v>10084026</v>
      </c>
      <c r="B877" s="10" t="s">
        <v>4039</v>
      </c>
      <c r="C877" s="14" t="s">
        <v>370</v>
      </c>
      <c r="D877" s="11" t="s">
        <v>680</v>
      </c>
      <c r="E877" s="12" t="s">
        <v>777</v>
      </c>
      <c r="F877" s="13">
        <v>4</v>
      </c>
      <c r="G877" s="22">
        <f>Overview!$B$83</f>
        <v>30</v>
      </c>
      <c r="H877" s="23">
        <f t="shared" si="263"/>
        <v>30</v>
      </c>
      <c r="I877" s="114">
        <f>Overview!$E$83</f>
        <v>0</v>
      </c>
      <c r="J877" s="24">
        <f>I877/F877</f>
        <v>0</v>
      </c>
      <c r="K877" s="116">
        <f>Overview!$H$83</f>
        <v>0</v>
      </c>
      <c r="L877" s="51" t="e">
        <f>(K877-J877)/K877</f>
        <v>#DIV/0!</v>
      </c>
      <c r="M877" s="179"/>
      <c r="N877" s="179" t="s">
        <v>975</v>
      </c>
      <c r="O877" s="141">
        <f>I877</f>
        <v>0</v>
      </c>
      <c r="P877" s="181" t="b">
        <f>COUNTIF('Facility Data'!$A$1:$A$1500,"*"&amp;A877&amp;"*")&gt;0</f>
        <v>1</v>
      </c>
      <c r="Q877" s="181" t="b">
        <f>COUNTIF('Account Data'!$A$1:$A$1000,"*"&amp;A877&amp;"*")&gt;0</f>
        <v>0</v>
      </c>
      <c r="R877" s="182" t="b">
        <f>IF(OR(P877=TRUE,T877=TRUE),TRUE,FALSE)</f>
        <v>1</v>
      </c>
      <c r="S877" s="182" t="b">
        <f>IF(OR(Q877=TRUE,T877=TRUE),TRUE,FALSE)</f>
        <v>0</v>
      </c>
      <c r="T877" s="181" t="b">
        <f>COUNTIF('New Items'!$A$1:$A$175,A877)&gt;0</f>
        <v>0</v>
      </c>
      <c r="U877" s="181" t="b">
        <f>COUNTIF(Discontinued!$A$1:$A$150,A877)&gt;0</f>
        <v>0</v>
      </c>
    </row>
    <row r="878" spans="1:21" s="8" customFormat="1" ht="13.5" thickBot="1" x14ac:dyDescent="0.25">
      <c r="A878" s="300" t="s">
        <v>3184</v>
      </c>
      <c r="B878" s="301"/>
      <c r="C878" s="301"/>
      <c r="D878" s="301"/>
      <c r="E878" s="301"/>
      <c r="F878" s="301"/>
      <c r="G878" s="301"/>
      <c r="H878" s="301"/>
      <c r="I878" s="301"/>
      <c r="J878" s="301"/>
      <c r="K878" s="301"/>
      <c r="L878" s="302"/>
      <c r="M878" s="179" t="s">
        <v>4361</v>
      </c>
      <c r="N878" s="179" t="s">
        <v>1251</v>
      </c>
      <c r="O878" s="141">
        <f>AVERAGE(O879:O881)</f>
        <v>0</v>
      </c>
      <c r="P878" s="181" t="b">
        <f>COUNTIF(P879:P881,TRUE)&gt;0</f>
        <v>1</v>
      </c>
      <c r="Q878" s="181" t="b">
        <f>COUNTIF(Q879:Q881,TRUE)&gt;0</f>
        <v>0</v>
      </c>
      <c r="R878" s="181" t="b">
        <f>COUNTIF(R879:R881,TRUE)&gt;0</f>
        <v>1</v>
      </c>
      <c r="S878" s="181" t="b">
        <f>COUNTIF(S879:S881,TRUE)&gt;0</f>
        <v>0</v>
      </c>
      <c r="T878" s="181" t="b">
        <f>COUNTIF(T879:T881,TRUE)&gt;0</f>
        <v>0</v>
      </c>
      <c r="U878" s="181"/>
    </row>
    <row r="879" spans="1:21" s="8" customFormat="1" ht="11.25" x14ac:dyDescent="0.2">
      <c r="A879" s="160">
        <v>10121082</v>
      </c>
      <c r="B879" s="231" t="s">
        <v>1108</v>
      </c>
      <c r="C879" s="124" t="s">
        <v>1111</v>
      </c>
      <c r="D879" s="119" t="s">
        <v>679</v>
      </c>
      <c r="E879" s="118" t="s">
        <v>780</v>
      </c>
      <c r="F879" s="120">
        <v>8</v>
      </c>
      <c r="G879" s="121">
        <f>Overview!$B$84</f>
        <v>24</v>
      </c>
      <c r="H879" s="114">
        <f>G879-I879</f>
        <v>24</v>
      </c>
      <c r="I879" s="114">
        <f>Overview!$E$84</f>
        <v>0</v>
      </c>
      <c r="J879" s="115">
        <f>I879/F879</f>
        <v>0</v>
      </c>
      <c r="K879" s="116">
        <f>Overview!$H$84</f>
        <v>0</v>
      </c>
      <c r="L879" s="117" t="e">
        <f>(K879-J879)/K879</f>
        <v>#DIV/0!</v>
      </c>
      <c r="M879" s="179"/>
      <c r="N879" s="179" t="s">
        <v>1251</v>
      </c>
      <c r="O879" s="141">
        <f>I879</f>
        <v>0</v>
      </c>
      <c r="P879" s="181" t="b">
        <f>COUNTIF('Facility Data'!$A$1:$A$1500,"*"&amp;A879&amp;"*")&gt;0</f>
        <v>1</v>
      </c>
      <c r="Q879" s="181" t="b">
        <f>COUNTIF('Account Data'!$A$1:$A$1000,"*"&amp;A879&amp;"*")&gt;0</f>
        <v>0</v>
      </c>
      <c r="R879" s="182" t="b">
        <f>IF(OR(P879=TRUE,T879=TRUE),TRUE,FALSE)</f>
        <v>1</v>
      </c>
      <c r="S879" s="182" t="b">
        <f>IF(OR(Q879=TRUE,T879=TRUE),TRUE,FALSE)</f>
        <v>0</v>
      </c>
      <c r="T879" s="181" t="b">
        <f>COUNTIF('New Items'!$A$1:$A$175,A879)&gt;0</f>
        <v>0</v>
      </c>
      <c r="U879" s="181" t="b">
        <f>COUNTIF(Discontinued!$A$1:$A$150,A879)&gt;0</f>
        <v>0</v>
      </c>
    </row>
    <row r="880" spans="1:21" s="8" customFormat="1" ht="11.25" x14ac:dyDescent="0.2">
      <c r="A880" s="160">
        <v>10121081</v>
      </c>
      <c r="B880" s="231" t="s">
        <v>1109</v>
      </c>
      <c r="C880" s="124" t="s">
        <v>1112</v>
      </c>
      <c r="D880" s="119" t="s">
        <v>678</v>
      </c>
      <c r="E880" s="118" t="s">
        <v>780</v>
      </c>
      <c r="F880" s="120">
        <v>8</v>
      </c>
      <c r="G880" s="121">
        <f>Overview!$B$84</f>
        <v>24</v>
      </c>
      <c r="H880" s="114">
        <f>G880-I880</f>
        <v>24</v>
      </c>
      <c r="I880" s="114">
        <f>Overview!$E$84</f>
        <v>0</v>
      </c>
      <c r="J880" s="115">
        <f>I880/F880</f>
        <v>0</v>
      </c>
      <c r="K880" s="116">
        <f>Overview!$H$84</f>
        <v>0</v>
      </c>
      <c r="L880" s="117" t="e">
        <f>(K880-J880)/K880</f>
        <v>#DIV/0!</v>
      </c>
      <c r="M880" s="179"/>
      <c r="N880" s="179" t="s">
        <v>1251</v>
      </c>
      <c r="O880" s="141">
        <f>I880</f>
        <v>0</v>
      </c>
      <c r="P880" s="181" t="b">
        <f>COUNTIF('Facility Data'!$A$1:$A$1500,"*"&amp;A880&amp;"*")&gt;0</f>
        <v>1</v>
      </c>
      <c r="Q880" s="181" t="b">
        <f>COUNTIF('Account Data'!$A$1:$A$1000,"*"&amp;A880&amp;"*")&gt;0</f>
        <v>0</v>
      </c>
      <c r="R880" s="182" t="b">
        <f>IF(OR(P880=TRUE,T880=TRUE),TRUE,FALSE)</f>
        <v>1</v>
      </c>
      <c r="S880" s="182" t="b">
        <f>IF(OR(Q880=TRUE,T880=TRUE),TRUE,FALSE)</f>
        <v>0</v>
      </c>
      <c r="T880" s="181" t="b">
        <f>COUNTIF('New Items'!$A$1:$A$175,A880)&gt;0</f>
        <v>0</v>
      </c>
      <c r="U880" s="181" t="b">
        <f>COUNTIF(Discontinued!$A$1:$A$150,A880)&gt;0</f>
        <v>0</v>
      </c>
    </row>
    <row r="881" spans="1:21" s="8" customFormat="1" ht="12" thickBot="1" x14ac:dyDescent="0.25">
      <c r="A881" s="160">
        <v>10121083</v>
      </c>
      <c r="B881" s="231" t="s">
        <v>1110</v>
      </c>
      <c r="C881" s="124" t="s">
        <v>1113</v>
      </c>
      <c r="D881" s="119" t="s">
        <v>680</v>
      </c>
      <c r="E881" s="118" t="s">
        <v>780</v>
      </c>
      <c r="F881" s="120">
        <v>8</v>
      </c>
      <c r="G881" s="121">
        <f>Overview!$B$84</f>
        <v>24</v>
      </c>
      <c r="H881" s="114">
        <f>G881-I881</f>
        <v>24</v>
      </c>
      <c r="I881" s="114">
        <f>Overview!$E$84</f>
        <v>0</v>
      </c>
      <c r="J881" s="115">
        <f>I881/F881</f>
        <v>0</v>
      </c>
      <c r="K881" s="116">
        <f>Overview!$H$84</f>
        <v>0</v>
      </c>
      <c r="L881" s="117" t="e">
        <f>(K881-J881)/K881</f>
        <v>#DIV/0!</v>
      </c>
      <c r="M881" s="179"/>
      <c r="N881" s="179" t="s">
        <v>1251</v>
      </c>
      <c r="O881" s="141">
        <f>I881</f>
        <v>0</v>
      </c>
      <c r="P881" s="181" t="b">
        <f>COUNTIF('Facility Data'!$A$1:$A$1500,"*"&amp;A881&amp;"*")&gt;0</f>
        <v>1</v>
      </c>
      <c r="Q881" s="181" t="b">
        <f>COUNTIF('Account Data'!$A$1:$A$1000,"*"&amp;A881&amp;"*")&gt;0</f>
        <v>0</v>
      </c>
      <c r="R881" s="182" t="b">
        <f>IF(OR(P881=TRUE,T881=TRUE),TRUE,FALSE)</f>
        <v>1</v>
      </c>
      <c r="S881" s="182" t="b">
        <f>IF(OR(Q881=TRUE,T881=TRUE),TRUE,FALSE)</f>
        <v>0</v>
      </c>
      <c r="T881" s="181" t="b">
        <f>COUNTIF('New Items'!$A$1:$A$175,A881)&gt;0</f>
        <v>0</v>
      </c>
      <c r="U881" s="181" t="b">
        <f>COUNTIF(Discontinued!$A$1:$A$150,A881)&gt;0</f>
        <v>0</v>
      </c>
    </row>
    <row r="882" spans="1:21" s="8" customFormat="1" ht="13.5" thickBot="1" x14ac:dyDescent="0.25">
      <c r="A882" s="300" t="s">
        <v>3142</v>
      </c>
      <c r="B882" s="301"/>
      <c r="C882" s="301"/>
      <c r="D882" s="301"/>
      <c r="E882" s="301"/>
      <c r="F882" s="301"/>
      <c r="G882" s="301"/>
      <c r="H882" s="301"/>
      <c r="I882" s="301"/>
      <c r="J882" s="301"/>
      <c r="K882" s="301"/>
      <c r="L882" s="302"/>
      <c r="M882" s="179" t="s">
        <v>4361</v>
      </c>
      <c r="N882" s="179" t="s">
        <v>3142</v>
      </c>
      <c r="O882" s="141">
        <f>AVERAGE(O883:O895)</f>
        <v>0</v>
      </c>
      <c r="P882" s="181" t="b">
        <f>COUNTIF(P883:P895,TRUE)&gt;0</f>
        <v>0</v>
      </c>
      <c r="Q882" s="181" t="b">
        <f>COUNTIF(Q883:Q895,TRUE)&gt;0</f>
        <v>1</v>
      </c>
      <c r="R882" s="181" t="b">
        <f>COUNTIF(R883:R895,TRUE)&gt;0</f>
        <v>0</v>
      </c>
      <c r="S882" s="181" t="b">
        <f>COUNTIF(S883:S895,TRUE)&gt;0</f>
        <v>1</v>
      </c>
      <c r="T882" s="181" t="b">
        <f>COUNTIF(T883:T895,TRUE)&gt;0</f>
        <v>0</v>
      </c>
      <c r="U882" s="181"/>
    </row>
    <row r="883" spans="1:21" s="8" customFormat="1" ht="11.25" x14ac:dyDescent="0.2">
      <c r="A883" s="152">
        <v>10003020</v>
      </c>
      <c r="B883" s="10" t="s">
        <v>391</v>
      </c>
      <c r="C883" s="12" t="s">
        <v>392</v>
      </c>
      <c r="D883" s="11" t="s">
        <v>2488</v>
      </c>
      <c r="E883" s="12" t="s">
        <v>779</v>
      </c>
      <c r="F883" s="13">
        <v>24</v>
      </c>
      <c r="G883" s="22">
        <f>Overview!$B$85</f>
        <v>14</v>
      </c>
      <c r="H883" s="23">
        <f>G883-I883</f>
        <v>14</v>
      </c>
      <c r="I883" s="114">
        <f>Overview!$E$85</f>
        <v>0</v>
      </c>
      <c r="J883" s="24">
        <f>I883/F883</f>
        <v>0</v>
      </c>
      <c r="K883" s="116">
        <f>Overview!$H$85</f>
        <v>0</v>
      </c>
      <c r="L883" s="51" t="e">
        <f>(K883-J883)/K883</f>
        <v>#DIV/0!</v>
      </c>
      <c r="M883" s="179"/>
      <c r="N883" s="179" t="s">
        <v>3142</v>
      </c>
      <c r="O883" s="141">
        <f>I883</f>
        <v>0</v>
      </c>
      <c r="P883" s="181" t="b">
        <f>COUNTIF('Facility Data'!$A$1:$A$1500,"*"&amp;A883&amp;"*")&gt;0</f>
        <v>0</v>
      </c>
      <c r="Q883" s="181" t="b">
        <f>COUNTIF('Account Data'!$A$1:$A$1000,"*"&amp;A883&amp;"*")&gt;0</f>
        <v>1</v>
      </c>
      <c r="R883" s="182" t="b">
        <f t="shared" ref="R883:R895" si="264">IF(OR(P883=TRUE,T883=TRUE),TRUE,FALSE)</f>
        <v>0</v>
      </c>
      <c r="S883" s="182" t="b">
        <f t="shared" ref="S883:S895" si="265">IF(OR(Q883=TRUE,T883=TRUE),TRUE,FALSE)</f>
        <v>1</v>
      </c>
      <c r="T883" s="181" t="b">
        <f>COUNTIF('New Items'!$A$1:$A$175,A883)&gt;0</f>
        <v>0</v>
      </c>
      <c r="U883" s="181" t="b">
        <f>COUNTIF(Discontinued!$A$1:$A$150,A883)&gt;0</f>
        <v>0</v>
      </c>
    </row>
    <row r="884" spans="1:21" s="8" customFormat="1" ht="11.25" x14ac:dyDescent="0.2">
      <c r="A884" s="152">
        <v>10003018</v>
      </c>
      <c r="B884" s="10" t="s">
        <v>393</v>
      </c>
      <c r="C884" s="12" t="s">
        <v>394</v>
      </c>
      <c r="D884" s="11" t="s">
        <v>2489</v>
      </c>
      <c r="E884" s="12" t="s">
        <v>779</v>
      </c>
      <c r="F884" s="13">
        <v>24</v>
      </c>
      <c r="G884" s="22">
        <f>Overview!$B$85</f>
        <v>14</v>
      </c>
      <c r="H884" s="23">
        <f t="shared" ref="H884:H890" si="266">G884-I884</f>
        <v>14</v>
      </c>
      <c r="I884" s="114">
        <f>Overview!$E$85</f>
        <v>0</v>
      </c>
      <c r="J884" s="24">
        <f t="shared" ref="J884:J890" si="267">I884/F884</f>
        <v>0</v>
      </c>
      <c r="K884" s="116">
        <f>Overview!$H$85</f>
        <v>0</v>
      </c>
      <c r="L884" s="51" t="e">
        <f t="shared" ref="L884:L890" si="268">(K884-J884)/K884</f>
        <v>#DIV/0!</v>
      </c>
      <c r="M884" s="179"/>
      <c r="N884" s="179" t="s">
        <v>3142</v>
      </c>
      <c r="O884" s="141">
        <f t="shared" ref="O884:O890" si="269">I884</f>
        <v>0</v>
      </c>
      <c r="P884" s="181" t="b">
        <f>COUNTIF('Facility Data'!$A$1:$A$1500,"*"&amp;A884&amp;"*")&gt;0</f>
        <v>0</v>
      </c>
      <c r="Q884" s="181" t="b">
        <f>COUNTIF('Account Data'!$A$1:$A$1000,"*"&amp;A884&amp;"*")&gt;0</f>
        <v>1</v>
      </c>
      <c r="R884" s="182" t="b">
        <f t="shared" si="264"/>
        <v>0</v>
      </c>
      <c r="S884" s="182" t="b">
        <f t="shared" si="265"/>
        <v>1</v>
      </c>
      <c r="T884" s="181" t="b">
        <f>COUNTIF('New Items'!$A$1:$A$175,A884)&gt;0</f>
        <v>0</v>
      </c>
      <c r="U884" s="181" t="b">
        <f>COUNTIF(Discontinued!$A$1:$A$150,A884)&gt;0</f>
        <v>0</v>
      </c>
    </row>
    <row r="885" spans="1:21" s="8" customFormat="1" ht="11.25" x14ac:dyDescent="0.2">
      <c r="A885" s="152">
        <v>10003021</v>
      </c>
      <c r="B885" s="10" t="s">
        <v>395</v>
      </c>
      <c r="C885" s="12" t="s">
        <v>396</v>
      </c>
      <c r="D885" s="11" t="s">
        <v>2490</v>
      </c>
      <c r="E885" s="12" t="s">
        <v>779</v>
      </c>
      <c r="F885" s="13">
        <v>24</v>
      </c>
      <c r="G885" s="22">
        <f>Overview!$B$85</f>
        <v>14</v>
      </c>
      <c r="H885" s="23">
        <f t="shared" si="266"/>
        <v>14</v>
      </c>
      <c r="I885" s="114">
        <f>Overview!$E$85</f>
        <v>0</v>
      </c>
      <c r="J885" s="24">
        <f t="shared" si="267"/>
        <v>0</v>
      </c>
      <c r="K885" s="116">
        <f>Overview!$H$85</f>
        <v>0</v>
      </c>
      <c r="L885" s="51" t="e">
        <f t="shared" si="268"/>
        <v>#DIV/0!</v>
      </c>
      <c r="M885" s="179"/>
      <c r="N885" s="179" t="s">
        <v>3142</v>
      </c>
      <c r="O885" s="141">
        <f t="shared" si="269"/>
        <v>0</v>
      </c>
      <c r="P885" s="181" t="b">
        <f>COUNTIF('Facility Data'!$A$1:$A$1500,"*"&amp;A885&amp;"*")&gt;0</f>
        <v>0</v>
      </c>
      <c r="Q885" s="181" t="b">
        <f>COUNTIF('Account Data'!$A$1:$A$1000,"*"&amp;A885&amp;"*")&gt;0</f>
        <v>1</v>
      </c>
      <c r="R885" s="182" t="b">
        <f t="shared" si="264"/>
        <v>0</v>
      </c>
      <c r="S885" s="182" t="b">
        <f t="shared" si="265"/>
        <v>1</v>
      </c>
      <c r="T885" s="181" t="b">
        <f>COUNTIF('New Items'!$A$1:$A$175,A885)&gt;0</f>
        <v>0</v>
      </c>
      <c r="U885" s="181" t="b">
        <f>COUNTIF(Discontinued!$A$1:$A$150,A885)&gt;0</f>
        <v>0</v>
      </c>
    </row>
    <row r="886" spans="1:21" s="8" customFormat="1" ht="11.25" x14ac:dyDescent="0.2">
      <c r="A886" s="152">
        <v>10003019</v>
      </c>
      <c r="B886" s="10" t="s">
        <v>397</v>
      </c>
      <c r="C886" s="12" t="s">
        <v>398</v>
      </c>
      <c r="D886" s="11" t="s">
        <v>2491</v>
      </c>
      <c r="E886" s="12" t="s">
        <v>779</v>
      </c>
      <c r="F886" s="13">
        <v>24</v>
      </c>
      <c r="G886" s="22">
        <f>Overview!$B$85</f>
        <v>14</v>
      </c>
      <c r="H886" s="23">
        <f t="shared" si="266"/>
        <v>14</v>
      </c>
      <c r="I886" s="114">
        <f>Overview!$E$85</f>
        <v>0</v>
      </c>
      <c r="J886" s="24">
        <f t="shared" si="267"/>
        <v>0</v>
      </c>
      <c r="K886" s="116">
        <f>Overview!$H$85</f>
        <v>0</v>
      </c>
      <c r="L886" s="51" t="e">
        <f t="shared" si="268"/>
        <v>#DIV/0!</v>
      </c>
      <c r="M886" s="179"/>
      <c r="N886" s="179" t="s">
        <v>3142</v>
      </c>
      <c r="O886" s="141">
        <f t="shared" si="269"/>
        <v>0</v>
      </c>
      <c r="P886" s="181" t="b">
        <f>COUNTIF('Facility Data'!$A$1:$A$1500,"*"&amp;A886&amp;"*")&gt;0</f>
        <v>0</v>
      </c>
      <c r="Q886" s="181" t="b">
        <f>COUNTIF('Account Data'!$A$1:$A$1000,"*"&amp;A886&amp;"*")&gt;0</f>
        <v>1</v>
      </c>
      <c r="R886" s="182" t="b">
        <f t="shared" si="264"/>
        <v>0</v>
      </c>
      <c r="S886" s="182" t="b">
        <f t="shared" si="265"/>
        <v>1</v>
      </c>
      <c r="T886" s="181" t="b">
        <f>COUNTIF('New Items'!$A$1:$A$175,A886)&gt;0</f>
        <v>0</v>
      </c>
      <c r="U886" s="181" t="b">
        <f>COUNTIF(Discontinued!$A$1:$A$150,A886)&gt;0</f>
        <v>0</v>
      </c>
    </row>
    <row r="887" spans="1:21" s="8" customFormat="1" ht="11.25" x14ac:dyDescent="0.2">
      <c r="A887" s="152">
        <v>10002815</v>
      </c>
      <c r="B887" s="10" t="s">
        <v>2492</v>
      </c>
      <c r="C887" s="12" t="s">
        <v>2493</v>
      </c>
      <c r="D887" s="11" t="s">
        <v>1326</v>
      </c>
      <c r="E887" s="12" t="s">
        <v>779</v>
      </c>
      <c r="F887" s="13">
        <v>24</v>
      </c>
      <c r="G887" s="22">
        <f>Overview!$B$85</f>
        <v>14</v>
      </c>
      <c r="H887" s="23">
        <f>G887-I887</f>
        <v>14</v>
      </c>
      <c r="I887" s="114">
        <f>Overview!$E$85</f>
        <v>0</v>
      </c>
      <c r="J887" s="24">
        <f>I887/F887</f>
        <v>0</v>
      </c>
      <c r="K887" s="116">
        <f>Overview!$H$85</f>
        <v>0</v>
      </c>
      <c r="L887" s="51" t="e">
        <f>(K887-J887)/K887</f>
        <v>#DIV/0!</v>
      </c>
      <c r="M887" s="179"/>
      <c r="N887" s="179" t="s">
        <v>3142</v>
      </c>
      <c r="O887" s="141">
        <f>I887</f>
        <v>0</v>
      </c>
      <c r="P887" s="181" t="b">
        <f>COUNTIF('Facility Data'!$A$1:$A$1500,"*"&amp;A887&amp;"*")&gt;0</f>
        <v>0</v>
      </c>
      <c r="Q887" s="181" t="b">
        <f>COUNTIF('Account Data'!$A$1:$A$1000,"*"&amp;A887&amp;"*")&gt;0</f>
        <v>0</v>
      </c>
      <c r="R887" s="182" t="b">
        <f t="shared" si="264"/>
        <v>0</v>
      </c>
      <c r="S887" s="182" t="b">
        <f t="shared" si="265"/>
        <v>0</v>
      </c>
      <c r="T887" s="181" t="b">
        <f>COUNTIF('New Items'!$A$1:$A$175,A887)&gt;0</f>
        <v>0</v>
      </c>
      <c r="U887" s="181" t="b">
        <f>COUNTIF(Discontinued!$A$1:$A$150,A887)&gt;0</f>
        <v>0</v>
      </c>
    </row>
    <row r="888" spans="1:21" s="8" customFormat="1" ht="11.25" x14ac:dyDescent="0.2">
      <c r="A888" s="152">
        <v>10002816</v>
      </c>
      <c r="B888" s="10" t="s">
        <v>2494</v>
      </c>
      <c r="C888" s="12" t="s">
        <v>2495</v>
      </c>
      <c r="D888" s="11" t="s">
        <v>1327</v>
      </c>
      <c r="E888" s="12" t="s">
        <v>779</v>
      </c>
      <c r="F888" s="13">
        <v>24</v>
      </c>
      <c r="G888" s="22">
        <f>Overview!$B$85</f>
        <v>14</v>
      </c>
      <c r="H888" s="23">
        <f>G888-I888</f>
        <v>14</v>
      </c>
      <c r="I888" s="114">
        <f>Overview!$E$85</f>
        <v>0</v>
      </c>
      <c r="J888" s="24">
        <f>I888/F888</f>
        <v>0</v>
      </c>
      <c r="K888" s="116">
        <f>Overview!$H$85</f>
        <v>0</v>
      </c>
      <c r="L888" s="51" t="e">
        <f>(K888-J888)/K888</f>
        <v>#DIV/0!</v>
      </c>
      <c r="M888" s="179"/>
      <c r="N888" s="179" t="s">
        <v>3142</v>
      </c>
      <c r="O888" s="141">
        <f>I888</f>
        <v>0</v>
      </c>
      <c r="P888" s="181" t="b">
        <f>COUNTIF('Facility Data'!$A$1:$A$1500,"*"&amp;A888&amp;"*")&gt;0</f>
        <v>0</v>
      </c>
      <c r="Q888" s="181" t="b">
        <f>COUNTIF('Account Data'!$A$1:$A$1000,"*"&amp;A888&amp;"*")&gt;0</f>
        <v>0</v>
      </c>
      <c r="R888" s="182" t="b">
        <f t="shared" si="264"/>
        <v>0</v>
      </c>
      <c r="S888" s="182" t="b">
        <f t="shared" si="265"/>
        <v>0</v>
      </c>
      <c r="T888" s="181" t="b">
        <f>COUNTIF('New Items'!$A$1:$A$175,A888)&gt;0</f>
        <v>0</v>
      </c>
      <c r="U888" s="181" t="b">
        <f>COUNTIF(Discontinued!$A$1:$A$150,A888)&gt;0</f>
        <v>0</v>
      </c>
    </row>
    <row r="889" spans="1:21" s="8" customFormat="1" ht="11.25" x14ac:dyDescent="0.2">
      <c r="A889" s="152">
        <v>10002812</v>
      </c>
      <c r="B889" s="10" t="s">
        <v>2496</v>
      </c>
      <c r="C889" s="12" t="s">
        <v>2497</v>
      </c>
      <c r="D889" s="11" t="s">
        <v>683</v>
      </c>
      <c r="E889" s="12" t="s">
        <v>779</v>
      </c>
      <c r="F889" s="13">
        <v>24</v>
      </c>
      <c r="G889" s="22">
        <f>Overview!$B$85</f>
        <v>14</v>
      </c>
      <c r="H889" s="23">
        <f t="shared" si="266"/>
        <v>14</v>
      </c>
      <c r="I889" s="114">
        <f>Overview!$E$85</f>
        <v>0</v>
      </c>
      <c r="J889" s="24">
        <f t="shared" si="267"/>
        <v>0</v>
      </c>
      <c r="K889" s="116">
        <f>Overview!$H$85</f>
        <v>0</v>
      </c>
      <c r="L889" s="51" t="e">
        <f t="shared" si="268"/>
        <v>#DIV/0!</v>
      </c>
      <c r="M889" s="179"/>
      <c r="N889" s="179" t="s">
        <v>3142</v>
      </c>
      <c r="O889" s="141">
        <f t="shared" si="269"/>
        <v>0</v>
      </c>
      <c r="P889" s="181" t="b">
        <f>COUNTIF('Facility Data'!$A$1:$A$1500,"*"&amp;A889&amp;"*")&gt;0</f>
        <v>0</v>
      </c>
      <c r="Q889" s="181" t="b">
        <f>COUNTIF('Account Data'!$A$1:$A$1000,"*"&amp;A889&amp;"*")&gt;0</f>
        <v>0</v>
      </c>
      <c r="R889" s="182" t="b">
        <f t="shared" si="264"/>
        <v>0</v>
      </c>
      <c r="S889" s="182" t="b">
        <f t="shared" si="265"/>
        <v>0</v>
      </c>
      <c r="T889" s="181" t="b">
        <f>COUNTIF('New Items'!$A$1:$A$175,A889)&gt;0</f>
        <v>0</v>
      </c>
      <c r="U889" s="181" t="b">
        <f>COUNTIF(Discontinued!$A$1:$A$150,A889)&gt;0</f>
        <v>0</v>
      </c>
    </row>
    <row r="890" spans="1:21" s="8" customFormat="1" ht="11.25" x14ac:dyDescent="0.2">
      <c r="A890" s="152">
        <v>10074474</v>
      </c>
      <c r="B890" s="10" t="s">
        <v>1444</v>
      </c>
      <c r="C890" s="12" t="s">
        <v>1445</v>
      </c>
      <c r="D890" s="11" t="s">
        <v>684</v>
      </c>
      <c r="E890" s="12" t="s">
        <v>779</v>
      </c>
      <c r="F890" s="13">
        <v>24</v>
      </c>
      <c r="G890" s="22">
        <f>Overview!$B$85</f>
        <v>14</v>
      </c>
      <c r="H890" s="23">
        <f t="shared" si="266"/>
        <v>14</v>
      </c>
      <c r="I890" s="114">
        <f>Overview!$E$85</f>
        <v>0</v>
      </c>
      <c r="J890" s="24">
        <f t="shared" si="267"/>
        <v>0</v>
      </c>
      <c r="K890" s="116">
        <f>Overview!$H$85</f>
        <v>0</v>
      </c>
      <c r="L890" s="51" t="e">
        <f t="shared" si="268"/>
        <v>#DIV/0!</v>
      </c>
      <c r="M890" s="179"/>
      <c r="N890" s="179" t="s">
        <v>3142</v>
      </c>
      <c r="O890" s="141">
        <f t="shared" si="269"/>
        <v>0</v>
      </c>
      <c r="P890" s="181" t="b">
        <f>COUNTIF('Facility Data'!$A$1:$A$1500,"*"&amp;A890&amp;"*")&gt;0</f>
        <v>0</v>
      </c>
      <c r="Q890" s="181" t="b">
        <f>COUNTIF('Account Data'!$A$1:$A$1000,"*"&amp;A890&amp;"*")&gt;0</f>
        <v>0</v>
      </c>
      <c r="R890" s="182" t="b">
        <f t="shared" si="264"/>
        <v>0</v>
      </c>
      <c r="S890" s="182" t="b">
        <f t="shared" si="265"/>
        <v>0</v>
      </c>
      <c r="T890" s="181" t="b">
        <f>COUNTIF('New Items'!$A$1:$A$175,A890)&gt;0</f>
        <v>0</v>
      </c>
      <c r="U890" s="181" t="b">
        <f>COUNTIF(Discontinued!$A$1:$A$150,A890)&gt;0</f>
        <v>0</v>
      </c>
    </row>
    <row r="891" spans="1:21" s="8" customFormat="1" ht="11.25" x14ac:dyDescent="0.2">
      <c r="A891" s="152">
        <v>10002817</v>
      </c>
      <c r="B891" s="10" t="s">
        <v>2498</v>
      </c>
      <c r="C891" s="12" t="s">
        <v>2499</v>
      </c>
      <c r="D891" s="11" t="s">
        <v>685</v>
      </c>
      <c r="E891" s="12" t="s">
        <v>779</v>
      </c>
      <c r="F891" s="13">
        <v>24</v>
      </c>
      <c r="G891" s="22">
        <f>Overview!$B$85</f>
        <v>14</v>
      </c>
      <c r="H891" s="23">
        <f>G891-I891</f>
        <v>14</v>
      </c>
      <c r="I891" s="114">
        <f>Overview!$E$85</f>
        <v>0</v>
      </c>
      <c r="J891" s="24">
        <f>I891/F891</f>
        <v>0</v>
      </c>
      <c r="K891" s="116">
        <f>Overview!$H$85</f>
        <v>0</v>
      </c>
      <c r="L891" s="51" t="e">
        <f>(K891-J891)/K891</f>
        <v>#DIV/0!</v>
      </c>
      <c r="M891" s="179"/>
      <c r="N891" s="179" t="s">
        <v>3142</v>
      </c>
      <c r="O891" s="141">
        <f>I891</f>
        <v>0</v>
      </c>
      <c r="P891" s="181" t="b">
        <f>COUNTIF('Facility Data'!$A$1:$A$1500,"*"&amp;A891&amp;"*")&gt;0</f>
        <v>0</v>
      </c>
      <c r="Q891" s="181" t="b">
        <f>COUNTIF('Account Data'!$A$1:$A$1000,"*"&amp;A891&amp;"*")&gt;0</f>
        <v>0</v>
      </c>
      <c r="R891" s="182" t="b">
        <f t="shared" si="264"/>
        <v>0</v>
      </c>
      <c r="S891" s="182" t="b">
        <f t="shared" si="265"/>
        <v>0</v>
      </c>
      <c r="T891" s="181" t="b">
        <f>COUNTIF('New Items'!$A$1:$A$175,A891)&gt;0</f>
        <v>0</v>
      </c>
      <c r="U891" s="181" t="b">
        <f>COUNTIF(Discontinued!$A$1:$A$150,A891)&gt;0</f>
        <v>0</v>
      </c>
    </row>
    <row r="892" spans="1:21" s="8" customFormat="1" ht="11.25" x14ac:dyDescent="0.2">
      <c r="A892" s="152">
        <v>10074467</v>
      </c>
      <c r="B892" s="10" t="s">
        <v>1446</v>
      </c>
      <c r="C892" s="12" t="s">
        <v>1447</v>
      </c>
      <c r="D892" s="11" t="s">
        <v>689</v>
      </c>
      <c r="E892" s="12" t="s">
        <v>779</v>
      </c>
      <c r="F892" s="13">
        <v>24</v>
      </c>
      <c r="G892" s="22">
        <f>Overview!$B$85</f>
        <v>14</v>
      </c>
      <c r="H892" s="23">
        <f>G892-I892</f>
        <v>14</v>
      </c>
      <c r="I892" s="114">
        <f>Overview!$E$85</f>
        <v>0</v>
      </c>
      <c r="J892" s="24">
        <f>I892/F892</f>
        <v>0</v>
      </c>
      <c r="K892" s="116">
        <f>Overview!$H$85</f>
        <v>0</v>
      </c>
      <c r="L892" s="51" t="e">
        <f>(K892-J892)/K892</f>
        <v>#DIV/0!</v>
      </c>
      <c r="M892" s="179"/>
      <c r="N892" s="179" t="s">
        <v>3142</v>
      </c>
      <c r="O892" s="141">
        <f>I892</f>
        <v>0</v>
      </c>
      <c r="P892" s="181" t="b">
        <f>COUNTIF('Facility Data'!$A$1:$A$1500,"*"&amp;A892&amp;"*")&gt;0</f>
        <v>0</v>
      </c>
      <c r="Q892" s="181" t="b">
        <f>COUNTIF('Account Data'!$A$1:$A$1000,"*"&amp;A892&amp;"*")&gt;0</f>
        <v>0</v>
      </c>
      <c r="R892" s="182" t="b">
        <f t="shared" si="264"/>
        <v>0</v>
      </c>
      <c r="S892" s="182" t="b">
        <f t="shared" si="265"/>
        <v>0</v>
      </c>
      <c r="T892" s="181" t="b">
        <f>COUNTIF('New Items'!$A$1:$A$175,A892)&gt;0</f>
        <v>0</v>
      </c>
      <c r="U892" s="181" t="b">
        <f>COUNTIF(Discontinued!$A$1:$A$150,A892)&gt;0</f>
        <v>0</v>
      </c>
    </row>
    <row r="893" spans="1:21" s="8" customFormat="1" ht="11.25" x14ac:dyDescent="0.2">
      <c r="A893" s="152">
        <v>10078575</v>
      </c>
      <c r="B893" s="10" t="s">
        <v>1448</v>
      </c>
      <c r="C893" s="12" t="s">
        <v>1449</v>
      </c>
      <c r="D893" s="11" t="s">
        <v>1443</v>
      </c>
      <c r="E893" s="12" t="s">
        <v>779</v>
      </c>
      <c r="F893" s="13">
        <v>24</v>
      </c>
      <c r="G893" s="22">
        <f>Overview!$B$85</f>
        <v>14</v>
      </c>
      <c r="H893" s="23">
        <f>G893-I893</f>
        <v>14</v>
      </c>
      <c r="I893" s="114">
        <f>Overview!$E$85</f>
        <v>0</v>
      </c>
      <c r="J893" s="24">
        <f>I893/F893</f>
        <v>0</v>
      </c>
      <c r="K893" s="116">
        <f>Overview!$H$85</f>
        <v>0</v>
      </c>
      <c r="L893" s="51" t="e">
        <f>(K893-J893)/K893</f>
        <v>#DIV/0!</v>
      </c>
      <c r="M893" s="179"/>
      <c r="N893" s="179" t="s">
        <v>3142</v>
      </c>
      <c r="O893" s="141">
        <f>I893</f>
        <v>0</v>
      </c>
      <c r="P893" s="181" t="b">
        <f>COUNTIF('Facility Data'!$A$1:$A$1500,"*"&amp;A893&amp;"*")&gt;0</f>
        <v>0</v>
      </c>
      <c r="Q893" s="181" t="b">
        <f>COUNTIF('Account Data'!$A$1:$A$1000,"*"&amp;A893&amp;"*")&gt;0</f>
        <v>0</v>
      </c>
      <c r="R893" s="182" t="b">
        <f t="shared" si="264"/>
        <v>0</v>
      </c>
      <c r="S893" s="182" t="b">
        <f t="shared" si="265"/>
        <v>0</v>
      </c>
      <c r="T893" s="181" t="b">
        <f>COUNTIF('New Items'!$A$1:$A$175,A893)&gt;0</f>
        <v>0</v>
      </c>
      <c r="U893" s="181" t="b">
        <f>COUNTIF(Discontinued!$A$1:$A$150,A893)&gt;0</f>
        <v>0</v>
      </c>
    </row>
    <row r="894" spans="1:21" s="8" customFormat="1" ht="11.25" x14ac:dyDescent="0.2">
      <c r="A894" s="152">
        <v>10002813</v>
      </c>
      <c r="B894" s="10" t="s">
        <v>2500</v>
      </c>
      <c r="C894" s="12" t="s">
        <v>2501</v>
      </c>
      <c r="D894" s="11" t="s">
        <v>691</v>
      </c>
      <c r="E894" s="12" t="s">
        <v>779</v>
      </c>
      <c r="F894" s="13">
        <v>24</v>
      </c>
      <c r="G894" s="22">
        <f>Overview!$B$85</f>
        <v>14</v>
      </c>
      <c r="H894" s="23">
        <f>G894-I894</f>
        <v>14</v>
      </c>
      <c r="I894" s="114">
        <f>Overview!$E$85</f>
        <v>0</v>
      </c>
      <c r="J894" s="24">
        <f>I894/F894</f>
        <v>0</v>
      </c>
      <c r="K894" s="116">
        <f>Overview!$H$85</f>
        <v>0</v>
      </c>
      <c r="L894" s="51" t="e">
        <f>(K894-J894)/K894</f>
        <v>#DIV/0!</v>
      </c>
      <c r="M894" s="179"/>
      <c r="N894" s="179" t="s">
        <v>3142</v>
      </c>
      <c r="O894" s="141">
        <f>I894</f>
        <v>0</v>
      </c>
      <c r="P894" s="181" t="b">
        <f>COUNTIF('Facility Data'!$A$1:$A$1500,"*"&amp;A894&amp;"*")&gt;0</f>
        <v>0</v>
      </c>
      <c r="Q894" s="181" t="b">
        <f>COUNTIF('Account Data'!$A$1:$A$1000,"*"&amp;A894&amp;"*")&gt;0</f>
        <v>0</v>
      </c>
      <c r="R894" s="182" t="b">
        <f t="shared" si="264"/>
        <v>0</v>
      </c>
      <c r="S894" s="182" t="b">
        <f t="shared" si="265"/>
        <v>0</v>
      </c>
      <c r="T894" s="181" t="b">
        <f>COUNTIF('New Items'!$A$1:$A$175,A894)&gt;0</f>
        <v>0</v>
      </c>
      <c r="U894" s="181" t="b">
        <f>COUNTIF(Discontinued!$A$1:$A$150,A894)&gt;0</f>
        <v>0</v>
      </c>
    </row>
    <row r="895" spans="1:21" s="8" customFormat="1" ht="12" thickBot="1" x14ac:dyDescent="0.25">
      <c r="A895" s="152">
        <v>10002814</v>
      </c>
      <c r="B895" s="10" t="s">
        <v>2502</v>
      </c>
      <c r="C895" s="12" t="s">
        <v>2503</v>
      </c>
      <c r="D895" s="11" t="s">
        <v>692</v>
      </c>
      <c r="E895" s="12" t="s">
        <v>779</v>
      </c>
      <c r="F895" s="13">
        <v>24</v>
      </c>
      <c r="G895" s="22">
        <f>Overview!$B$85</f>
        <v>14</v>
      </c>
      <c r="H895" s="23">
        <f>G895-I895</f>
        <v>14</v>
      </c>
      <c r="I895" s="114">
        <f>Overview!$E$85</f>
        <v>0</v>
      </c>
      <c r="J895" s="24">
        <f>I895/F895</f>
        <v>0</v>
      </c>
      <c r="K895" s="116">
        <f>Overview!$H$85</f>
        <v>0</v>
      </c>
      <c r="L895" s="51" t="e">
        <f>(K895-J895)/K895</f>
        <v>#DIV/0!</v>
      </c>
      <c r="M895" s="179"/>
      <c r="N895" s="179" t="s">
        <v>3142</v>
      </c>
      <c r="O895" s="141">
        <f>I895</f>
        <v>0</v>
      </c>
      <c r="P895" s="181" t="b">
        <f>COUNTIF('Facility Data'!$A$1:$A$1500,"*"&amp;A895&amp;"*")&gt;0</f>
        <v>0</v>
      </c>
      <c r="Q895" s="181" t="b">
        <f>COUNTIF('Account Data'!$A$1:$A$1000,"*"&amp;A895&amp;"*")&gt;0</f>
        <v>0</v>
      </c>
      <c r="R895" s="182" t="b">
        <f t="shared" si="264"/>
        <v>0</v>
      </c>
      <c r="S895" s="182" t="b">
        <f t="shared" si="265"/>
        <v>0</v>
      </c>
      <c r="T895" s="181" t="b">
        <f>COUNTIF('New Items'!$A$1:$A$175,A895)&gt;0</f>
        <v>0</v>
      </c>
      <c r="U895" s="181" t="b">
        <f>COUNTIF(Discontinued!$A$1:$A$150,A895)&gt;0</f>
        <v>0</v>
      </c>
    </row>
    <row r="896" spans="1:21" s="8" customFormat="1" ht="13.5" thickBot="1" x14ac:dyDescent="0.25">
      <c r="A896" s="300" t="s">
        <v>3305</v>
      </c>
      <c r="B896" s="301"/>
      <c r="C896" s="301"/>
      <c r="D896" s="301"/>
      <c r="E896" s="301"/>
      <c r="F896" s="301"/>
      <c r="G896" s="301"/>
      <c r="H896" s="301"/>
      <c r="I896" s="301"/>
      <c r="J896" s="301"/>
      <c r="K896" s="301"/>
      <c r="L896" s="302"/>
      <c r="M896" s="179" t="s">
        <v>4361</v>
      </c>
      <c r="N896" s="179" t="s">
        <v>3143</v>
      </c>
      <c r="O896" s="141">
        <f>AVERAGE(O897:O899)</f>
        <v>0</v>
      </c>
      <c r="P896" s="181" t="b">
        <f>COUNTIF(P897:P899,TRUE)&gt;0</f>
        <v>0</v>
      </c>
      <c r="Q896" s="181" t="b">
        <f>COUNTIF(Q897:Q899,TRUE)&gt;0</f>
        <v>0</v>
      </c>
      <c r="R896" s="181" t="b">
        <f>COUNTIF(R897:R899,TRUE)&gt;0</f>
        <v>0</v>
      </c>
      <c r="S896" s="181" t="b">
        <f>COUNTIF(S897:S899,TRUE)&gt;0</f>
        <v>0</v>
      </c>
      <c r="T896" s="181" t="b">
        <f>COUNTIF(T897:T899,TRUE)&gt;0</f>
        <v>0</v>
      </c>
      <c r="U896" s="181"/>
    </row>
    <row r="897" spans="1:21" s="8" customFormat="1" ht="11.25" x14ac:dyDescent="0.2">
      <c r="A897" s="152">
        <v>10002588</v>
      </c>
      <c r="B897" s="10" t="s">
        <v>2504</v>
      </c>
      <c r="C897" s="12" t="s">
        <v>2505</v>
      </c>
      <c r="D897" s="11" t="s">
        <v>1326</v>
      </c>
      <c r="E897" s="12" t="s">
        <v>786</v>
      </c>
      <c r="F897" s="13">
        <v>4</v>
      </c>
      <c r="G897" s="98">
        <f>Overview!$B$86</f>
        <v>13.75</v>
      </c>
      <c r="H897" s="99">
        <f>G897-I897</f>
        <v>13.75</v>
      </c>
      <c r="I897" s="169">
        <f>Overview!$E$86</f>
        <v>0</v>
      </c>
      <c r="J897" s="100">
        <f>I897/F897</f>
        <v>0</v>
      </c>
      <c r="K897" s="171">
        <f>Overview!$H$86</f>
        <v>0</v>
      </c>
      <c r="L897" s="102" t="e">
        <f>(K897-J897)/K897</f>
        <v>#DIV/0!</v>
      </c>
      <c r="M897" s="179"/>
      <c r="N897" s="179" t="s">
        <v>3143</v>
      </c>
      <c r="O897" s="141">
        <f>I897</f>
        <v>0</v>
      </c>
      <c r="P897" s="181" t="b">
        <f>COUNTIF('Facility Data'!$A$1:$A$1500,"*"&amp;A897&amp;"*")&gt;0</f>
        <v>0</v>
      </c>
      <c r="Q897" s="181" t="b">
        <f>COUNTIF('Account Data'!$A$1:$A$1000,"*"&amp;A897&amp;"*")&gt;0</f>
        <v>0</v>
      </c>
      <c r="R897" s="182" t="b">
        <f>IF(OR(P897=TRUE,T897=TRUE),TRUE,FALSE)</f>
        <v>0</v>
      </c>
      <c r="S897" s="182" t="b">
        <f>IF(OR(Q897=TRUE,T897=TRUE),TRUE,FALSE)</f>
        <v>0</v>
      </c>
      <c r="T897" s="181" t="b">
        <f>COUNTIF('New Items'!$A$1:$A$175,A897)&gt;0</f>
        <v>0</v>
      </c>
      <c r="U897" s="181" t="b">
        <f>COUNTIF(Discontinued!$A$1:$A$150,A897)&gt;0</f>
        <v>0</v>
      </c>
    </row>
    <row r="898" spans="1:21" s="8" customFormat="1" ht="11.25" x14ac:dyDescent="0.2">
      <c r="A898" s="152">
        <v>10002695</v>
      </c>
      <c r="B898" s="10" t="s">
        <v>2506</v>
      </c>
      <c r="C898" s="12" t="s">
        <v>2507</v>
      </c>
      <c r="D898" s="11" t="s">
        <v>691</v>
      </c>
      <c r="E898" s="12" t="s">
        <v>786</v>
      </c>
      <c r="F898" s="13">
        <v>4</v>
      </c>
      <c r="G898" s="98">
        <f>Overview!$B$86</f>
        <v>13.75</v>
      </c>
      <c r="H898" s="99">
        <f>G898-I898</f>
        <v>13.75</v>
      </c>
      <c r="I898" s="169">
        <f>Overview!$E$86</f>
        <v>0</v>
      </c>
      <c r="J898" s="100">
        <f>I898/F898</f>
        <v>0</v>
      </c>
      <c r="K898" s="171">
        <f>Overview!$H$86</f>
        <v>0</v>
      </c>
      <c r="L898" s="102" t="e">
        <f>(K898-J898)/K898</f>
        <v>#DIV/0!</v>
      </c>
      <c r="M898" s="179"/>
      <c r="N898" s="179" t="s">
        <v>3143</v>
      </c>
      <c r="O898" s="141">
        <f>I898</f>
        <v>0</v>
      </c>
      <c r="P898" s="181" t="b">
        <f>COUNTIF('Facility Data'!$A$1:$A$1500,"*"&amp;A898&amp;"*")&gt;0</f>
        <v>0</v>
      </c>
      <c r="Q898" s="181" t="b">
        <f>COUNTIF('Account Data'!$A$1:$A$1000,"*"&amp;A898&amp;"*")&gt;0</f>
        <v>0</v>
      </c>
      <c r="R898" s="182" t="b">
        <f>IF(OR(P898=TRUE,T898=TRUE),TRUE,FALSE)</f>
        <v>0</v>
      </c>
      <c r="S898" s="182" t="b">
        <f>IF(OR(Q898=TRUE,T898=TRUE),TRUE,FALSE)</f>
        <v>0</v>
      </c>
      <c r="T898" s="181" t="b">
        <f>COUNTIF('New Items'!$A$1:$A$175,A898)&gt;0</f>
        <v>0</v>
      </c>
      <c r="U898" s="181" t="b">
        <f>COUNTIF(Discontinued!$A$1:$A$150,A898)&gt;0</f>
        <v>0</v>
      </c>
    </row>
    <row r="899" spans="1:21" s="8" customFormat="1" ht="12" thickBot="1" x14ac:dyDescent="0.25">
      <c r="A899" s="152">
        <v>10002577</v>
      </c>
      <c r="B899" s="10" t="s">
        <v>2508</v>
      </c>
      <c r="C899" s="12" t="s">
        <v>2509</v>
      </c>
      <c r="D899" s="11" t="s">
        <v>693</v>
      </c>
      <c r="E899" s="12" t="s">
        <v>786</v>
      </c>
      <c r="F899" s="13">
        <v>4</v>
      </c>
      <c r="G899" s="98">
        <f>Overview!$B$86</f>
        <v>13.75</v>
      </c>
      <c r="H899" s="99">
        <f>G899-I899</f>
        <v>13.75</v>
      </c>
      <c r="I899" s="169">
        <f>Overview!$E$86</f>
        <v>0</v>
      </c>
      <c r="J899" s="100">
        <f>I899/F899</f>
        <v>0</v>
      </c>
      <c r="K899" s="171">
        <f>Overview!$H$86</f>
        <v>0</v>
      </c>
      <c r="L899" s="102" t="e">
        <f>(K899-J899)/K899</f>
        <v>#DIV/0!</v>
      </c>
      <c r="M899" s="179"/>
      <c r="N899" s="179" t="s">
        <v>3143</v>
      </c>
      <c r="O899" s="141">
        <f>I899</f>
        <v>0</v>
      </c>
      <c r="P899" s="181" t="b">
        <f>COUNTIF('Facility Data'!$A$1:$A$1500,"*"&amp;A899&amp;"*")&gt;0</f>
        <v>0</v>
      </c>
      <c r="Q899" s="181" t="b">
        <f>COUNTIF('Account Data'!$A$1:$A$1000,"*"&amp;A899&amp;"*")&gt;0</f>
        <v>0</v>
      </c>
      <c r="R899" s="182" t="b">
        <f>IF(OR(P899=TRUE,T899=TRUE),TRUE,FALSE)</f>
        <v>0</v>
      </c>
      <c r="S899" s="182" t="b">
        <f>IF(OR(Q899=TRUE,T899=TRUE),TRUE,FALSE)</f>
        <v>0</v>
      </c>
      <c r="T899" s="181" t="b">
        <f>COUNTIF('New Items'!$A$1:$A$175,A899)&gt;0</f>
        <v>0</v>
      </c>
      <c r="U899" s="181" t="b">
        <f>COUNTIF(Discontinued!$A$1:$A$150,A899)&gt;0</f>
        <v>0</v>
      </c>
    </row>
    <row r="900" spans="1:21" s="8" customFormat="1" ht="13.5" thickBot="1" x14ac:dyDescent="0.25">
      <c r="A900" s="300" t="s">
        <v>2931</v>
      </c>
      <c r="B900" s="301"/>
      <c r="C900" s="301"/>
      <c r="D900" s="301"/>
      <c r="E900" s="301"/>
      <c r="F900" s="301"/>
      <c r="G900" s="301"/>
      <c r="H900" s="301"/>
      <c r="I900" s="301"/>
      <c r="J900" s="301"/>
      <c r="K900" s="301"/>
      <c r="L900" s="302"/>
      <c r="M900" s="179" t="s">
        <v>4361</v>
      </c>
      <c r="N900" s="179" t="s">
        <v>3139</v>
      </c>
      <c r="O900" s="141">
        <f>AVERAGE(O901:O924)</f>
        <v>0</v>
      </c>
      <c r="P900" s="181" t="b">
        <f>COUNTIF(P901:P924,TRUE)&gt;0</f>
        <v>0</v>
      </c>
      <c r="Q900" s="181" t="b">
        <f>COUNTIF(Q901:Q924,TRUE)&gt;0</f>
        <v>1</v>
      </c>
      <c r="R900" s="181" t="b">
        <f>COUNTIF(R901:R924,TRUE)&gt;0</f>
        <v>1</v>
      </c>
      <c r="S900" s="181" t="b">
        <f>COUNTIF(S901:S924,TRUE)&gt;0</f>
        <v>1</v>
      </c>
      <c r="T900" s="181" t="b">
        <f>COUNTIF(T901:T924,TRUE)&gt;0</f>
        <v>1</v>
      </c>
      <c r="U900" s="181"/>
    </row>
    <row r="901" spans="1:21" s="8" customFormat="1" ht="11.25" x14ac:dyDescent="0.2">
      <c r="A901" s="290">
        <v>10136503</v>
      </c>
      <c r="B901" s="10" t="s">
        <v>4532</v>
      </c>
      <c r="C901" s="12" t="s">
        <v>1335</v>
      </c>
      <c r="D901" s="11" t="s">
        <v>1326</v>
      </c>
      <c r="E901" s="12" t="s">
        <v>772</v>
      </c>
      <c r="F901" s="13">
        <v>12</v>
      </c>
      <c r="G901" s="22">
        <f>Overview!$B$87</f>
        <v>15</v>
      </c>
      <c r="H901" s="23">
        <f t="shared" ref="H901:H908" si="270">G901-I901</f>
        <v>15</v>
      </c>
      <c r="I901" s="114">
        <f>Overview!$E$87</f>
        <v>0</v>
      </c>
      <c r="J901" s="24">
        <f>I901/F901</f>
        <v>0</v>
      </c>
      <c r="K901" s="116">
        <f>Overview!$H$87</f>
        <v>0</v>
      </c>
      <c r="L901" s="51" t="e">
        <f>(K901-J901)/K901</f>
        <v>#DIV/0!</v>
      </c>
      <c r="M901" s="179"/>
      <c r="N901" s="179" t="s">
        <v>3139</v>
      </c>
      <c r="O901" s="141">
        <f>I901</f>
        <v>0</v>
      </c>
      <c r="P901" s="181" t="b">
        <f>COUNTIF('Facility Data'!$A$1:$A$1500,"*"&amp;A901&amp;"*")&gt;0</f>
        <v>0</v>
      </c>
      <c r="Q901" s="181" t="b">
        <f>COUNTIF('Account Data'!$A$1:$A$1000,"*"&amp;A901&amp;"*")&gt;0</f>
        <v>0</v>
      </c>
      <c r="R901" s="182" t="b">
        <f t="shared" ref="R901:R924" si="271">IF(OR(P901=TRUE,T901=TRUE),TRUE,FALSE)</f>
        <v>1</v>
      </c>
      <c r="S901" s="182" t="b">
        <f t="shared" ref="S901:S924" si="272">IF(OR(Q901=TRUE,T901=TRUE),TRUE,FALSE)</f>
        <v>1</v>
      </c>
      <c r="T901" s="181" t="b">
        <f>COUNTIF('New Items'!$A$1:$A$175,A901)&gt;0</f>
        <v>1</v>
      </c>
      <c r="U901" s="181" t="b">
        <f>COUNTIF(Discontinued!$A$1:$A$150,A901)&gt;0</f>
        <v>0</v>
      </c>
    </row>
    <row r="902" spans="1:21" s="8" customFormat="1" ht="11.25" x14ac:dyDescent="0.2">
      <c r="A902" s="290">
        <v>10136498</v>
      </c>
      <c r="B902" s="10" t="s">
        <v>4537</v>
      </c>
      <c r="C902" s="12" t="s">
        <v>1337</v>
      </c>
      <c r="D902" s="11" t="s">
        <v>1327</v>
      </c>
      <c r="E902" s="12" t="s">
        <v>772</v>
      </c>
      <c r="F902" s="13">
        <v>12</v>
      </c>
      <c r="G902" s="22">
        <f>Overview!$B$87</f>
        <v>15</v>
      </c>
      <c r="H902" s="23">
        <f t="shared" si="270"/>
        <v>15</v>
      </c>
      <c r="I902" s="114">
        <f>Overview!$E$87</f>
        <v>0</v>
      </c>
      <c r="J902" s="24">
        <f>I902/F902</f>
        <v>0</v>
      </c>
      <c r="K902" s="116">
        <f>Overview!$H$87</f>
        <v>0</v>
      </c>
      <c r="L902" s="51" t="e">
        <f>(K902-J902)/K902</f>
        <v>#DIV/0!</v>
      </c>
      <c r="M902" s="179"/>
      <c r="N902" s="179" t="s">
        <v>3139</v>
      </c>
      <c r="O902" s="141">
        <f t="shared" ref="O902:O924" si="273">I902</f>
        <v>0</v>
      </c>
      <c r="P902" s="181" t="b">
        <f>COUNTIF('Facility Data'!$A$1:$A$1500,"*"&amp;A902&amp;"*")&gt;0</f>
        <v>0</v>
      </c>
      <c r="Q902" s="181" t="b">
        <f>COUNTIF('Account Data'!$A$1:$A$1000,"*"&amp;A902&amp;"*")&gt;0</f>
        <v>0</v>
      </c>
      <c r="R902" s="182" t="b">
        <f t="shared" si="271"/>
        <v>1</v>
      </c>
      <c r="S902" s="182" t="b">
        <f t="shared" si="272"/>
        <v>1</v>
      </c>
      <c r="T902" s="181" t="b">
        <f>COUNTIF('New Items'!$A$1:$A$175,A902)&gt;0</f>
        <v>1</v>
      </c>
      <c r="U902" s="181" t="b">
        <f>COUNTIF(Discontinued!$A$1:$A$150,A902)&gt;0</f>
        <v>0</v>
      </c>
    </row>
    <row r="903" spans="1:21" s="8" customFormat="1" ht="11.25" x14ac:dyDescent="0.2">
      <c r="A903" s="290">
        <v>10136509</v>
      </c>
      <c r="B903" s="10" t="s">
        <v>4528</v>
      </c>
      <c r="C903" s="12" t="s">
        <v>853</v>
      </c>
      <c r="D903" s="11" t="s">
        <v>683</v>
      </c>
      <c r="E903" s="12" t="s">
        <v>772</v>
      </c>
      <c r="F903" s="13">
        <v>12</v>
      </c>
      <c r="G903" s="22">
        <f>Overview!$B$87</f>
        <v>15</v>
      </c>
      <c r="H903" s="23">
        <f t="shared" si="270"/>
        <v>15</v>
      </c>
      <c r="I903" s="114">
        <f>Overview!$E$87</f>
        <v>0</v>
      </c>
      <c r="J903" s="24">
        <f t="shared" ref="J903:J916" si="274">I903/F903</f>
        <v>0</v>
      </c>
      <c r="K903" s="116">
        <f>Overview!$H$87</f>
        <v>0</v>
      </c>
      <c r="L903" s="51" t="e">
        <f t="shared" ref="L903:L916" si="275">(K903-J903)/K903</f>
        <v>#DIV/0!</v>
      </c>
      <c r="M903" s="179"/>
      <c r="N903" s="179" t="s">
        <v>3139</v>
      </c>
      <c r="O903" s="141">
        <f t="shared" si="273"/>
        <v>0</v>
      </c>
      <c r="P903" s="181" t="b">
        <f>COUNTIF('Facility Data'!$A$1:$A$1500,"*"&amp;A903&amp;"*")&gt;0</f>
        <v>0</v>
      </c>
      <c r="Q903" s="181" t="b">
        <f>COUNTIF('Account Data'!$A$1:$A$1000,"*"&amp;A903&amp;"*")&gt;0</f>
        <v>0</v>
      </c>
      <c r="R903" s="182" t="b">
        <f t="shared" si="271"/>
        <v>1</v>
      </c>
      <c r="S903" s="182" t="b">
        <f t="shared" si="272"/>
        <v>1</v>
      </c>
      <c r="T903" s="181" t="b">
        <f>COUNTIF('New Items'!$A$1:$A$175,A903)&gt;0</f>
        <v>1</v>
      </c>
      <c r="U903" s="181" t="b">
        <f>COUNTIF(Discontinued!$A$1:$A$150,A903)&gt;0</f>
        <v>0</v>
      </c>
    </row>
    <row r="904" spans="1:21" s="8" customFormat="1" ht="11.25" x14ac:dyDescent="0.2">
      <c r="A904" s="289">
        <v>10136532</v>
      </c>
      <c r="B904" s="231" t="s">
        <v>4531</v>
      </c>
      <c r="C904" s="12" t="s">
        <v>837</v>
      </c>
      <c r="D904" s="11" t="s">
        <v>684</v>
      </c>
      <c r="E904" s="12" t="s">
        <v>772</v>
      </c>
      <c r="F904" s="13">
        <v>12</v>
      </c>
      <c r="G904" s="22">
        <f>Overview!$B$87</f>
        <v>15</v>
      </c>
      <c r="H904" s="23">
        <f t="shared" si="270"/>
        <v>15</v>
      </c>
      <c r="I904" s="114">
        <f>Overview!$E$87</f>
        <v>0</v>
      </c>
      <c r="J904" s="24">
        <f t="shared" si="274"/>
        <v>0</v>
      </c>
      <c r="K904" s="116">
        <f>Overview!$H$87</f>
        <v>0</v>
      </c>
      <c r="L904" s="51" t="e">
        <f t="shared" si="275"/>
        <v>#DIV/0!</v>
      </c>
      <c r="M904" s="179"/>
      <c r="N904" s="179" t="s">
        <v>3139</v>
      </c>
      <c r="O904" s="141">
        <f t="shared" si="273"/>
        <v>0</v>
      </c>
      <c r="P904" s="181" t="b">
        <f>COUNTIF('Facility Data'!$A$1:$A$1500,"*"&amp;A904&amp;"*")&gt;0</f>
        <v>0</v>
      </c>
      <c r="Q904" s="181" t="b">
        <f>COUNTIF('Account Data'!$A$1:$A$1000,"*"&amp;A904&amp;"*")&gt;0</f>
        <v>0</v>
      </c>
      <c r="R904" s="182" t="b">
        <f t="shared" si="271"/>
        <v>1</v>
      </c>
      <c r="S904" s="182" t="b">
        <f t="shared" si="272"/>
        <v>1</v>
      </c>
      <c r="T904" s="181" t="b">
        <f>COUNTIF('New Items'!$A$1:$A$175,A904)&gt;0</f>
        <v>1</v>
      </c>
      <c r="U904" s="181" t="b">
        <f>COUNTIF(Discontinued!$A$1:$A$150,A904)&gt;0</f>
        <v>0</v>
      </c>
    </row>
    <row r="905" spans="1:21" s="8" customFormat="1" ht="11.25" x14ac:dyDescent="0.2">
      <c r="A905" s="289">
        <v>10136505</v>
      </c>
      <c r="B905" s="231" t="s">
        <v>4542</v>
      </c>
      <c r="C905" s="118" t="s">
        <v>851</v>
      </c>
      <c r="D905" s="119" t="s">
        <v>687</v>
      </c>
      <c r="E905" s="118" t="s">
        <v>772</v>
      </c>
      <c r="F905" s="120">
        <v>12</v>
      </c>
      <c r="G905" s="121">
        <f>Overview!$B$87</f>
        <v>15</v>
      </c>
      <c r="H905" s="114">
        <f t="shared" si="270"/>
        <v>15</v>
      </c>
      <c r="I905" s="114">
        <f>Overview!$E$87</f>
        <v>0</v>
      </c>
      <c r="J905" s="115">
        <f t="shared" si="274"/>
        <v>0</v>
      </c>
      <c r="K905" s="116">
        <f>Overview!$H$87</f>
        <v>0</v>
      </c>
      <c r="L905" s="117" t="e">
        <f t="shared" si="275"/>
        <v>#DIV/0!</v>
      </c>
      <c r="M905" s="179"/>
      <c r="N905" s="179" t="s">
        <v>3139</v>
      </c>
      <c r="O905" s="141">
        <f t="shared" si="273"/>
        <v>0</v>
      </c>
      <c r="P905" s="181" t="b">
        <f>COUNTIF('Facility Data'!$A$1:$A$1500,"*"&amp;A905&amp;"*")&gt;0</f>
        <v>0</v>
      </c>
      <c r="Q905" s="181" t="b">
        <f>COUNTIF('Account Data'!$A$1:$A$1000,"*"&amp;A905&amp;"*")&gt;0</f>
        <v>0</v>
      </c>
      <c r="R905" s="182" t="b">
        <f t="shared" si="271"/>
        <v>1</v>
      </c>
      <c r="S905" s="182" t="b">
        <f t="shared" si="272"/>
        <v>1</v>
      </c>
      <c r="T905" s="181" t="b">
        <f>COUNTIF('New Items'!$A$1:$A$175,A905)&gt;0</f>
        <v>1</v>
      </c>
      <c r="U905" s="181" t="b">
        <f>COUNTIF(Discontinued!$A$1:$A$150,A905)&gt;0</f>
        <v>0</v>
      </c>
    </row>
    <row r="906" spans="1:21" s="8" customFormat="1" ht="11.25" x14ac:dyDescent="0.2">
      <c r="A906" s="289">
        <v>10136535</v>
      </c>
      <c r="B906" s="231" t="s">
        <v>4543</v>
      </c>
      <c r="C906" s="118" t="s">
        <v>959</v>
      </c>
      <c r="D906" s="119" t="s">
        <v>958</v>
      </c>
      <c r="E906" s="118" t="s">
        <v>772</v>
      </c>
      <c r="F906" s="120">
        <v>12</v>
      </c>
      <c r="G906" s="121">
        <f>Overview!$B$87</f>
        <v>15</v>
      </c>
      <c r="H906" s="114">
        <f t="shared" si="270"/>
        <v>15</v>
      </c>
      <c r="I906" s="114">
        <f>Overview!$E$87</f>
        <v>0</v>
      </c>
      <c r="J906" s="115">
        <f t="shared" si="274"/>
        <v>0</v>
      </c>
      <c r="K906" s="116">
        <f>Overview!$H$87</f>
        <v>0</v>
      </c>
      <c r="L906" s="117" t="e">
        <f t="shared" si="275"/>
        <v>#DIV/0!</v>
      </c>
      <c r="M906" s="179"/>
      <c r="N906" s="179" t="s">
        <v>3139</v>
      </c>
      <c r="O906" s="141">
        <f t="shared" si="273"/>
        <v>0</v>
      </c>
      <c r="P906" s="181" t="b">
        <f>COUNTIF('Facility Data'!$A$1:$A$1500,"*"&amp;A906&amp;"*")&gt;0</f>
        <v>0</v>
      </c>
      <c r="Q906" s="181" t="b">
        <f>COUNTIF('Account Data'!$A$1:$A$1000,"*"&amp;A906&amp;"*")&gt;0</f>
        <v>0</v>
      </c>
      <c r="R906" s="182" t="b">
        <f t="shared" si="271"/>
        <v>1</v>
      </c>
      <c r="S906" s="182" t="b">
        <f t="shared" si="272"/>
        <v>1</v>
      </c>
      <c r="T906" s="181" t="b">
        <f>COUNTIF('New Items'!$A$1:$A$175,A906)&gt;0</f>
        <v>1</v>
      </c>
      <c r="U906" s="181" t="b">
        <f>COUNTIF(Discontinued!$A$1:$A$150,A906)&gt;0</f>
        <v>0</v>
      </c>
    </row>
    <row r="907" spans="1:21" s="8" customFormat="1" ht="11.25" x14ac:dyDescent="0.2">
      <c r="A907" s="289">
        <v>10136506</v>
      </c>
      <c r="B907" s="231" t="s">
        <v>4536</v>
      </c>
      <c r="C907" s="118" t="s">
        <v>855</v>
      </c>
      <c r="D907" s="119" t="s">
        <v>685</v>
      </c>
      <c r="E907" s="118" t="s">
        <v>772</v>
      </c>
      <c r="F907" s="120">
        <v>12</v>
      </c>
      <c r="G907" s="121">
        <f>Overview!$B$87</f>
        <v>15</v>
      </c>
      <c r="H907" s="114">
        <f t="shared" si="270"/>
        <v>15</v>
      </c>
      <c r="I907" s="114">
        <f>Overview!$E$87</f>
        <v>0</v>
      </c>
      <c r="J907" s="115">
        <f t="shared" si="274"/>
        <v>0</v>
      </c>
      <c r="K907" s="116">
        <f>Overview!$H$87</f>
        <v>0</v>
      </c>
      <c r="L907" s="117" t="e">
        <f t="shared" si="275"/>
        <v>#DIV/0!</v>
      </c>
      <c r="M907" s="179"/>
      <c r="N907" s="179" t="s">
        <v>3139</v>
      </c>
      <c r="O907" s="141">
        <f t="shared" si="273"/>
        <v>0</v>
      </c>
      <c r="P907" s="181" t="b">
        <f>COUNTIF('Facility Data'!$A$1:$A$1500,"*"&amp;A907&amp;"*")&gt;0</f>
        <v>0</v>
      </c>
      <c r="Q907" s="181" t="b">
        <f>COUNTIF('Account Data'!$A$1:$A$1000,"*"&amp;A907&amp;"*")&gt;0</f>
        <v>0</v>
      </c>
      <c r="R907" s="182" t="b">
        <f t="shared" si="271"/>
        <v>1</v>
      </c>
      <c r="S907" s="182" t="b">
        <f t="shared" si="272"/>
        <v>1</v>
      </c>
      <c r="T907" s="181" t="b">
        <f>COUNTIF('New Items'!$A$1:$A$175,A907)&gt;0</f>
        <v>1</v>
      </c>
      <c r="U907" s="181" t="b">
        <f>COUNTIF(Discontinued!$A$1:$A$150,A907)&gt;0</f>
        <v>0</v>
      </c>
    </row>
    <row r="908" spans="1:21" s="8" customFormat="1" ht="11.25" x14ac:dyDescent="0.2">
      <c r="A908" s="289">
        <v>10136533</v>
      </c>
      <c r="B908" s="231" t="s">
        <v>4538</v>
      </c>
      <c r="C908" s="118" t="s">
        <v>839</v>
      </c>
      <c r="D908" s="119" t="s">
        <v>686</v>
      </c>
      <c r="E908" s="118" t="s">
        <v>772</v>
      </c>
      <c r="F908" s="120">
        <v>12</v>
      </c>
      <c r="G908" s="121">
        <f>Overview!$B$87</f>
        <v>15</v>
      </c>
      <c r="H908" s="114">
        <f t="shared" si="270"/>
        <v>15</v>
      </c>
      <c r="I908" s="114">
        <f>Overview!$E$87</f>
        <v>0</v>
      </c>
      <c r="J908" s="115">
        <f t="shared" si="274"/>
        <v>0</v>
      </c>
      <c r="K908" s="116">
        <f>Overview!$H$87</f>
        <v>0</v>
      </c>
      <c r="L908" s="117" t="e">
        <f t="shared" si="275"/>
        <v>#DIV/0!</v>
      </c>
      <c r="M908" s="179"/>
      <c r="N908" s="179" t="s">
        <v>3139</v>
      </c>
      <c r="O908" s="141">
        <f t="shared" si="273"/>
        <v>0</v>
      </c>
      <c r="P908" s="181" t="b">
        <f>COUNTIF('Facility Data'!$A$1:$A$1500,"*"&amp;A908&amp;"*")&gt;0</f>
        <v>0</v>
      </c>
      <c r="Q908" s="181" t="b">
        <f>COUNTIF('Account Data'!$A$1:$A$1000,"*"&amp;A908&amp;"*")&gt;0</f>
        <v>0</v>
      </c>
      <c r="R908" s="182" t="b">
        <f t="shared" si="271"/>
        <v>1</v>
      </c>
      <c r="S908" s="182" t="b">
        <f t="shared" si="272"/>
        <v>1</v>
      </c>
      <c r="T908" s="181" t="b">
        <f>COUNTIF('New Items'!$A$1:$A$175,A908)&gt;0</f>
        <v>1</v>
      </c>
      <c r="U908" s="181" t="b">
        <f>COUNTIF(Discontinued!$A$1:$A$150,A908)&gt;0</f>
        <v>0</v>
      </c>
    </row>
    <row r="909" spans="1:21" s="8" customFormat="1" ht="11.25" x14ac:dyDescent="0.2">
      <c r="A909" s="289">
        <v>10136504</v>
      </c>
      <c r="B909" s="231" t="s">
        <v>4533</v>
      </c>
      <c r="C909" s="118" t="s">
        <v>849</v>
      </c>
      <c r="D909" s="119" t="s">
        <v>688</v>
      </c>
      <c r="E909" s="118" t="s">
        <v>772</v>
      </c>
      <c r="F909" s="120">
        <v>12</v>
      </c>
      <c r="G909" s="121">
        <f>Overview!$B$87</f>
        <v>15</v>
      </c>
      <c r="H909" s="114">
        <f t="shared" ref="H909:H914" si="276">G909-I909</f>
        <v>15</v>
      </c>
      <c r="I909" s="114">
        <f>Overview!$E$87</f>
        <v>0</v>
      </c>
      <c r="J909" s="115">
        <f t="shared" ref="J909:J914" si="277">I909/F909</f>
        <v>0</v>
      </c>
      <c r="K909" s="116">
        <f>Overview!$H$87</f>
        <v>0</v>
      </c>
      <c r="L909" s="117" t="e">
        <f t="shared" ref="L909:L914" si="278">(K909-J909)/K909</f>
        <v>#DIV/0!</v>
      </c>
      <c r="M909" s="179"/>
      <c r="N909" s="179" t="s">
        <v>3139</v>
      </c>
      <c r="O909" s="141">
        <f t="shared" si="273"/>
        <v>0</v>
      </c>
      <c r="P909" s="181" t="b">
        <f>COUNTIF('Facility Data'!$A$1:$A$1500,"*"&amp;A909&amp;"*")&gt;0</f>
        <v>0</v>
      </c>
      <c r="Q909" s="181" t="b">
        <f>COUNTIF('Account Data'!$A$1:$A$1000,"*"&amp;A909&amp;"*")&gt;0</f>
        <v>0</v>
      </c>
      <c r="R909" s="182" t="b">
        <f t="shared" si="271"/>
        <v>1</v>
      </c>
      <c r="S909" s="182" t="b">
        <f t="shared" si="272"/>
        <v>1</v>
      </c>
      <c r="T909" s="181" t="b">
        <f>COUNTIF('New Items'!$A$1:$A$175,A909)&gt;0</f>
        <v>1</v>
      </c>
      <c r="U909" s="181" t="b">
        <f>COUNTIF(Discontinued!$A$1:$A$150,A909)&gt;0</f>
        <v>0</v>
      </c>
    </row>
    <row r="910" spans="1:21" s="8" customFormat="1" ht="11.25" x14ac:dyDescent="0.2">
      <c r="A910" s="289">
        <v>10136491</v>
      </c>
      <c r="B910" s="231" t="s">
        <v>4535</v>
      </c>
      <c r="C910" s="118" t="s">
        <v>835</v>
      </c>
      <c r="D910" s="119" t="s">
        <v>689</v>
      </c>
      <c r="E910" s="118" t="s">
        <v>772</v>
      </c>
      <c r="F910" s="120">
        <v>12</v>
      </c>
      <c r="G910" s="121">
        <f>Overview!$B$87</f>
        <v>15</v>
      </c>
      <c r="H910" s="114">
        <f t="shared" si="276"/>
        <v>15</v>
      </c>
      <c r="I910" s="114">
        <f>Overview!$E$87</f>
        <v>0</v>
      </c>
      <c r="J910" s="115">
        <f t="shared" si="277"/>
        <v>0</v>
      </c>
      <c r="K910" s="116">
        <f>Overview!$H$87</f>
        <v>0</v>
      </c>
      <c r="L910" s="117" t="e">
        <f t="shared" si="278"/>
        <v>#DIV/0!</v>
      </c>
      <c r="M910" s="179"/>
      <c r="N910" s="179" t="s">
        <v>3139</v>
      </c>
      <c r="O910" s="141">
        <f t="shared" si="273"/>
        <v>0</v>
      </c>
      <c r="P910" s="181" t="b">
        <f>COUNTIF('Facility Data'!$A$1:$A$1500,"*"&amp;A910&amp;"*")&gt;0</f>
        <v>0</v>
      </c>
      <c r="Q910" s="181" t="b">
        <f>COUNTIF('Account Data'!$A$1:$A$1000,"*"&amp;A910&amp;"*")&gt;0</f>
        <v>0</v>
      </c>
      <c r="R910" s="182" t="b">
        <f t="shared" si="271"/>
        <v>1</v>
      </c>
      <c r="S910" s="182" t="b">
        <f t="shared" si="272"/>
        <v>1</v>
      </c>
      <c r="T910" s="181" t="b">
        <f>COUNTIF('New Items'!$A$1:$A$175,A910)&gt;0</f>
        <v>1</v>
      </c>
      <c r="U910" s="181" t="b">
        <f>COUNTIF(Discontinued!$A$1:$A$150,A910)&gt;0</f>
        <v>0</v>
      </c>
    </row>
    <row r="911" spans="1:21" s="8" customFormat="1" ht="11.25" x14ac:dyDescent="0.2">
      <c r="A911" s="160">
        <v>10109317</v>
      </c>
      <c r="B911" s="231" t="s">
        <v>996</v>
      </c>
      <c r="C911" s="118" t="s">
        <v>997</v>
      </c>
      <c r="D911" s="119" t="s">
        <v>999</v>
      </c>
      <c r="E911" s="118" t="s">
        <v>772</v>
      </c>
      <c r="F911" s="120">
        <v>12</v>
      </c>
      <c r="G911" s="121">
        <f>Overview!$B$87</f>
        <v>15</v>
      </c>
      <c r="H911" s="114">
        <f t="shared" si="276"/>
        <v>15</v>
      </c>
      <c r="I911" s="114">
        <f>Overview!$E$87</f>
        <v>0</v>
      </c>
      <c r="J911" s="115">
        <f t="shared" si="277"/>
        <v>0</v>
      </c>
      <c r="K911" s="116">
        <f>Overview!$H$87</f>
        <v>0</v>
      </c>
      <c r="L911" s="117" t="e">
        <f t="shared" si="278"/>
        <v>#DIV/0!</v>
      </c>
      <c r="M911" s="179" t="s">
        <v>1000</v>
      </c>
      <c r="N911" s="179" t="s">
        <v>3139</v>
      </c>
      <c r="O911" s="141">
        <f t="shared" si="273"/>
        <v>0</v>
      </c>
      <c r="P911" s="181" t="b">
        <f>COUNTIF('Facility Data'!$A$1:$A$1500,"*"&amp;A911&amp;"*")&gt;0</f>
        <v>0</v>
      </c>
      <c r="Q911" s="181" t="b">
        <f>COUNTIF('Account Data'!$A$1:$A$1000,"*"&amp;A911&amp;"*")&gt;0</f>
        <v>1</v>
      </c>
      <c r="R911" s="182" t="b">
        <f t="shared" si="271"/>
        <v>0</v>
      </c>
      <c r="S911" s="182" t="b">
        <f t="shared" si="272"/>
        <v>1</v>
      </c>
      <c r="T911" s="181" t="b">
        <f>COUNTIF('New Items'!$A$1:$A$175,A911)&gt;0</f>
        <v>0</v>
      </c>
      <c r="U911" s="181" t="b">
        <f>COUNTIF(Discontinued!$A$1:$A$150,A911)&gt;0</f>
        <v>0</v>
      </c>
    </row>
    <row r="912" spans="1:21" s="8" customFormat="1" ht="11.25" x14ac:dyDescent="0.2">
      <c r="A912" s="289">
        <v>10136470</v>
      </c>
      <c r="B912" s="231" t="s">
        <v>4545</v>
      </c>
      <c r="C912" s="118" t="s">
        <v>1117</v>
      </c>
      <c r="D912" s="119" t="s">
        <v>725</v>
      </c>
      <c r="E912" s="118" t="s">
        <v>772</v>
      </c>
      <c r="F912" s="120">
        <v>12</v>
      </c>
      <c r="G912" s="121">
        <f>Overview!$B$87</f>
        <v>15</v>
      </c>
      <c r="H912" s="114">
        <f t="shared" si="276"/>
        <v>15</v>
      </c>
      <c r="I912" s="114">
        <f>Overview!$E$87</f>
        <v>0</v>
      </c>
      <c r="J912" s="115">
        <f t="shared" si="277"/>
        <v>0</v>
      </c>
      <c r="K912" s="116">
        <f>Overview!$H$87</f>
        <v>0</v>
      </c>
      <c r="L912" s="117" t="e">
        <f t="shared" si="278"/>
        <v>#DIV/0!</v>
      </c>
      <c r="M912" s="179"/>
      <c r="N912" s="179" t="s">
        <v>3139</v>
      </c>
      <c r="O912" s="141">
        <f t="shared" si="273"/>
        <v>0</v>
      </c>
      <c r="P912" s="181" t="b">
        <f>COUNTIF('Facility Data'!$A$1:$A$1500,"*"&amp;A912&amp;"*")&gt;0</f>
        <v>0</v>
      </c>
      <c r="Q912" s="181" t="b">
        <f>COUNTIF('Account Data'!$A$1:$A$1000,"*"&amp;A912&amp;"*")&gt;0</f>
        <v>0</v>
      </c>
      <c r="R912" s="182" t="b">
        <f t="shared" si="271"/>
        <v>1</v>
      </c>
      <c r="S912" s="182" t="b">
        <f t="shared" si="272"/>
        <v>1</v>
      </c>
      <c r="T912" s="181" t="b">
        <f>COUNTIF('New Items'!$A$1:$A$175,A912)&gt;0</f>
        <v>1</v>
      </c>
      <c r="U912" s="181" t="b">
        <f>COUNTIF(Discontinued!$A$1:$A$150,A912)&gt;0</f>
        <v>0</v>
      </c>
    </row>
    <row r="913" spans="1:21" s="8" customFormat="1" ht="11.25" x14ac:dyDescent="0.2">
      <c r="A913" s="289">
        <v>10136464</v>
      </c>
      <c r="B913" s="231" t="s">
        <v>4547</v>
      </c>
      <c r="C913" s="118" t="s">
        <v>1119</v>
      </c>
      <c r="D913" s="119" t="s">
        <v>1118</v>
      </c>
      <c r="E913" s="118" t="s">
        <v>772</v>
      </c>
      <c r="F913" s="120">
        <v>12</v>
      </c>
      <c r="G913" s="121">
        <f>Overview!$B$87</f>
        <v>15</v>
      </c>
      <c r="H913" s="114">
        <f t="shared" si="276"/>
        <v>15</v>
      </c>
      <c r="I913" s="114">
        <f>Overview!$E$87</f>
        <v>0</v>
      </c>
      <c r="J913" s="115">
        <f t="shared" si="277"/>
        <v>0</v>
      </c>
      <c r="K913" s="116">
        <f>Overview!$H$87</f>
        <v>0</v>
      </c>
      <c r="L913" s="117" t="e">
        <f t="shared" si="278"/>
        <v>#DIV/0!</v>
      </c>
      <c r="M913" s="179" t="s">
        <v>1252</v>
      </c>
      <c r="N913" s="179" t="s">
        <v>3139</v>
      </c>
      <c r="O913" s="141">
        <f t="shared" si="273"/>
        <v>0</v>
      </c>
      <c r="P913" s="181" t="b">
        <f>COUNTIF('Facility Data'!$A$1:$A$1500,"*"&amp;A913&amp;"*")&gt;0</f>
        <v>0</v>
      </c>
      <c r="Q913" s="181" t="b">
        <f>COUNTIF('Account Data'!$A$1:$A$1000,"*"&amp;A913&amp;"*")&gt;0</f>
        <v>0</v>
      </c>
      <c r="R913" s="182" t="b">
        <f t="shared" si="271"/>
        <v>1</v>
      </c>
      <c r="S913" s="182" t="b">
        <f t="shared" si="272"/>
        <v>1</v>
      </c>
      <c r="T913" s="181" t="b">
        <f>COUNTIF('New Items'!$A$1:$A$175,A913)&gt;0</f>
        <v>1</v>
      </c>
      <c r="U913" s="181" t="b">
        <f>COUNTIF(Discontinued!$A$1:$A$150,A913)&gt;0</f>
        <v>0</v>
      </c>
    </row>
    <row r="914" spans="1:21" s="8" customFormat="1" ht="11.25" x14ac:dyDescent="0.2">
      <c r="A914" s="289">
        <v>10136466</v>
      </c>
      <c r="B914" s="231" t="s">
        <v>4546</v>
      </c>
      <c r="C914" s="118" t="s">
        <v>1121</v>
      </c>
      <c r="D914" s="119" t="s">
        <v>1120</v>
      </c>
      <c r="E914" s="118" t="s">
        <v>772</v>
      </c>
      <c r="F914" s="120">
        <v>12</v>
      </c>
      <c r="G914" s="121">
        <f>Overview!$B$87</f>
        <v>15</v>
      </c>
      <c r="H914" s="114">
        <f t="shared" si="276"/>
        <v>15</v>
      </c>
      <c r="I914" s="114">
        <f>Overview!$E$87</f>
        <v>0</v>
      </c>
      <c r="J914" s="115">
        <f t="shared" si="277"/>
        <v>0</v>
      </c>
      <c r="K914" s="116">
        <f>Overview!$H$87</f>
        <v>0</v>
      </c>
      <c r="L914" s="117" t="e">
        <f t="shared" si="278"/>
        <v>#DIV/0!</v>
      </c>
      <c r="M914" s="179" t="s">
        <v>1252</v>
      </c>
      <c r="N914" s="179" t="s">
        <v>3139</v>
      </c>
      <c r="O914" s="141">
        <f t="shared" si="273"/>
        <v>0</v>
      </c>
      <c r="P914" s="181" t="b">
        <f>COUNTIF('Facility Data'!$A$1:$A$1500,"*"&amp;A914&amp;"*")&gt;0</f>
        <v>0</v>
      </c>
      <c r="Q914" s="181" t="b">
        <f>COUNTIF('Account Data'!$A$1:$A$1000,"*"&amp;A914&amp;"*")&gt;0</f>
        <v>0</v>
      </c>
      <c r="R914" s="182" t="b">
        <f t="shared" si="271"/>
        <v>1</v>
      </c>
      <c r="S914" s="182" t="b">
        <f t="shared" si="272"/>
        <v>1</v>
      </c>
      <c r="T914" s="181" t="b">
        <f>COUNTIF('New Items'!$A$1:$A$175,A914)&gt;0</f>
        <v>1</v>
      </c>
      <c r="U914" s="181" t="b">
        <f>COUNTIF(Discontinued!$A$1:$A$150,A914)&gt;0</f>
        <v>0</v>
      </c>
    </row>
    <row r="915" spans="1:21" s="8" customFormat="1" ht="11.25" x14ac:dyDescent="0.2">
      <c r="A915" s="289">
        <v>10136515</v>
      </c>
      <c r="B915" s="231" t="s">
        <v>4529</v>
      </c>
      <c r="C915" s="118" t="s">
        <v>845</v>
      </c>
      <c r="D915" s="119" t="s">
        <v>691</v>
      </c>
      <c r="E915" s="118" t="s">
        <v>772</v>
      </c>
      <c r="F915" s="120">
        <v>12</v>
      </c>
      <c r="G915" s="121">
        <f>Overview!$B$87</f>
        <v>15</v>
      </c>
      <c r="H915" s="114">
        <f t="shared" ref="H915:H924" si="279">G915-I915</f>
        <v>15</v>
      </c>
      <c r="I915" s="114">
        <f>Overview!$E$87</f>
        <v>0</v>
      </c>
      <c r="J915" s="115">
        <f t="shared" si="274"/>
        <v>0</v>
      </c>
      <c r="K915" s="116">
        <f>Overview!$H$87</f>
        <v>0</v>
      </c>
      <c r="L915" s="117" t="e">
        <f t="shared" si="275"/>
        <v>#DIV/0!</v>
      </c>
      <c r="M915" s="179"/>
      <c r="N915" s="179" t="s">
        <v>3139</v>
      </c>
      <c r="O915" s="141">
        <f t="shared" si="273"/>
        <v>0</v>
      </c>
      <c r="P915" s="181" t="b">
        <f>COUNTIF('Facility Data'!$A$1:$A$1500,"*"&amp;A915&amp;"*")&gt;0</f>
        <v>0</v>
      </c>
      <c r="Q915" s="181" t="b">
        <f>COUNTIF('Account Data'!$A$1:$A$1000,"*"&amp;A915&amp;"*")&gt;0</f>
        <v>0</v>
      </c>
      <c r="R915" s="182" t="b">
        <f t="shared" si="271"/>
        <v>1</v>
      </c>
      <c r="S915" s="182" t="b">
        <f t="shared" si="272"/>
        <v>1</v>
      </c>
      <c r="T915" s="181" t="b">
        <f>COUNTIF('New Items'!$A$1:$A$175,A915)&gt;0</f>
        <v>1</v>
      </c>
      <c r="U915" s="181" t="b">
        <f>COUNTIF(Discontinued!$A$1:$A$150,A915)&gt;0</f>
        <v>0</v>
      </c>
    </row>
    <row r="916" spans="1:21" s="8" customFormat="1" ht="11.25" x14ac:dyDescent="0.2">
      <c r="A916" s="289">
        <v>10136517</v>
      </c>
      <c r="B916" s="231" t="s">
        <v>4575</v>
      </c>
      <c r="C916" s="118" t="s">
        <v>847</v>
      </c>
      <c r="D916" s="119" t="s">
        <v>692</v>
      </c>
      <c r="E916" s="118" t="s">
        <v>772</v>
      </c>
      <c r="F916" s="120">
        <v>12</v>
      </c>
      <c r="G916" s="121">
        <f>Overview!$B$87</f>
        <v>15</v>
      </c>
      <c r="H916" s="114">
        <f t="shared" si="279"/>
        <v>15</v>
      </c>
      <c r="I916" s="114">
        <f>Overview!$E$87</f>
        <v>0</v>
      </c>
      <c r="J916" s="115">
        <f t="shared" si="274"/>
        <v>0</v>
      </c>
      <c r="K916" s="116">
        <f>Overview!$H$87</f>
        <v>0</v>
      </c>
      <c r="L916" s="117" t="e">
        <f t="shared" si="275"/>
        <v>#DIV/0!</v>
      </c>
      <c r="M916" s="179"/>
      <c r="N916" s="179" t="s">
        <v>3139</v>
      </c>
      <c r="O916" s="141">
        <f t="shared" si="273"/>
        <v>0</v>
      </c>
      <c r="P916" s="181" t="b">
        <f>COUNTIF('Facility Data'!$A$1:$A$1500,"*"&amp;A916&amp;"*")&gt;0</f>
        <v>0</v>
      </c>
      <c r="Q916" s="181" t="b">
        <f>COUNTIF('Account Data'!$A$1:$A$1000,"*"&amp;A916&amp;"*")&gt;0</f>
        <v>0</v>
      </c>
      <c r="R916" s="182" t="b">
        <f t="shared" si="271"/>
        <v>1</v>
      </c>
      <c r="S916" s="182" t="b">
        <f t="shared" si="272"/>
        <v>1</v>
      </c>
      <c r="T916" s="181" t="b">
        <f>COUNTIF('New Items'!$A$1:$A$175,A916)&gt;0</f>
        <v>1</v>
      </c>
      <c r="U916" s="181" t="b">
        <f>COUNTIF(Discontinued!$A$1:$A$150,A916)&gt;0</f>
        <v>0</v>
      </c>
    </row>
    <row r="917" spans="1:21" s="8" customFormat="1" ht="11.25" x14ac:dyDescent="0.2">
      <c r="A917" s="290">
        <v>10136514</v>
      </c>
      <c r="B917" s="10" t="s">
        <v>4530</v>
      </c>
      <c r="C917" s="12" t="s">
        <v>843</v>
      </c>
      <c r="D917" s="11" t="s">
        <v>693</v>
      </c>
      <c r="E917" s="12" t="s">
        <v>772</v>
      </c>
      <c r="F917" s="13">
        <v>12</v>
      </c>
      <c r="G917" s="22">
        <f>Overview!$B$87</f>
        <v>15</v>
      </c>
      <c r="H917" s="23">
        <f t="shared" si="279"/>
        <v>15</v>
      </c>
      <c r="I917" s="114">
        <f>Overview!$E$87</f>
        <v>0</v>
      </c>
      <c r="J917" s="24">
        <f t="shared" ref="J917:J924" si="280">I917/F917</f>
        <v>0</v>
      </c>
      <c r="K917" s="116">
        <f>Overview!$H$87</f>
        <v>0</v>
      </c>
      <c r="L917" s="51" t="e">
        <f t="shared" ref="L917:L924" si="281">(K917-J917)/K917</f>
        <v>#DIV/0!</v>
      </c>
      <c r="M917" s="179"/>
      <c r="N917" s="179" t="s">
        <v>3139</v>
      </c>
      <c r="O917" s="141">
        <f>I917</f>
        <v>0</v>
      </c>
      <c r="P917" s="181" t="b">
        <f>COUNTIF('Facility Data'!$A$1:$A$1500,"*"&amp;A917&amp;"*")&gt;0</f>
        <v>0</v>
      </c>
      <c r="Q917" s="181" t="b">
        <f>COUNTIF('Account Data'!$A$1:$A$1000,"*"&amp;A917&amp;"*")&gt;0</f>
        <v>0</v>
      </c>
      <c r="R917" s="182" t="b">
        <f t="shared" si="271"/>
        <v>1</v>
      </c>
      <c r="S917" s="182" t="b">
        <f t="shared" si="272"/>
        <v>1</v>
      </c>
      <c r="T917" s="181" t="b">
        <f>COUNTIF('New Items'!$A$1:$A$175,A917)&gt;0</f>
        <v>1</v>
      </c>
      <c r="U917" s="181" t="b">
        <f>COUNTIF(Discontinued!$A$1:$A$150,A917)&gt;0</f>
        <v>0</v>
      </c>
    </row>
    <row r="918" spans="1:21" s="8" customFormat="1" ht="11.25" x14ac:dyDescent="0.2">
      <c r="A918" s="290">
        <v>10136538</v>
      </c>
      <c r="B918" s="10" t="s">
        <v>4541</v>
      </c>
      <c r="C918" s="12" t="s">
        <v>841</v>
      </c>
      <c r="D918" s="11" t="s">
        <v>690</v>
      </c>
      <c r="E918" s="12" t="s">
        <v>772</v>
      </c>
      <c r="F918" s="13">
        <v>12</v>
      </c>
      <c r="G918" s="22">
        <f>Overview!$B$87</f>
        <v>15</v>
      </c>
      <c r="H918" s="23">
        <f t="shared" si="279"/>
        <v>15</v>
      </c>
      <c r="I918" s="114">
        <f>Overview!$E$87</f>
        <v>0</v>
      </c>
      <c r="J918" s="24">
        <f t="shared" si="280"/>
        <v>0</v>
      </c>
      <c r="K918" s="116">
        <f>Overview!$H$87</f>
        <v>0</v>
      </c>
      <c r="L918" s="51" t="e">
        <f t="shared" si="281"/>
        <v>#DIV/0!</v>
      </c>
      <c r="M918" s="179"/>
      <c r="N918" s="179" t="s">
        <v>3139</v>
      </c>
      <c r="O918" s="141">
        <f t="shared" si="273"/>
        <v>0</v>
      </c>
      <c r="P918" s="181" t="b">
        <f>COUNTIF('Facility Data'!$A$1:$A$1500,"*"&amp;A918&amp;"*")&gt;0</f>
        <v>0</v>
      </c>
      <c r="Q918" s="181" t="b">
        <f>COUNTIF('Account Data'!$A$1:$A$1000,"*"&amp;A918&amp;"*")&gt;0</f>
        <v>0</v>
      </c>
      <c r="R918" s="182" t="b">
        <f t="shared" si="271"/>
        <v>1</v>
      </c>
      <c r="S918" s="182" t="b">
        <f t="shared" si="272"/>
        <v>1</v>
      </c>
      <c r="T918" s="181" t="b">
        <f>COUNTIF('New Items'!$A$1:$A$175,A918)&gt;0</f>
        <v>1</v>
      </c>
      <c r="U918" s="181" t="b">
        <f>COUNTIF(Discontinued!$A$1:$A$150,A918)&gt;0</f>
        <v>0</v>
      </c>
    </row>
    <row r="919" spans="1:21" s="8" customFormat="1" ht="11.25" x14ac:dyDescent="0.2">
      <c r="A919" s="290">
        <v>10136576</v>
      </c>
      <c r="B919" s="10" t="s">
        <v>4544</v>
      </c>
      <c r="C919" s="12" t="s">
        <v>1755</v>
      </c>
      <c r="D919" s="11" t="s">
        <v>1756</v>
      </c>
      <c r="E919" s="12" t="s">
        <v>772</v>
      </c>
      <c r="F919" s="13">
        <v>12</v>
      </c>
      <c r="G919" s="22">
        <f>Overview!$B$87</f>
        <v>15</v>
      </c>
      <c r="H919" s="23">
        <f t="shared" si="279"/>
        <v>15</v>
      </c>
      <c r="I919" s="114">
        <f>Overview!$E$87</f>
        <v>0</v>
      </c>
      <c r="J919" s="24">
        <f t="shared" si="280"/>
        <v>0</v>
      </c>
      <c r="K919" s="116">
        <f>Overview!$H$87</f>
        <v>0</v>
      </c>
      <c r="L919" s="51" t="e">
        <f t="shared" si="281"/>
        <v>#DIV/0!</v>
      </c>
      <c r="M919" s="179"/>
      <c r="N919" s="179" t="s">
        <v>3139</v>
      </c>
      <c r="O919" s="141">
        <f>I919</f>
        <v>0</v>
      </c>
      <c r="P919" s="181" t="b">
        <f>COUNTIF('Facility Data'!$A$1:$A$1500,"*"&amp;A919&amp;"*")&gt;0</f>
        <v>0</v>
      </c>
      <c r="Q919" s="181" t="b">
        <f>COUNTIF('Account Data'!$A$1:$A$1000,"*"&amp;A919&amp;"*")&gt;0</f>
        <v>0</v>
      </c>
      <c r="R919" s="182" t="b">
        <f t="shared" si="271"/>
        <v>1</v>
      </c>
      <c r="S919" s="182" t="b">
        <f t="shared" si="272"/>
        <v>1</v>
      </c>
      <c r="T919" s="181" t="b">
        <f>COUNTIF('New Items'!$A$1:$A$175,A919)&gt;0</f>
        <v>1</v>
      </c>
      <c r="U919" s="181" t="b">
        <f>COUNTIF(Discontinued!$A$1:$A$150,A919)&gt;0</f>
        <v>0</v>
      </c>
    </row>
    <row r="920" spans="1:21" s="8" customFormat="1" ht="11.25" x14ac:dyDescent="0.2">
      <c r="A920" s="290">
        <v>10136493</v>
      </c>
      <c r="B920" s="10" t="s">
        <v>4540</v>
      </c>
      <c r="C920" s="12" t="s">
        <v>1341</v>
      </c>
      <c r="D920" s="11" t="s">
        <v>1339</v>
      </c>
      <c r="E920" s="12" t="s">
        <v>772</v>
      </c>
      <c r="F920" s="13">
        <v>12</v>
      </c>
      <c r="G920" s="22">
        <f>Overview!$B$87</f>
        <v>15</v>
      </c>
      <c r="H920" s="23">
        <f t="shared" si="279"/>
        <v>15</v>
      </c>
      <c r="I920" s="114">
        <f>Overview!$E$87</f>
        <v>0</v>
      </c>
      <c r="J920" s="24">
        <f t="shared" si="280"/>
        <v>0</v>
      </c>
      <c r="K920" s="116">
        <f>Overview!$H$87</f>
        <v>0</v>
      </c>
      <c r="L920" s="51" t="e">
        <f t="shared" si="281"/>
        <v>#DIV/0!</v>
      </c>
      <c r="M920" s="179"/>
      <c r="N920" s="179" t="s">
        <v>3139</v>
      </c>
      <c r="O920" s="141">
        <f>I920</f>
        <v>0</v>
      </c>
      <c r="P920" s="181" t="b">
        <f>COUNTIF('Facility Data'!$A$1:$A$1500,"*"&amp;A920&amp;"*")&gt;0</f>
        <v>0</v>
      </c>
      <c r="Q920" s="181" t="b">
        <f>COUNTIF('Account Data'!$A$1:$A$1000,"*"&amp;A920&amp;"*")&gt;0</f>
        <v>0</v>
      </c>
      <c r="R920" s="182" t="b">
        <f t="shared" si="271"/>
        <v>1</v>
      </c>
      <c r="S920" s="182" t="b">
        <f t="shared" si="272"/>
        <v>1</v>
      </c>
      <c r="T920" s="181" t="b">
        <f>COUNTIF('New Items'!$A$1:$A$175,A920)&gt;0</f>
        <v>1</v>
      </c>
      <c r="U920" s="181" t="b">
        <f>COUNTIF(Discontinued!$A$1:$A$150,A920)&gt;0</f>
        <v>0</v>
      </c>
    </row>
    <row r="921" spans="1:21" s="8" customFormat="1" ht="11.25" x14ac:dyDescent="0.2">
      <c r="A921" s="290">
        <v>10136520</v>
      </c>
      <c r="B921" s="10" t="s">
        <v>4534</v>
      </c>
      <c r="C921" s="12" t="s">
        <v>1343</v>
      </c>
      <c r="D921" s="11" t="s">
        <v>1338</v>
      </c>
      <c r="E921" s="12" t="s">
        <v>772</v>
      </c>
      <c r="F921" s="13">
        <v>12</v>
      </c>
      <c r="G921" s="22">
        <f>Overview!$B$87</f>
        <v>15</v>
      </c>
      <c r="H921" s="23">
        <f>G921-I921</f>
        <v>15</v>
      </c>
      <c r="I921" s="114">
        <f>Overview!$E$87</f>
        <v>0</v>
      </c>
      <c r="J921" s="24">
        <f t="shared" si="280"/>
        <v>0</v>
      </c>
      <c r="K921" s="116">
        <f>Overview!$H$87</f>
        <v>0</v>
      </c>
      <c r="L921" s="51" t="e">
        <f t="shared" si="281"/>
        <v>#DIV/0!</v>
      </c>
      <c r="M921" s="179"/>
      <c r="N921" s="179" t="s">
        <v>3139</v>
      </c>
      <c r="O921" s="141">
        <f>I921</f>
        <v>0</v>
      </c>
      <c r="P921" s="181" t="b">
        <f>COUNTIF('Facility Data'!$A$1:$A$1500,"*"&amp;A921&amp;"*")&gt;0</f>
        <v>0</v>
      </c>
      <c r="Q921" s="181" t="b">
        <f>COUNTIF('Account Data'!$A$1:$A$1000,"*"&amp;A921&amp;"*")&gt;0</f>
        <v>0</v>
      </c>
      <c r="R921" s="182" t="b">
        <f t="shared" si="271"/>
        <v>1</v>
      </c>
      <c r="S921" s="182" t="b">
        <f>IF(OR(Q921=TRUE,T921=TRUE),TRUE,FALSE)</f>
        <v>1</v>
      </c>
      <c r="T921" s="181" t="b">
        <f>COUNTIF('New Items'!$A$1:$A$175,A921)&gt;0</f>
        <v>1</v>
      </c>
      <c r="U921" s="181" t="b">
        <f>COUNTIF(Discontinued!$A$1:$A$150,A921)&gt;0</f>
        <v>0</v>
      </c>
    </row>
    <row r="922" spans="1:21" s="8" customFormat="1" ht="11.25" x14ac:dyDescent="0.2">
      <c r="A922" s="290">
        <v>10136490</v>
      </c>
      <c r="B922" s="291" t="s">
        <v>4539</v>
      </c>
      <c r="C922" s="12" t="s">
        <v>1795</v>
      </c>
      <c r="D922" s="11" t="s">
        <v>1753</v>
      </c>
      <c r="E922" s="12" t="s">
        <v>772</v>
      </c>
      <c r="F922" s="13">
        <v>12</v>
      </c>
      <c r="G922" s="22">
        <f>Overview!$B$87</f>
        <v>15</v>
      </c>
      <c r="H922" s="23">
        <f>G922-I922</f>
        <v>15</v>
      </c>
      <c r="I922" s="114">
        <f>Overview!$E$87</f>
        <v>0</v>
      </c>
      <c r="J922" s="24">
        <f>I922/F922</f>
        <v>0</v>
      </c>
      <c r="K922" s="116">
        <f>Overview!$H$87</f>
        <v>0</v>
      </c>
      <c r="L922" s="51" t="e">
        <f>(K922-J922)/K922</f>
        <v>#DIV/0!</v>
      </c>
      <c r="M922" s="179"/>
      <c r="N922" s="179" t="s">
        <v>3139</v>
      </c>
      <c r="O922" s="141">
        <f>I922</f>
        <v>0</v>
      </c>
      <c r="P922" s="181" t="b">
        <f>COUNTIF('Facility Data'!$A$1:$A$1500,"*"&amp;A922&amp;"*")&gt;0</f>
        <v>0</v>
      </c>
      <c r="Q922" s="181" t="b">
        <f>COUNTIF('Account Data'!$A$1:$A$1000,"*"&amp;A922&amp;"*")&gt;0</f>
        <v>0</v>
      </c>
      <c r="R922" s="182" t="b">
        <f>IF(OR(P922=TRUE,T922=TRUE),TRUE,FALSE)</f>
        <v>1</v>
      </c>
      <c r="S922" s="182" t="b">
        <f>IF(OR(Q922=TRUE,T922=TRUE),TRUE,FALSE)</f>
        <v>1</v>
      </c>
      <c r="T922" s="181" t="b">
        <f>COUNTIF('New Items'!$A$1:$A$175,A922)&gt;0</f>
        <v>1</v>
      </c>
      <c r="U922" s="181" t="b">
        <f>COUNTIF(Discontinued!$A$1:$A$150,A922)&gt;0</f>
        <v>0</v>
      </c>
    </row>
    <row r="923" spans="1:21" s="8" customFormat="1" ht="11.25" x14ac:dyDescent="0.2">
      <c r="A923" s="160">
        <v>10133999</v>
      </c>
      <c r="B923" s="231" t="s">
        <v>3995</v>
      </c>
      <c r="C923" s="118" t="s">
        <v>3996</v>
      </c>
      <c r="D923" s="119" t="s">
        <v>754</v>
      </c>
      <c r="E923" s="118" t="s">
        <v>772</v>
      </c>
      <c r="F923" s="120">
        <v>12</v>
      </c>
      <c r="G923" s="121">
        <f>Overview!$B$87</f>
        <v>15</v>
      </c>
      <c r="H923" s="114">
        <f>G923-I923</f>
        <v>15</v>
      </c>
      <c r="I923" s="114">
        <f>Overview!$E$87</f>
        <v>0</v>
      </c>
      <c r="J923" s="115">
        <f>I923/F923</f>
        <v>0</v>
      </c>
      <c r="K923" s="116">
        <f>Overview!$H$87</f>
        <v>0</v>
      </c>
      <c r="L923" s="117" t="e">
        <f>(K923-J923)/K923</f>
        <v>#DIV/0!</v>
      </c>
      <c r="M923" s="179" t="s">
        <v>1000</v>
      </c>
      <c r="N923" s="179" t="s">
        <v>3139</v>
      </c>
      <c r="O923" s="141">
        <f>I923</f>
        <v>0</v>
      </c>
      <c r="P923" s="181" t="b">
        <f>COUNTIF('Facility Data'!$A$1:$A$1500,"*"&amp;A923&amp;"*")&gt;0</f>
        <v>0</v>
      </c>
      <c r="Q923" s="181" t="b">
        <f>COUNTIF('Account Data'!$A$1:$A$1000,"*"&amp;A923&amp;"*")&gt;0</f>
        <v>0</v>
      </c>
      <c r="R923" s="182" t="b">
        <f t="shared" si="271"/>
        <v>0</v>
      </c>
      <c r="S923" s="182" t="b">
        <f>IF(OR(Q923=TRUE,T923=TRUE),TRUE,FALSE)</f>
        <v>0</v>
      </c>
      <c r="T923" s="181" t="b">
        <f>COUNTIF('New Items'!$A$1:$A$175,A923)&gt;0</f>
        <v>0</v>
      </c>
      <c r="U923" s="181" t="b">
        <f>COUNTIF(Discontinued!$A$1:$A$150,A923)&gt;0</f>
        <v>0</v>
      </c>
    </row>
    <row r="924" spans="1:21" s="8" customFormat="1" ht="12" thickBot="1" x14ac:dyDescent="0.25">
      <c r="A924" s="160">
        <v>10132886</v>
      </c>
      <c r="B924" s="231" t="s">
        <v>4156</v>
      </c>
      <c r="C924" s="118" t="s">
        <v>4155</v>
      </c>
      <c r="D924" s="119" t="s">
        <v>4154</v>
      </c>
      <c r="E924" s="12" t="s">
        <v>772</v>
      </c>
      <c r="F924" s="13">
        <v>12</v>
      </c>
      <c r="G924" s="22">
        <f>Overview!$B$87</f>
        <v>15</v>
      </c>
      <c r="H924" s="23">
        <f t="shared" si="279"/>
        <v>15</v>
      </c>
      <c r="I924" s="114">
        <f>Overview!$E$87</f>
        <v>0</v>
      </c>
      <c r="J924" s="24">
        <f t="shared" si="280"/>
        <v>0</v>
      </c>
      <c r="K924" s="116">
        <f>Overview!$H$87</f>
        <v>0</v>
      </c>
      <c r="L924" s="51" t="e">
        <f t="shared" si="281"/>
        <v>#DIV/0!</v>
      </c>
      <c r="M924" s="179"/>
      <c r="N924" s="179" t="s">
        <v>3139</v>
      </c>
      <c r="O924" s="141">
        <f t="shared" si="273"/>
        <v>0</v>
      </c>
      <c r="P924" s="181" t="b">
        <f>COUNTIF('Facility Data'!$A$1:$A$1500,"*"&amp;A924&amp;"*")&gt;0</f>
        <v>0</v>
      </c>
      <c r="Q924" s="181" t="b">
        <f>COUNTIF('Account Data'!$A$1:$A$1000,"*"&amp;A924&amp;"*")&gt;0</f>
        <v>0</v>
      </c>
      <c r="R924" s="182" t="b">
        <f t="shared" si="271"/>
        <v>0</v>
      </c>
      <c r="S924" s="182" t="b">
        <f t="shared" si="272"/>
        <v>0</v>
      </c>
      <c r="T924" s="181" t="b">
        <f>COUNTIF('New Items'!$A$1:$A$175,A924)&gt;0</f>
        <v>0</v>
      </c>
      <c r="U924" s="181" t="b">
        <f>COUNTIF(Discontinued!$A$1:$A$150,A924)&gt;0</f>
        <v>0</v>
      </c>
    </row>
    <row r="925" spans="1:21" s="8" customFormat="1" ht="13.5" thickBot="1" x14ac:dyDescent="0.25">
      <c r="A925" s="300" t="s">
        <v>2932</v>
      </c>
      <c r="B925" s="301"/>
      <c r="C925" s="301"/>
      <c r="D925" s="301"/>
      <c r="E925" s="301"/>
      <c r="F925" s="301"/>
      <c r="G925" s="301"/>
      <c r="H925" s="301"/>
      <c r="I925" s="301"/>
      <c r="J925" s="301"/>
      <c r="K925" s="301"/>
      <c r="L925" s="302"/>
      <c r="M925" s="179" t="s">
        <v>4361</v>
      </c>
      <c r="N925" s="179" t="s">
        <v>3140</v>
      </c>
      <c r="O925" s="141">
        <f>AVERAGE(O926:O969)</f>
        <v>0</v>
      </c>
      <c r="P925" s="181" t="b">
        <f>COUNTIF(P926:P969,TRUE)&gt;0</f>
        <v>0</v>
      </c>
      <c r="Q925" s="181" t="b">
        <f>COUNTIF(Q926:Q969,TRUE)&gt;0</f>
        <v>0</v>
      </c>
      <c r="R925" s="181" t="b">
        <f>COUNTIF(R926:R969,TRUE)&gt;0</f>
        <v>1</v>
      </c>
      <c r="S925" s="181" t="b">
        <f>COUNTIF(S926:S969,TRUE)&gt;0</f>
        <v>1</v>
      </c>
      <c r="T925" s="181" t="b">
        <f>COUNTIF(T926:T969,TRUE)&gt;0</f>
        <v>1</v>
      </c>
      <c r="U925" s="181"/>
    </row>
    <row r="926" spans="1:21" s="8" customFormat="1" ht="11.25" x14ac:dyDescent="0.2">
      <c r="A926" s="290">
        <v>10136508</v>
      </c>
      <c r="B926" s="10" t="s">
        <v>4564</v>
      </c>
      <c r="C926" s="12" t="s">
        <v>1335</v>
      </c>
      <c r="D926" s="11" t="s">
        <v>1326</v>
      </c>
      <c r="E926" s="12" t="s">
        <v>772</v>
      </c>
      <c r="F926" s="13">
        <v>24</v>
      </c>
      <c r="G926" s="22">
        <f>Overview!$B$88</f>
        <v>30</v>
      </c>
      <c r="H926" s="23">
        <f t="shared" ref="H926:H948" si="282">G926-I926</f>
        <v>30</v>
      </c>
      <c r="I926" s="114">
        <f>Overview!$E$88</f>
        <v>0</v>
      </c>
      <c r="J926" s="24">
        <f t="shared" ref="J926:J948" si="283">I926/F926</f>
        <v>0</v>
      </c>
      <c r="K926" s="116">
        <f>Overview!$H$88</f>
        <v>0</v>
      </c>
      <c r="L926" s="51" t="e">
        <f t="shared" ref="L926:L948" si="284">(K926-J926)/K926</f>
        <v>#DIV/0!</v>
      </c>
      <c r="M926" s="179"/>
      <c r="N926" s="179" t="s">
        <v>3140</v>
      </c>
      <c r="O926" s="141">
        <f t="shared" ref="O926:O948" si="285">I926</f>
        <v>0</v>
      </c>
      <c r="P926" s="181" t="b">
        <f>COUNTIF('Facility Data'!$A$1:$A$1500,"*"&amp;A926&amp;"*")&gt;0</f>
        <v>0</v>
      </c>
      <c r="Q926" s="181" t="b">
        <f>COUNTIF('Account Data'!$A$1:$A$1000,"*"&amp;A926&amp;"*")&gt;0</f>
        <v>0</v>
      </c>
      <c r="R926" s="182" t="b">
        <f t="shared" ref="R926:R969" si="286">IF(OR(P926=TRUE,T926=TRUE),TRUE,FALSE)</f>
        <v>1</v>
      </c>
      <c r="S926" s="182" t="b">
        <f t="shared" ref="S926:S946" si="287">IF(OR(Q926=TRUE,T926=TRUE),TRUE,FALSE)</f>
        <v>1</v>
      </c>
      <c r="T926" s="181" t="b">
        <f>COUNTIF('New Items'!$A$1:$A$175,A926)&gt;0</f>
        <v>1</v>
      </c>
      <c r="U926" s="181" t="b">
        <f>COUNTIF(Discontinued!$A$1:$A$150,A926)&gt;0</f>
        <v>0</v>
      </c>
    </row>
    <row r="927" spans="1:21" s="8" customFormat="1" ht="11.25" x14ac:dyDescent="0.2">
      <c r="A927" s="152">
        <v>10119508</v>
      </c>
      <c r="B927" s="10" t="s">
        <v>2988</v>
      </c>
      <c r="C927" s="12" t="s">
        <v>1335</v>
      </c>
      <c r="D927" s="11" t="s">
        <v>1326</v>
      </c>
      <c r="E927" s="12" t="s">
        <v>772</v>
      </c>
      <c r="F927" s="13">
        <v>24</v>
      </c>
      <c r="G927" s="22">
        <f>Overview!$B$88</f>
        <v>30</v>
      </c>
      <c r="H927" s="23">
        <f t="shared" si="282"/>
        <v>30</v>
      </c>
      <c r="I927" s="114">
        <f>Overview!$E$88</f>
        <v>0</v>
      </c>
      <c r="J927" s="24">
        <f t="shared" si="283"/>
        <v>0</v>
      </c>
      <c r="K927" s="116">
        <f>Overview!$H$88</f>
        <v>0</v>
      </c>
      <c r="L927" s="51" t="e">
        <f t="shared" si="284"/>
        <v>#DIV/0!</v>
      </c>
      <c r="M927" s="179" t="s">
        <v>2989</v>
      </c>
      <c r="N927" s="179" t="s">
        <v>3140</v>
      </c>
      <c r="O927" s="141">
        <f t="shared" si="285"/>
        <v>0</v>
      </c>
      <c r="P927" s="181" t="b">
        <f>COUNTIF('Facility Data'!$A$1:$A$1500,"*"&amp;A927&amp;"*")&gt;0</f>
        <v>0</v>
      </c>
      <c r="Q927" s="181" t="b">
        <f>COUNTIF('Account Data'!$A$1:$A$1000,"*"&amp;A927&amp;"*")&gt;0</f>
        <v>0</v>
      </c>
      <c r="R927" s="182" t="b">
        <f t="shared" si="286"/>
        <v>0</v>
      </c>
      <c r="S927" s="182" t="b">
        <f t="shared" si="287"/>
        <v>0</v>
      </c>
      <c r="T927" s="181" t="b">
        <f>COUNTIF('New Items'!$A$1:$A$175,A927)&gt;0</f>
        <v>0</v>
      </c>
      <c r="U927" s="181" t="b">
        <f>COUNTIF(Discontinued!$A$1:$A$150,A927)&gt;0</f>
        <v>0</v>
      </c>
    </row>
    <row r="928" spans="1:21" s="8" customFormat="1" ht="11.25" x14ac:dyDescent="0.2">
      <c r="A928" s="290">
        <v>10136497</v>
      </c>
      <c r="B928" s="10" t="s">
        <v>4560</v>
      </c>
      <c r="C928" s="12" t="s">
        <v>1337</v>
      </c>
      <c r="D928" s="11" t="s">
        <v>1327</v>
      </c>
      <c r="E928" s="12" t="s">
        <v>772</v>
      </c>
      <c r="F928" s="13">
        <v>24</v>
      </c>
      <c r="G928" s="22">
        <f>Overview!$B$88</f>
        <v>30</v>
      </c>
      <c r="H928" s="23">
        <f t="shared" si="282"/>
        <v>30</v>
      </c>
      <c r="I928" s="114">
        <f>Overview!$E$88</f>
        <v>0</v>
      </c>
      <c r="J928" s="24">
        <f t="shared" si="283"/>
        <v>0</v>
      </c>
      <c r="K928" s="116">
        <f>Overview!$H$88</f>
        <v>0</v>
      </c>
      <c r="L928" s="51" t="e">
        <f t="shared" si="284"/>
        <v>#DIV/0!</v>
      </c>
      <c r="M928" s="179"/>
      <c r="N928" s="179" t="s">
        <v>3140</v>
      </c>
      <c r="O928" s="141">
        <f t="shared" si="285"/>
        <v>0</v>
      </c>
      <c r="P928" s="181" t="b">
        <f>COUNTIF('Facility Data'!$A$1:$A$1500,"*"&amp;A928&amp;"*")&gt;0</f>
        <v>0</v>
      </c>
      <c r="Q928" s="181" t="b">
        <f>COUNTIF('Account Data'!$A$1:$A$1000,"*"&amp;A928&amp;"*")&gt;0</f>
        <v>0</v>
      </c>
      <c r="R928" s="182" t="b">
        <f t="shared" si="286"/>
        <v>1</v>
      </c>
      <c r="S928" s="182" t="b">
        <f t="shared" si="287"/>
        <v>1</v>
      </c>
      <c r="T928" s="181" t="b">
        <f>COUNTIF('New Items'!$A$1:$A$175,A928)&gt;0</f>
        <v>1</v>
      </c>
      <c r="U928" s="181" t="b">
        <f>COUNTIF(Discontinued!$A$1:$A$150,A928)&gt;0</f>
        <v>0</v>
      </c>
    </row>
    <row r="929" spans="1:21" s="8" customFormat="1" ht="11.25" x14ac:dyDescent="0.2">
      <c r="A929" s="152">
        <v>10119503</v>
      </c>
      <c r="B929" s="10" t="s">
        <v>2990</v>
      </c>
      <c r="C929" s="12" t="s">
        <v>1337</v>
      </c>
      <c r="D929" s="11" t="s">
        <v>1327</v>
      </c>
      <c r="E929" s="12" t="s">
        <v>772</v>
      </c>
      <c r="F929" s="13">
        <v>24</v>
      </c>
      <c r="G929" s="22">
        <f>Overview!$B$88</f>
        <v>30</v>
      </c>
      <c r="H929" s="23">
        <f t="shared" si="282"/>
        <v>30</v>
      </c>
      <c r="I929" s="114">
        <f>Overview!$E$88</f>
        <v>0</v>
      </c>
      <c r="J929" s="24">
        <f t="shared" si="283"/>
        <v>0</v>
      </c>
      <c r="K929" s="116">
        <f>Overview!$H$88</f>
        <v>0</v>
      </c>
      <c r="L929" s="51" t="e">
        <f t="shared" si="284"/>
        <v>#DIV/0!</v>
      </c>
      <c r="M929" s="179" t="s">
        <v>2989</v>
      </c>
      <c r="N929" s="179" t="s">
        <v>3140</v>
      </c>
      <c r="O929" s="141">
        <f t="shared" si="285"/>
        <v>0</v>
      </c>
      <c r="P929" s="181" t="b">
        <f>COUNTIF('Facility Data'!$A$1:$A$1500,"*"&amp;A929&amp;"*")&gt;0</f>
        <v>0</v>
      </c>
      <c r="Q929" s="181" t="b">
        <f>COUNTIF('Account Data'!$A$1:$A$1000,"*"&amp;A929&amp;"*")&gt;0</f>
        <v>0</v>
      </c>
      <c r="R929" s="182" t="b">
        <f t="shared" si="286"/>
        <v>0</v>
      </c>
      <c r="S929" s="182" t="b">
        <f t="shared" si="287"/>
        <v>0</v>
      </c>
      <c r="T929" s="181" t="b">
        <f>COUNTIF('New Items'!$A$1:$A$175,A929)&gt;0</f>
        <v>0</v>
      </c>
      <c r="U929" s="181" t="b">
        <f>COUNTIF(Discontinued!$A$1:$A$150,A929)&gt;0</f>
        <v>0</v>
      </c>
    </row>
    <row r="930" spans="1:21" s="8" customFormat="1" ht="11.25" x14ac:dyDescent="0.2">
      <c r="A930" s="290">
        <v>10136507</v>
      </c>
      <c r="B930" s="10" t="s">
        <v>4563</v>
      </c>
      <c r="C930" s="12" t="s">
        <v>853</v>
      </c>
      <c r="D930" s="11" t="s">
        <v>683</v>
      </c>
      <c r="E930" s="12" t="s">
        <v>772</v>
      </c>
      <c r="F930" s="13">
        <v>24</v>
      </c>
      <c r="G930" s="22">
        <f>Overview!$B$88</f>
        <v>30</v>
      </c>
      <c r="H930" s="23">
        <f t="shared" si="282"/>
        <v>30</v>
      </c>
      <c r="I930" s="114">
        <f>Overview!$E$88</f>
        <v>0</v>
      </c>
      <c r="J930" s="24">
        <f t="shared" si="283"/>
        <v>0</v>
      </c>
      <c r="K930" s="116">
        <f>Overview!$H$88</f>
        <v>0</v>
      </c>
      <c r="L930" s="51" t="e">
        <f t="shared" si="284"/>
        <v>#DIV/0!</v>
      </c>
      <c r="M930" s="179"/>
      <c r="N930" s="179" t="s">
        <v>3140</v>
      </c>
      <c r="O930" s="141">
        <f t="shared" si="285"/>
        <v>0</v>
      </c>
      <c r="P930" s="181" t="b">
        <f>COUNTIF('Facility Data'!$A$1:$A$1500,"*"&amp;A930&amp;"*")&gt;0</f>
        <v>0</v>
      </c>
      <c r="Q930" s="181" t="b">
        <f>COUNTIF('Account Data'!$A$1:$A$1000,"*"&amp;A930&amp;"*")&gt;0</f>
        <v>0</v>
      </c>
      <c r="R930" s="182" t="b">
        <f t="shared" si="286"/>
        <v>1</v>
      </c>
      <c r="S930" s="182" t="b">
        <f t="shared" si="287"/>
        <v>1</v>
      </c>
      <c r="T930" s="181" t="b">
        <f>COUNTIF('New Items'!$A$1:$A$175,A930)&gt;0</f>
        <v>1</v>
      </c>
      <c r="U930" s="181" t="b">
        <f>COUNTIF(Discontinued!$A$1:$A$150,A930)&gt;0</f>
        <v>0</v>
      </c>
    </row>
    <row r="931" spans="1:21" s="8" customFormat="1" ht="11.25" x14ac:dyDescent="0.2">
      <c r="A931" s="152">
        <v>10119507</v>
      </c>
      <c r="B931" s="10" t="s">
        <v>2991</v>
      </c>
      <c r="C931" s="12" t="s">
        <v>853</v>
      </c>
      <c r="D931" s="11" t="s">
        <v>683</v>
      </c>
      <c r="E931" s="12" t="s">
        <v>772</v>
      </c>
      <c r="F931" s="13">
        <v>24</v>
      </c>
      <c r="G931" s="22">
        <f>Overview!$B$88</f>
        <v>30</v>
      </c>
      <c r="H931" s="23">
        <f t="shared" si="282"/>
        <v>30</v>
      </c>
      <c r="I931" s="114">
        <f>Overview!$E$88</f>
        <v>0</v>
      </c>
      <c r="J931" s="24">
        <f t="shared" si="283"/>
        <v>0</v>
      </c>
      <c r="K931" s="116">
        <f>Overview!$H$88</f>
        <v>0</v>
      </c>
      <c r="L931" s="51" t="e">
        <f t="shared" si="284"/>
        <v>#DIV/0!</v>
      </c>
      <c r="M931" s="179" t="s">
        <v>2989</v>
      </c>
      <c r="N931" s="179" t="s">
        <v>3140</v>
      </c>
      <c r="O931" s="141">
        <f t="shared" si="285"/>
        <v>0</v>
      </c>
      <c r="P931" s="181" t="b">
        <f>COUNTIF('Facility Data'!$A$1:$A$1500,"*"&amp;A931&amp;"*")&gt;0</f>
        <v>0</v>
      </c>
      <c r="Q931" s="181" t="b">
        <f>COUNTIF('Account Data'!$A$1:$A$1000,"*"&amp;A931&amp;"*")&gt;0</f>
        <v>0</v>
      </c>
      <c r="R931" s="182" t="b">
        <f t="shared" si="286"/>
        <v>0</v>
      </c>
      <c r="S931" s="182" t="b">
        <f t="shared" si="287"/>
        <v>0</v>
      </c>
      <c r="T931" s="181" t="b">
        <f>COUNTIF('New Items'!$A$1:$A$175,A931)&gt;0</f>
        <v>0</v>
      </c>
      <c r="U931" s="181" t="b">
        <f>COUNTIF(Discontinued!$A$1:$A$150,A931)&gt;0</f>
        <v>0</v>
      </c>
    </row>
    <row r="932" spans="1:21" s="8" customFormat="1" ht="11.25" x14ac:dyDescent="0.2">
      <c r="A932" s="290">
        <v>10136534</v>
      </c>
      <c r="B932" s="10" t="s">
        <v>4573</v>
      </c>
      <c r="C932" s="12" t="s">
        <v>837</v>
      </c>
      <c r="D932" s="11" t="s">
        <v>684</v>
      </c>
      <c r="E932" s="12" t="s">
        <v>772</v>
      </c>
      <c r="F932" s="13">
        <v>24</v>
      </c>
      <c r="G932" s="22">
        <f>Overview!$B$88</f>
        <v>30</v>
      </c>
      <c r="H932" s="23">
        <f t="shared" si="282"/>
        <v>30</v>
      </c>
      <c r="I932" s="114">
        <f>Overview!$E$88</f>
        <v>0</v>
      </c>
      <c r="J932" s="24">
        <f t="shared" si="283"/>
        <v>0</v>
      </c>
      <c r="K932" s="116">
        <f>Overview!$H$88</f>
        <v>0</v>
      </c>
      <c r="L932" s="51" t="e">
        <f t="shared" si="284"/>
        <v>#DIV/0!</v>
      </c>
      <c r="M932" s="179"/>
      <c r="N932" s="179" t="s">
        <v>3140</v>
      </c>
      <c r="O932" s="141">
        <f t="shared" si="285"/>
        <v>0</v>
      </c>
      <c r="P932" s="181" t="b">
        <f>COUNTIF('Facility Data'!$A$1:$A$1500,"*"&amp;A932&amp;"*")&gt;0</f>
        <v>0</v>
      </c>
      <c r="Q932" s="181" t="b">
        <f>COUNTIF('Account Data'!$A$1:$A$1000,"*"&amp;A932&amp;"*")&gt;0</f>
        <v>0</v>
      </c>
      <c r="R932" s="182" t="b">
        <f t="shared" si="286"/>
        <v>1</v>
      </c>
      <c r="S932" s="182" t="b">
        <f t="shared" si="287"/>
        <v>1</v>
      </c>
      <c r="T932" s="181" t="b">
        <f>COUNTIF('New Items'!$A$1:$A$175,A932)&gt;0</f>
        <v>1</v>
      </c>
      <c r="U932" s="181" t="b">
        <f>COUNTIF(Discontinued!$A$1:$A$150,A932)&gt;0</f>
        <v>0</v>
      </c>
    </row>
    <row r="933" spans="1:21" s="8" customFormat="1" ht="11.25" x14ac:dyDescent="0.2">
      <c r="A933" s="152">
        <v>10119509</v>
      </c>
      <c r="B933" s="10" t="s">
        <v>2992</v>
      </c>
      <c r="C933" s="12" t="s">
        <v>837</v>
      </c>
      <c r="D933" s="11" t="s">
        <v>684</v>
      </c>
      <c r="E933" s="12" t="s">
        <v>772</v>
      </c>
      <c r="F933" s="13">
        <v>24</v>
      </c>
      <c r="G933" s="22">
        <f>Overview!$B$88</f>
        <v>30</v>
      </c>
      <c r="H933" s="23">
        <f t="shared" si="282"/>
        <v>30</v>
      </c>
      <c r="I933" s="114">
        <f>Overview!$E$88</f>
        <v>0</v>
      </c>
      <c r="J933" s="24">
        <f t="shared" si="283"/>
        <v>0</v>
      </c>
      <c r="K933" s="116">
        <f>Overview!$H$88</f>
        <v>0</v>
      </c>
      <c r="L933" s="51" t="e">
        <f t="shared" si="284"/>
        <v>#DIV/0!</v>
      </c>
      <c r="M933" s="179" t="s">
        <v>2989</v>
      </c>
      <c r="N933" s="179" t="s">
        <v>3140</v>
      </c>
      <c r="O933" s="141">
        <f t="shared" si="285"/>
        <v>0</v>
      </c>
      <c r="P933" s="181" t="b">
        <f>COUNTIF('Facility Data'!$A$1:$A$1500,"*"&amp;A933&amp;"*")&gt;0</f>
        <v>0</v>
      </c>
      <c r="Q933" s="181" t="b">
        <f>COUNTIF('Account Data'!$A$1:$A$1000,"*"&amp;A933&amp;"*")&gt;0</f>
        <v>0</v>
      </c>
      <c r="R933" s="182" t="b">
        <f t="shared" si="286"/>
        <v>0</v>
      </c>
      <c r="S933" s="182" t="b">
        <f t="shared" si="287"/>
        <v>0</v>
      </c>
      <c r="T933" s="181" t="b">
        <f>COUNTIF('New Items'!$A$1:$A$175,A933)&gt;0</f>
        <v>0</v>
      </c>
      <c r="U933" s="181" t="b">
        <f>COUNTIF(Discontinued!$A$1:$A$150,A933)&gt;0</f>
        <v>0</v>
      </c>
    </row>
    <row r="934" spans="1:21" s="8" customFormat="1" ht="11.25" x14ac:dyDescent="0.2">
      <c r="A934" s="290">
        <v>10136510</v>
      </c>
      <c r="B934" s="10" t="s">
        <v>4565</v>
      </c>
      <c r="C934" s="12" t="s">
        <v>851</v>
      </c>
      <c r="D934" s="11" t="s">
        <v>687</v>
      </c>
      <c r="E934" s="12" t="s">
        <v>772</v>
      </c>
      <c r="F934" s="13">
        <v>24</v>
      </c>
      <c r="G934" s="22">
        <f>Overview!$B$88</f>
        <v>30</v>
      </c>
      <c r="H934" s="23">
        <f t="shared" si="282"/>
        <v>30</v>
      </c>
      <c r="I934" s="114">
        <f>Overview!$E$88</f>
        <v>0</v>
      </c>
      <c r="J934" s="24">
        <f t="shared" si="283"/>
        <v>0</v>
      </c>
      <c r="K934" s="116">
        <f>Overview!$H$88</f>
        <v>0</v>
      </c>
      <c r="L934" s="51" t="e">
        <f t="shared" si="284"/>
        <v>#DIV/0!</v>
      </c>
      <c r="M934" s="179"/>
      <c r="N934" s="179" t="s">
        <v>3140</v>
      </c>
      <c r="O934" s="141">
        <f t="shared" si="285"/>
        <v>0</v>
      </c>
      <c r="P934" s="181" t="b">
        <f>COUNTIF('Facility Data'!$A$1:$A$1500,"*"&amp;A934&amp;"*")&gt;0</f>
        <v>0</v>
      </c>
      <c r="Q934" s="181" t="b">
        <f>COUNTIF('Account Data'!$A$1:$A$1000,"*"&amp;A934&amp;"*")&gt;0</f>
        <v>0</v>
      </c>
      <c r="R934" s="182" t="b">
        <f t="shared" si="286"/>
        <v>1</v>
      </c>
      <c r="S934" s="182" t="b">
        <f t="shared" si="287"/>
        <v>1</v>
      </c>
      <c r="T934" s="181" t="b">
        <f>COUNTIF('New Items'!$A$1:$A$175,A934)&gt;0</f>
        <v>1</v>
      </c>
      <c r="U934" s="181" t="b">
        <f>COUNTIF(Discontinued!$A$1:$A$150,A934)&gt;0</f>
        <v>0</v>
      </c>
    </row>
    <row r="935" spans="1:21" s="8" customFormat="1" ht="11.25" x14ac:dyDescent="0.2">
      <c r="A935" s="152">
        <v>10119505</v>
      </c>
      <c r="B935" s="10" t="s">
        <v>2993</v>
      </c>
      <c r="C935" s="12" t="s">
        <v>851</v>
      </c>
      <c r="D935" s="11" t="s">
        <v>687</v>
      </c>
      <c r="E935" s="12" t="s">
        <v>772</v>
      </c>
      <c r="F935" s="13">
        <v>24</v>
      </c>
      <c r="G935" s="22">
        <f>Overview!$B$88</f>
        <v>30</v>
      </c>
      <c r="H935" s="23">
        <f t="shared" si="282"/>
        <v>30</v>
      </c>
      <c r="I935" s="114">
        <f>Overview!$E$88</f>
        <v>0</v>
      </c>
      <c r="J935" s="24">
        <f t="shared" si="283"/>
        <v>0</v>
      </c>
      <c r="K935" s="116">
        <f>Overview!$H$88</f>
        <v>0</v>
      </c>
      <c r="L935" s="51" t="e">
        <f t="shared" si="284"/>
        <v>#DIV/0!</v>
      </c>
      <c r="M935" s="179" t="s">
        <v>2989</v>
      </c>
      <c r="N935" s="179" t="s">
        <v>3140</v>
      </c>
      <c r="O935" s="141">
        <f t="shared" si="285"/>
        <v>0</v>
      </c>
      <c r="P935" s="181" t="b">
        <f>COUNTIF('Facility Data'!$A$1:$A$1500,"*"&amp;A935&amp;"*")&gt;0</f>
        <v>0</v>
      </c>
      <c r="Q935" s="181" t="b">
        <f>COUNTIF('Account Data'!$A$1:$A$1000,"*"&amp;A935&amp;"*")&gt;0</f>
        <v>0</v>
      </c>
      <c r="R935" s="182" t="b">
        <f t="shared" si="286"/>
        <v>0</v>
      </c>
      <c r="S935" s="182" t="b">
        <f>IF(OR(Q935=TRUE,T935=TRUE),TRUE,FALSE)</f>
        <v>0</v>
      </c>
      <c r="T935" s="181" t="b">
        <f>COUNTIF('New Items'!$A$1:$A$175,A935)&gt;0</f>
        <v>0</v>
      </c>
      <c r="U935" s="181" t="b">
        <f>COUNTIF(Discontinued!$A$1:$A$150,A935)&gt;0</f>
        <v>0</v>
      </c>
    </row>
    <row r="936" spans="1:21" s="8" customFormat="1" ht="11.25" x14ac:dyDescent="0.2">
      <c r="A936" s="290">
        <v>10136536</v>
      </c>
      <c r="B936" s="10" t="s">
        <v>4574</v>
      </c>
      <c r="C936" s="12" t="s">
        <v>959</v>
      </c>
      <c r="D936" s="11" t="s">
        <v>958</v>
      </c>
      <c r="E936" s="12" t="s">
        <v>772</v>
      </c>
      <c r="F936" s="13">
        <v>24</v>
      </c>
      <c r="G936" s="22">
        <f>Overview!$B$88</f>
        <v>30</v>
      </c>
      <c r="H936" s="23">
        <f t="shared" si="282"/>
        <v>30</v>
      </c>
      <c r="I936" s="114">
        <f>Overview!$E$88</f>
        <v>0</v>
      </c>
      <c r="J936" s="24">
        <f t="shared" si="283"/>
        <v>0</v>
      </c>
      <c r="K936" s="116">
        <f>Overview!$H$88</f>
        <v>0</v>
      </c>
      <c r="L936" s="51" t="e">
        <f t="shared" si="284"/>
        <v>#DIV/0!</v>
      </c>
      <c r="M936" s="179" t="s">
        <v>2989</v>
      </c>
      <c r="N936" s="179" t="s">
        <v>3140</v>
      </c>
      <c r="O936" s="141">
        <f t="shared" si="285"/>
        <v>0</v>
      </c>
      <c r="P936" s="181" t="b">
        <f>COUNTIF('Facility Data'!$A$1:$A$1500,"*"&amp;A936&amp;"*")&gt;0</f>
        <v>0</v>
      </c>
      <c r="Q936" s="181" t="b">
        <f>COUNTIF('Account Data'!$A$1:$A$1000,"*"&amp;A936&amp;"*")&gt;0</f>
        <v>0</v>
      </c>
      <c r="R936" s="182" t="b">
        <f t="shared" si="286"/>
        <v>1</v>
      </c>
      <c r="S936" s="182" t="b">
        <f t="shared" si="287"/>
        <v>1</v>
      </c>
      <c r="T936" s="181" t="b">
        <f>COUNTIF('New Items'!$A$1:$A$175,A936)&gt;0</f>
        <v>1</v>
      </c>
      <c r="U936" s="181" t="b">
        <f>COUNTIF(Discontinued!$A$1:$A$150,A936)&gt;0</f>
        <v>0</v>
      </c>
    </row>
    <row r="937" spans="1:21" s="8" customFormat="1" ht="11.25" x14ac:dyDescent="0.2">
      <c r="A937" s="290">
        <v>10136485</v>
      </c>
      <c r="B937" s="10" t="s">
        <v>4555</v>
      </c>
      <c r="C937" s="12" t="s">
        <v>855</v>
      </c>
      <c r="D937" s="11" t="s">
        <v>685</v>
      </c>
      <c r="E937" s="12" t="s">
        <v>772</v>
      </c>
      <c r="F937" s="13">
        <v>24</v>
      </c>
      <c r="G937" s="22">
        <f>Overview!$B$88</f>
        <v>30</v>
      </c>
      <c r="H937" s="23">
        <f t="shared" si="282"/>
        <v>30</v>
      </c>
      <c r="I937" s="114">
        <f>Overview!$E$88</f>
        <v>0</v>
      </c>
      <c r="J937" s="24">
        <f t="shared" si="283"/>
        <v>0</v>
      </c>
      <c r="K937" s="116">
        <f>Overview!$H$88</f>
        <v>0</v>
      </c>
      <c r="L937" s="51" t="e">
        <f t="shared" si="284"/>
        <v>#DIV/0!</v>
      </c>
      <c r="M937" s="179"/>
      <c r="N937" s="179" t="s">
        <v>3140</v>
      </c>
      <c r="O937" s="141">
        <f t="shared" si="285"/>
        <v>0</v>
      </c>
      <c r="P937" s="181" t="b">
        <f>COUNTIF('Facility Data'!$A$1:$A$1500,"*"&amp;A937&amp;"*")&gt;0</f>
        <v>0</v>
      </c>
      <c r="Q937" s="181" t="b">
        <f>COUNTIF('Account Data'!$A$1:$A$1000,"*"&amp;A937&amp;"*")&gt;0</f>
        <v>0</v>
      </c>
      <c r="R937" s="182" t="b">
        <f t="shared" si="286"/>
        <v>1</v>
      </c>
      <c r="S937" s="182" t="b">
        <f t="shared" si="287"/>
        <v>1</v>
      </c>
      <c r="T937" s="181" t="b">
        <f>COUNTIF('New Items'!$A$1:$A$175,A937)&gt;0</f>
        <v>1</v>
      </c>
      <c r="U937" s="181" t="b">
        <f>COUNTIF(Discontinued!$A$1:$A$150,A937)&gt;0</f>
        <v>0</v>
      </c>
    </row>
    <row r="938" spans="1:21" s="8" customFormat="1" ht="11.25" x14ac:dyDescent="0.2">
      <c r="A938" s="290">
        <v>10136540</v>
      </c>
      <c r="B938" s="10" t="s">
        <v>4577</v>
      </c>
      <c r="C938" s="12" t="s">
        <v>839</v>
      </c>
      <c r="D938" s="11" t="s">
        <v>686</v>
      </c>
      <c r="E938" s="12" t="s">
        <v>772</v>
      </c>
      <c r="F938" s="13">
        <v>24</v>
      </c>
      <c r="G938" s="22">
        <f>Overview!$B$88</f>
        <v>30</v>
      </c>
      <c r="H938" s="23">
        <f t="shared" si="282"/>
        <v>30</v>
      </c>
      <c r="I938" s="114">
        <f>Overview!$E$88</f>
        <v>0</v>
      </c>
      <c r="J938" s="24">
        <f t="shared" si="283"/>
        <v>0</v>
      </c>
      <c r="K938" s="116">
        <f>Overview!$H$88</f>
        <v>0</v>
      </c>
      <c r="L938" s="51" t="e">
        <f t="shared" si="284"/>
        <v>#DIV/0!</v>
      </c>
      <c r="M938" s="179"/>
      <c r="N938" s="179" t="s">
        <v>3140</v>
      </c>
      <c r="O938" s="141">
        <f t="shared" si="285"/>
        <v>0</v>
      </c>
      <c r="P938" s="181" t="b">
        <f>COUNTIF('Facility Data'!$A$1:$A$1500,"*"&amp;A938&amp;"*")&gt;0</f>
        <v>0</v>
      </c>
      <c r="Q938" s="181" t="b">
        <f>COUNTIF('Account Data'!$A$1:$A$1000,"*"&amp;A938&amp;"*")&gt;0</f>
        <v>0</v>
      </c>
      <c r="R938" s="182" t="b">
        <f t="shared" si="286"/>
        <v>1</v>
      </c>
      <c r="S938" s="182" t="b">
        <f t="shared" si="287"/>
        <v>1</v>
      </c>
      <c r="T938" s="181" t="b">
        <f>COUNTIF('New Items'!$A$1:$A$175,A938)&gt;0</f>
        <v>1</v>
      </c>
      <c r="U938" s="181" t="b">
        <f>COUNTIF(Discontinued!$A$1:$A$150,A938)&gt;0</f>
        <v>0</v>
      </c>
    </row>
    <row r="939" spans="1:21" s="8" customFormat="1" ht="11.25" x14ac:dyDescent="0.2">
      <c r="A939" s="290">
        <v>10136541</v>
      </c>
      <c r="B939" s="10" t="s">
        <v>4578</v>
      </c>
      <c r="C939" s="12" t="s">
        <v>1772</v>
      </c>
      <c r="D939" s="11" t="s">
        <v>694</v>
      </c>
      <c r="E939" s="12" t="s">
        <v>772</v>
      </c>
      <c r="F939" s="13">
        <v>24</v>
      </c>
      <c r="G939" s="22">
        <f>Overview!$B$88</f>
        <v>30</v>
      </c>
      <c r="H939" s="23">
        <f t="shared" si="282"/>
        <v>30</v>
      </c>
      <c r="I939" s="114">
        <f>Overview!$E$88</f>
        <v>0</v>
      </c>
      <c r="J939" s="24">
        <f t="shared" si="283"/>
        <v>0</v>
      </c>
      <c r="K939" s="116">
        <f>Overview!$H$88</f>
        <v>0</v>
      </c>
      <c r="L939" s="51" t="e">
        <f t="shared" si="284"/>
        <v>#DIV/0!</v>
      </c>
      <c r="M939" s="179"/>
      <c r="N939" s="179" t="s">
        <v>3140</v>
      </c>
      <c r="O939" s="141">
        <f t="shared" si="285"/>
        <v>0</v>
      </c>
      <c r="P939" s="181" t="b">
        <f>COUNTIF('Facility Data'!$A$1:$A$1500,"*"&amp;A939&amp;"*")&gt;0</f>
        <v>0</v>
      </c>
      <c r="Q939" s="181" t="b">
        <f>COUNTIF('Account Data'!$A$1:$A$1000,"*"&amp;A939&amp;"*")&gt;0</f>
        <v>0</v>
      </c>
      <c r="R939" s="182" t="b">
        <f t="shared" si="286"/>
        <v>1</v>
      </c>
      <c r="S939" s="182" t="b">
        <f t="shared" si="287"/>
        <v>1</v>
      </c>
      <c r="T939" s="181" t="b">
        <f>COUNTIF('New Items'!$A$1:$A$175,A939)&gt;0</f>
        <v>1</v>
      </c>
      <c r="U939" s="181" t="b">
        <f>COUNTIF(Discontinued!$A$1:$A$150,A939)&gt;0</f>
        <v>0</v>
      </c>
    </row>
    <row r="940" spans="1:21" s="8" customFormat="1" ht="11.25" x14ac:dyDescent="0.2">
      <c r="A940" s="290">
        <v>10136501</v>
      </c>
      <c r="B940" s="10" t="s">
        <v>4561</v>
      </c>
      <c r="C940" s="12" t="s">
        <v>1765</v>
      </c>
      <c r="D940" s="11" t="s">
        <v>699</v>
      </c>
      <c r="E940" s="12" t="s">
        <v>772</v>
      </c>
      <c r="F940" s="13">
        <v>24</v>
      </c>
      <c r="G940" s="22">
        <f>Overview!$B$88</f>
        <v>30</v>
      </c>
      <c r="H940" s="23">
        <f t="shared" si="282"/>
        <v>30</v>
      </c>
      <c r="I940" s="114">
        <f>Overview!$E$88</f>
        <v>0</v>
      </c>
      <c r="J940" s="24">
        <f t="shared" si="283"/>
        <v>0</v>
      </c>
      <c r="K940" s="116">
        <f>Overview!$H$88</f>
        <v>0</v>
      </c>
      <c r="L940" s="51" t="e">
        <f t="shared" si="284"/>
        <v>#DIV/0!</v>
      </c>
      <c r="M940" s="179"/>
      <c r="N940" s="179" t="s">
        <v>3140</v>
      </c>
      <c r="O940" s="141">
        <f t="shared" si="285"/>
        <v>0</v>
      </c>
      <c r="P940" s="181" t="b">
        <f>COUNTIF('Facility Data'!$A$1:$A$1500,"*"&amp;A940&amp;"*")&gt;0</f>
        <v>0</v>
      </c>
      <c r="Q940" s="181" t="b">
        <f>COUNTIF('Account Data'!$A$1:$A$1000,"*"&amp;A940&amp;"*")&gt;0</f>
        <v>0</v>
      </c>
      <c r="R940" s="182" t="b">
        <f t="shared" si="286"/>
        <v>1</v>
      </c>
      <c r="S940" s="182" t="b">
        <f t="shared" si="287"/>
        <v>1</v>
      </c>
      <c r="T940" s="181" t="b">
        <f>COUNTIF('New Items'!$A$1:$A$175,A940)&gt;0</f>
        <v>1</v>
      </c>
      <c r="U940" s="181" t="b">
        <f>COUNTIF(Discontinued!$A$1:$A$150,A940)&gt;0</f>
        <v>0</v>
      </c>
    </row>
    <row r="941" spans="1:21" s="8" customFormat="1" ht="11.25" x14ac:dyDescent="0.2">
      <c r="A941" s="290">
        <v>10136496</v>
      </c>
      <c r="B941" s="10" t="s">
        <v>4559</v>
      </c>
      <c r="C941" s="12" t="s">
        <v>1767</v>
      </c>
      <c r="D941" s="11" t="s">
        <v>1751</v>
      </c>
      <c r="E941" s="12" t="s">
        <v>772</v>
      </c>
      <c r="F941" s="13">
        <v>24</v>
      </c>
      <c r="G941" s="22">
        <f>Overview!$B$88</f>
        <v>30</v>
      </c>
      <c r="H941" s="23">
        <f t="shared" si="282"/>
        <v>30</v>
      </c>
      <c r="I941" s="114">
        <f>Overview!$E$88</f>
        <v>0</v>
      </c>
      <c r="J941" s="24">
        <f t="shared" si="283"/>
        <v>0</v>
      </c>
      <c r="K941" s="116">
        <f>Overview!$H$88</f>
        <v>0</v>
      </c>
      <c r="L941" s="51" t="e">
        <f t="shared" si="284"/>
        <v>#DIV/0!</v>
      </c>
      <c r="M941" s="179"/>
      <c r="N941" s="179" t="s">
        <v>3140</v>
      </c>
      <c r="O941" s="141">
        <f t="shared" si="285"/>
        <v>0</v>
      </c>
      <c r="P941" s="181" t="b">
        <f>COUNTIF('Facility Data'!$A$1:$A$1500,"*"&amp;A941&amp;"*")&gt;0</f>
        <v>0</v>
      </c>
      <c r="Q941" s="181" t="b">
        <f>COUNTIF('Account Data'!$A$1:$A$1000,"*"&amp;A941&amp;"*")&gt;0</f>
        <v>0</v>
      </c>
      <c r="R941" s="182" t="b">
        <f t="shared" si="286"/>
        <v>1</v>
      </c>
      <c r="S941" s="182" t="b">
        <f t="shared" si="287"/>
        <v>1</v>
      </c>
      <c r="T941" s="181" t="b">
        <f>COUNTIF('New Items'!$A$1:$A$175,A941)&gt;0</f>
        <v>1</v>
      </c>
      <c r="U941" s="181" t="b">
        <f>COUNTIF(Discontinued!$A$1:$A$150,A941)&gt;0</f>
        <v>0</v>
      </c>
    </row>
    <row r="942" spans="1:21" s="8" customFormat="1" ht="11.25" x14ac:dyDescent="0.2">
      <c r="A942" s="290">
        <v>10136502</v>
      </c>
      <c r="B942" s="10" t="s">
        <v>4562</v>
      </c>
      <c r="C942" s="12" t="s">
        <v>849</v>
      </c>
      <c r="D942" s="11" t="s">
        <v>688</v>
      </c>
      <c r="E942" s="12" t="s">
        <v>772</v>
      </c>
      <c r="F942" s="13">
        <v>24</v>
      </c>
      <c r="G942" s="22">
        <f>Overview!$B$88</f>
        <v>30</v>
      </c>
      <c r="H942" s="23">
        <f t="shared" si="282"/>
        <v>30</v>
      </c>
      <c r="I942" s="114">
        <f>Overview!$E$88</f>
        <v>0</v>
      </c>
      <c r="J942" s="24">
        <f t="shared" si="283"/>
        <v>0</v>
      </c>
      <c r="K942" s="116">
        <f>Overview!$H$88</f>
        <v>0</v>
      </c>
      <c r="L942" s="51" t="e">
        <f t="shared" si="284"/>
        <v>#DIV/0!</v>
      </c>
      <c r="M942" s="179"/>
      <c r="N942" s="179" t="s">
        <v>3140</v>
      </c>
      <c r="O942" s="141">
        <f t="shared" si="285"/>
        <v>0</v>
      </c>
      <c r="P942" s="181" t="b">
        <f>COUNTIF('Facility Data'!$A$1:$A$1500,"*"&amp;A942&amp;"*")&gt;0</f>
        <v>0</v>
      </c>
      <c r="Q942" s="181" t="b">
        <f>COUNTIF('Account Data'!$A$1:$A$1000,"*"&amp;A942&amp;"*")&gt;0</f>
        <v>0</v>
      </c>
      <c r="R942" s="182" t="b">
        <f t="shared" si="286"/>
        <v>1</v>
      </c>
      <c r="S942" s="182" t="b">
        <f t="shared" si="287"/>
        <v>1</v>
      </c>
      <c r="T942" s="181" t="b">
        <f>COUNTIF('New Items'!$A$1:$A$175,A942)&gt;0</f>
        <v>1</v>
      </c>
      <c r="U942" s="181" t="b">
        <f>COUNTIF(Discontinued!$A$1:$A$150,A942)&gt;0</f>
        <v>0</v>
      </c>
    </row>
    <row r="943" spans="1:21" s="8" customFormat="1" ht="11.25" x14ac:dyDescent="0.2">
      <c r="A943" s="290">
        <v>10136495</v>
      </c>
      <c r="B943" s="10" t="s">
        <v>4558</v>
      </c>
      <c r="C943" s="12" t="s">
        <v>835</v>
      </c>
      <c r="D943" s="11" t="s">
        <v>689</v>
      </c>
      <c r="E943" s="12" t="s">
        <v>772</v>
      </c>
      <c r="F943" s="13">
        <v>24</v>
      </c>
      <c r="G943" s="22">
        <f>Overview!$B$88</f>
        <v>30</v>
      </c>
      <c r="H943" s="23">
        <f t="shared" si="282"/>
        <v>30</v>
      </c>
      <c r="I943" s="114">
        <f>Overview!$E$88</f>
        <v>0</v>
      </c>
      <c r="J943" s="24">
        <f t="shared" si="283"/>
        <v>0</v>
      </c>
      <c r="K943" s="116">
        <f>Overview!$H$88</f>
        <v>0</v>
      </c>
      <c r="L943" s="51" t="e">
        <f t="shared" si="284"/>
        <v>#DIV/0!</v>
      </c>
      <c r="M943" s="179"/>
      <c r="N943" s="179" t="s">
        <v>3140</v>
      </c>
      <c r="O943" s="141">
        <f t="shared" si="285"/>
        <v>0</v>
      </c>
      <c r="P943" s="181" t="b">
        <f>COUNTIF('Facility Data'!$A$1:$A$1500,"*"&amp;A943&amp;"*")&gt;0</f>
        <v>0</v>
      </c>
      <c r="Q943" s="181" t="b">
        <f>COUNTIF('Account Data'!$A$1:$A$1000,"*"&amp;A943&amp;"*")&gt;0</f>
        <v>0</v>
      </c>
      <c r="R943" s="182" t="b">
        <f t="shared" si="286"/>
        <v>1</v>
      </c>
      <c r="S943" s="182" t="b">
        <f t="shared" si="287"/>
        <v>1</v>
      </c>
      <c r="T943" s="181" t="b">
        <f>COUNTIF('New Items'!$A$1:$A$175,A943)&gt;0</f>
        <v>1</v>
      </c>
      <c r="U943" s="181" t="b">
        <f>COUNTIF(Discontinued!$A$1:$A$150,A943)&gt;0</f>
        <v>0</v>
      </c>
    </row>
    <row r="944" spans="1:21" s="8" customFormat="1" ht="11.25" x14ac:dyDescent="0.2">
      <c r="A944" s="152">
        <v>10109318</v>
      </c>
      <c r="B944" s="10" t="s">
        <v>1770</v>
      </c>
      <c r="C944" s="12" t="s">
        <v>997</v>
      </c>
      <c r="D944" s="11" t="s">
        <v>999</v>
      </c>
      <c r="E944" s="12" t="s">
        <v>772</v>
      </c>
      <c r="F944" s="13">
        <v>24</v>
      </c>
      <c r="G944" s="22">
        <f>Overview!$B$88</f>
        <v>30</v>
      </c>
      <c r="H944" s="23">
        <f t="shared" si="282"/>
        <v>30</v>
      </c>
      <c r="I944" s="114">
        <f>Overview!$E$88</f>
        <v>0</v>
      </c>
      <c r="J944" s="24">
        <f t="shared" si="283"/>
        <v>0</v>
      </c>
      <c r="K944" s="116">
        <f>Overview!$H$88</f>
        <v>0</v>
      </c>
      <c r="L944" s="51" t="e">
        <f t="shared" si="284"/>
        <v>#DIV/0!</v>
      </c>
      <c r="M944" s="179"/>
      <c r="N944" s="179" t="s">
        <v>3140</v>
      </c>
      <c r="O944" s="141">
        <f t="shared" si="285"/>
        <v>0</v>
      </c>
      <c r="P944" s="181" t="b">
        <f>COUNTIF('Facility Data'!$A$1:$A$1500,"*"&amp;A944&amp;"*")&gt;0</f>
        <v>0</v>
      </c>
      <c r="Q944" s="181" t="b">
        <f>COUNTIF('Account Data'!$A$1:$A$1000,"*"&amp;A944&amp;"*")&gt;0</f>
        <v>0</v>
      </c>
      <c r="R944" s="182" t="b">
        <f t="shared" si="286"/>
        <v>0</v>
      </c>
      <c r="S944" s="182" t="b">
        <f>IF(OR(Q944=TRUE,T944=TRUE),TRUE,FALSE)</f>
        <v>0</v>
      </c>
      <c r="T944" s="181" t="b">
        <f>COUNTIF('New Items'!$A$1:$A$175,A944)&gt;0</f>
        <v>0</v>
      </c>
      <c r="U944" s="181" t="b">
        <f>COUNTIF(Discontinued!$A$1:$A$150,A944)&gt;0</f>
        <v>0</v>
      </c>
    </row>
    <row r="945" spans="1:21" s="8" customFormat="1" ht="11.25" x14ac:dyDescent="0.2">
      <c r="A945" s="160">
        <v>10134000</v>
      </c>
      <c r="B945" s="231" t="s">
        <v>4359</v>
      </c>
      <c r="C945" s="118" t="s">
        <v>3996</v>
      </c>
      <c r="D945" s="119" t="s">
        <v>754</v>
      </c>
      <c r="E945" s="12" t="s">
        <v>772</v>
      </c>
      <c r="F945" s="13">
        <v>24</v>
      </c>
      <c r="G945" s="22">
        <f>Overview!$B$88</f>
        <v>30</v>
      </c>
      <c r="H945" s="23">
        <f t="shared" si="282"/>
        <v>30</v>
      </c>
      <c r="I945" s="114">
        <f>Overview!$E$88</f>
        <v>0</v>
      </c>
      <c r="J945" s="24">
        <f t="shared" si="283"/>
        <v>0</v>
      </c>
      <c r="K945" s="116">
        <f>Overview!$H$88</f>
        <v>0</v>
      </c>
      <c r="L945" s="51" t="e">
        <f t="shared" si="284"/>
        <v>#DIV/0!</v>
      </c>
      <c r="M945" s="179"/>
      <c r="N945" s="179" t="s">
        <v>3140</v>
      </c>
      <c r="O945" s="141">
        <f t="shared" si="285"/>
        <v>0</v>
      </c>
      <c r="P945" s="181" t="b">
        <f>COUNTIF('Facility Data'!$A$1:$A$1500,"*"&amp;A945&amp;"*")&gt;0</f>
        <v>0</v>
      </c>
      <c r="Q945" s="181" t="b">
        <f>COUNTIF('Account Data'!$A$1:$A$1000,"*"&amp;A945&amp;"*")&gt;0</f>
        <v>0</v>
      </c>
      <c r="R945" s="182" t="b">
        <f t="shared" si="286"/>
        <v>0</v>
      </c>
      <c r="S945" s="182" t="b">
        <f t="shared" si="287"/>
        <v>0</v>
      </c>
      <c r="T945" s="181" t="b">
        <f>COUNTIF('New Items'!$A$1:$A$175,A945)&gt;0</f>
        <v>0</v>
      </c>
      <c r="U945" s="181" t="b">
        <f>COUNTIF(Discontinued!$A$1:$A$150,A945)&gt;0</f>
        <v>0</v>
      </c>
    </row>
    <row r="946" spans="1:21" s="8" customFormat="1" ht="11.25" x14ac:dyDescent="0.2">
      <c r="A946" s="290">
        <v>10136467</v>
      </c>
      <c r="B946" s="10" t="s">
        <v>4551</v>
      </c>
      <c r="C946" s="12" t="s">
        <v>1117</v>
      </c>
      <c r="D946" s="11" t="s">
        <v>725</v>
      </c>
      <c r="E946" s="12" t="s">
        <v>772</v>
      </c>
      <c r="F946" s="13">
        <v>24</v>
      </c>
      <c r="G946" s="22">
        <f>Overview!$B$88</f>
        <v>30</v>
      </c>
      <c r="H946" s="23">
        <f t="shared" si="282"/>
        <v>30</v>
      </c>
      <c r="I946" s="114">
        <f>Overview!$E$88</f>
        <v>0</v>
      </c>
      <c r="J946" s="24">
        <f t="shared" si="283"/>
        <v>0</v>
      </c>
      <c r="K946" s="116">
        <f>Overview!$H$88</f>
        <v>0</v>
      </c>
      <c r="L946" s="51" t="e">
        <f t="shared" si="284"/>
        <v>#DIV/0!</v>
      </c>
      <c r="M946" s="179"/>
      <c r="N946" s="179" t="s">
        <v>3140</v>
      </c>
      <c r="O946" s="141">
        <f t="shared" si="285"/>
        <v>0</v>
      </c>
      <c r="P946" s="181" t="b">
        <f>COUNTIF('Facility Data'!$A$1:$A$1500,"*"&amp;A946&amp;"*")&gt;0</f>
        <v>0</v>
      </c>
      <c r="Q946" s="181" t="b">
        <f>COUNTIF('Account Data'!$A$1:$A$1000,"*"&amp;A946&amp;"*")&gt;0</f>
        <v>0</v>
      </c>
      <c r="R946" s="182" t="b">
        <f t="shared" si="286"/>
        <v>1</v>
      </c>
      <c r="S946" s="182" t="b">
        <f t="shared" si="287"/>
        <v>1</v>
      </c>
      <c r="T946" s="181" t="b">
        <f>COUNTIF('New Items'!$A$1:$A$175,A946)&gt;0</f>
        <v>1</v>
      </c>
      <c r="U946" s="181" t="b">
        <f>COUNTIF(Discontinued!$A$1:$A$150,A946)&gt;0</f>
        <v>0</v>
      </c>
    </row>
    <row r="947" spans="1:21" s="8" customFormat="1" ht="11.25" x14ac:dyDescent="0.2">
      <c r="A947" s="290">
        <v>10136462</v>
      </c>
      <c r="B947" s="10" t="s">
        <v>4548</v>
      </c>
      <c r="C947" s="12" t="s">
        <v>1119</v>
      </c>
      <c r="D947" s="11" t="s">
        <v>1118</v>
      </c>
      <c r="E947" s="12" t="s">
        <v>772</v>
      </c>
      <c r="F947" s="13">
        <v>24</v>
      </c>
      <c r="G947" s="22">
        <f>Overview!$B$88</f>
        <v>30</v>
      </c>
      <c r="H947" s="23">
        <f t="shared" si="282"/>
        <v>30</v>
      </c>
      <c r="I947" s="114">
        <f>Overview!$E$88</f>
        <v>0</v>
      </c>
      <c r="J947" s="24">
        <f t="shared" si="283"/>
        <v>0</v>
      </c>
      <c r="K947" s="116">
        <f>Overview!$H$88</f>
        <v>0</v>
      </c>
      <c r="L947" s="51" t="e">
        <f t="shared" si="284"/>
        <v>#DIV/0!</v>
      </c>
      <c r="M947" s="179"/>
      <c r="N947" s="179" t="s">
        <v>3140</v>
      </c>
      <c r="O947" s="141">
        <f t="shared" si="285"/>
        <v>0</v>
      </c>
      <c r="P947" s="181" t="b">
        <f>COUNTIF('Facility Data'!$A$1:$A$1500,"*"&amp;A947&amp;"*")&gt;0</f>
        <v>0</v>
      </c>
      <c r="Q947" s="181" t="b">
        <f>COUNTIF('Account Data'!$A$1:$A$1000,"*"&amp;A947&amp;"*")&gt;0</f>
        <v>0</v>
      </c>
      <c r="R947" s="182" t="b">
        <f t="shared" si="286"/>
        <v>1</v>
      </c>
      <c r="S947" s="182" t="b">
        <f>IF(OR(Q947=TRUE,T947=TRUE),TRUE,FALSE)</f>
        <v>1</v>
      </c>
      <c r="T947" s="181" t="b">
        <f>COUNTIF('New Items'!$A$1:$A$175,A947)&gt;0</f>
        <v>1</v>
      </c>
      <c r="U947" s="181" t="b">
        <f>COUNTIF(Discontinued!$A$1:$A$150,A947)&gt;0</f>
        <v>0</v>
      </c>
    </row>
    <row r="948" spans="1:21" s="8" customFormat="1" ht="11.25" x14ac:dyDescent="0.2">
      <c r="A948" s="290">
        <v>10136463</v>
      </c>
      <c r="B948" s="10" t="s">
        <v>4549</v>
      </c>
      <c r="C948" s="12" t="s">
        <v>1121</v>
      </c>
      <c r="D948" s="11" t="s">
        <v>1120</v>
      </c>
      <c r="E948" s="12" t="s">
        <v>772</v>
      </c>
      <c r="F948" s="13">
        <v>24</v>
      </c>
      <c r="G948" s="22">
        <f>Overview!$B$88</f>
        <v>30</v>
      </c>
      <c r="H948" s="23">
        <f t="shared" si="282"/>
        <v>30</v>
      </c>
      <c r="I948" s="114">
        <f>Overview!$E$88</f>
        <v>0</v>
      </c>
      <c r="J948" s="24">
        <f t="shared" si="283"/>
        <v>0</v>
      </c>
      <c r="K948" s="116">
        <f>Overview!$H$88</f>
        <v>0</v>
      </c>
      <c r="L948" s="51" t="e">
        <f t="shared" si="284"/>
        <v>#DIV/0!</v>
      </c>
      <c r="M948" s="179"/>
      <c r="N948" s="179" t="s">
        <v>3140</v>
      </c>
      <c r="O948" s="141">
        <f t="shared" si="285"/>
        <v>0</v>
      </c>
      <c r="P948" s="181" t="b">
        <f>COUNTIF('Facility Data'!$A$1:$A$1500,"*"&amp;A948&amp;"*")&gt;0</f>
        <v>0</v>
      </c>
      <c r="Q948" s="181" t="b">
        <f>COUNTIF('Account Data'!$A$1:$A$1000,"*"&amp;A948&amp;"*")&gt;0</f>
        <v>0</v>
      </c>
      <c r="R948" s="182" t="b">
        <f t="shared" si="286"/>
        <v>1</v>
      </c>
      <c r="S948" s="182" t="b">
        <f>IF(OR(Q948=TRUE,T948=TRUE),TRUE,FALSE)</f>
        <v>1</v>
      </c>
      <c r="T948" s="181" t="b">
        <f>COUNTIF('New Items'!$A$1:$A$175,A948)&gt;0</f>
        <v>1</v>
      </c>
      <c r="U948" s="181" t="b">
        <f>COUNTIF(Discontinued!$A$1:$A$150,A948)&gt;0</f>
        <v>0</v>
      </c>
    </row>
    <row r="949" spans="1:21" s="8" customFormat="1" ht="11.25" x14ac:dyDescent="0.2">
      <c r="A949" s="290">
        <v>10136516</v>
      </c>
      <c r="B949" s="10" t="s">
        <v>4569</v>
      </c>
      <c r="C949" s="12" t="s">
        <v>845</v>
      </c>
      <c r="D949" s="11" t="s">
        <v>691</v>
      </c>
      <c r="E949" s="12" t="s">
        <v>772</v>
      </c>
      <c r="F949" s="13">
        <v>24</v>
      </c>
      <c r="G949" s="22">
        <f>Overview!$B$88</f>
        <v>30</v>
      </c>
      <c r="H949" s="23">
        <f t="shared" ref="H949:H955" si="288">G949-I949</f>
        <v>30</v>
      </c>
      <c r="I949" s="114">
        <f>Overview!$E$88</f>
        <v>0</v>
      </c>
      <c r="J949" s="24">
        <f t="shared" ref="J949:J955" si="289">I949/F949</f>
        <v>0</v>
      </c>
      <c r="K949" s="116">
        <f>Overview!$H$88</f>
        <v>0</v>
      </c>
      <c r="L949" s="51" t="e">
        <f t="shared" ref="L949:L955" si="290">(K949-J949)/K949</f>
        <v>#DIV/0!</v>
      </c>
      <c r="M949" s="179"/>
      <c r="N949" s="179" t="s">
        <v>3140</v>
      </c>
      <c r="O949" s="141">
        <f t="shared" ref="O949:O955" si="291">I949</f>
        <v>0</v>
      </c>
      <c r="P949" s="181" t="b">
        <f>COUNTIF('Facility Data'!$A$1:$A$1500,"*"&amp;A949&amp;"*")&gt;0</f>
        <v>0</v>
      </c>
      <c r="Q949" s="181" t="b">
        <f>COUNTIF('Account Data'!$A$1:$A$1000,"*"&amp;A949&amp;"*")&gt;0</f>
        <v>0</v>
      </c>
      <c r="R949" s="182" t="b">
        <f t="shared" si="286"/>
        <v>1</v>
      </c>
      <c r="S949" s="182" t="b">
        <f t="shared" ref="S949:S955" si="292">IF(OR(Q949=TRUE,T949=TRUE),TRUE,FALSE)</f>
        <v>1</v>
      </c>
      <c r="T949" s="181" t="b">
        <f>COUNTIF('New Items'!$A$1:$A$175,A949)&gt;0</f>
        <v>1</v>
      </c>
      <c r="U949" s="181" t="b">
        <f>COUNTIF(Discontinued!$A$1:$A$150,A949)&gt;0</f>
        <v>0</v>
      </c>
    </row>
    <row r="950" spans="1:21" s="8" customFormat="1" ht="11.25" x14ac:dyDescent="0.2">
      <c r="A950" s="152">
        <v>10119506</v>
      </c>
      <c r="B950" s="10" t="s">
        <v>2995</v>
      </c>
      <c r="C950" s="12" t="s">
        <v>845</v>
      </c>
      <c r="D950" s="11" t="s">
        <v>691</v>
      </c>
      <c r="E950" s="12" t="s">
        <v>772</v>
      </c>
      <c r="F950" s="13">
        <v>24</v>
      </c>
      <c r="G950" s="22">
        <f>Overview!$B$88</f>
        <v>30</v>
      </c>
      <c r="H950" s="23">
        <f t="shared" si="288"/>
        <v>30</v>
      </c>
      <c r="I950" s="114">
        <f>Overview!$E$88</f>
        <v>0</v>
      </c>
      <c r="J950" s="24">
        <f t="shared" si="289"/>
        <v>0</v>
      </c>
      <c r="K950" s="116">
        <f>Overview!$H$88</f>
        <v>0</v>
      </c>
      <c r="L950" s="51" t="e">
        <f t="shared" si="290"/>
        <v>#DIV/0!</v>
      </c>
      <c r="M950" s="179" t="s">
        <v>2989</v>
      </c>
      <c r="N950" s="179" t="s">
        <v>3140</v>
      </c>
      <c r="O950" s="141">
        <f t="shared" si="291"/>
        <v>0</v>
      </c>
      <c r="P950" s="181" t="b">
        <f>COUNTIF('Facility Data'!$A$1:$A$1500,"*"&amp;A950&amp;"*")&gt;0</f>
        <v>0</v>
      </c>
      <c r="Q950" s="181" t="b">
        <f>COUNTIF('Account Data'!$A$1:$A$1000,"*"&amp;A950&amp;"*")&gt;0</f>
        <v>0</v>
      </c>
      <c r="R950" s="182" t="b">
        <f t="shared" si="286"/>
        <v>0</v>
      </c>
      <c r="S950" s="182" t="b">
        <f t="shared" si="292"/>
        <v>0</v>
      </c>
      <c r="T950" s="181" t="b">
        <f>COUNTIF('New Items'!$A$1:$A$175,A950)&gt;0</f>
        <v>0</v>
      </c>
      <c r="U950" s="181" t="b">
        <f>COUNTIF(Discontinued!$A$1:$A$150,A950)&gt;0</f>
        <v>0</v>
      </c>
    </row>
    <row r="951" spans="1:21" s="8" customFormat="1" ht="11.25" x14ac:dyDescent="0.2">
      <c r="A951" s="290">
        <v>10136537</v>
      </c>
      <c r="B951" s="10" t="s">
        <v>4570</v>
      </c>
      <c r="C951" s="12" t="s">
        <v>847</v>
      </c>
      <c r="D951" s="11" t="s">
        <v>692</v>
      </c>
      <c r="E951" s="12" t="s">
        <v>772</v>
      </c>
      <c r="F951" s="13">
        <v>24</v>
      </c>
      <c r="G951" s="22">
        <f>Overview!$B$88</f>
        <v>30</v>
      </c>
      <c r="H951" s="23">
        <f t="shared" si="288"/>
        <v>30</v>
      </c>
      <c r="I951" s="114">
        <f>Overview!$E$88</f>
        <v>0</v>
      </c>
      <c r="J951" s="24">
        <f t="shared" si="289"/>
        <v>0</v>
      </c>
      <c r="K951" s="116">
        <f>Overview!$H$88</f>
        <v>0</v>
      </c>
      <c r="L951" s="51" t="e">
        <f t="shared" si="290"/>
        <v>#DIV/0!</v>
      </c>
      <c r="M951" s="179"/>
      <c r="N951" s="179" t="s">
        <v>3140</v>
      </c>
      <c r="O951" s="141">
        <f t="shared" si="291"/>
        <v>0</v>
      </c>
      <c r="P951" s="181" t="b">
        <f>COUNTIF('Facility Data'!$A$1:$A$1500,"*"&amp;A951&amp;"*")&gt;0</f>
        <v>0</v>
      </c>
      <c r="Q951" s="181" t="b">
        <f>COUNTIF('Account Data'!$A$1:$A$1000,"*"&amp;A951&amp;"*")&gt;0</f>
        <v>0</v>
      </c>
      <c r="R951" s="182" t="b">
        <f t="shared" si="286"/>
        <v>1</v>
      </c>
      <c r="S951" s="182" t="b">
        <f t="shared" si="292"/>
        <v>1</v>
      </c>
      <c r="T951" s="181" t="b">
        <f>COUNTIF('New Items'!$A$1:$A$175,A951)&gt;0</f>
        <v>1</v>
      </c>
      <c r="U951" s="181" t="b">
        <f>COUNTIF(Discontinued!$A$1:$A$150,A951)&gt;0</f>
        <v>0</v>
      </c>
    </row>
    <row r="952" spans="1:21" s="8" customFormat="1" ht="11.25" x14ac:dyDescent="0.2">
      <c r="A952" s="290">
        <v>10136512</v>
      </c>
      <c r="B952" s="10" t="s">
        <v>4567</v>
      </c>
      <c r="C952" s="12" t="s">
        <v>843</v>
      </c>
      <c r="D952" s="11" t="s">
        <v>693</v>
      </c>
      <c r="E952" s="12" t="s">
        <v>772</v>
      </c>
      <c r="F952" s="13">
        <v>24</v>
      </c>
      <c r="G952" s="22">
        <f>Overview!$B$88</f>
        <v>30</v>
      </c>
      <c r="H952" s="23">
        <f t="shared" si="288"/>
        <v>30</v>
      </c>
      <c r="I952" s="114">
        <f>Overview!$E$88</f>
        <v>0</v>
      </c>
      <c r="J952" s="24">
        <f t="shared" si="289"/>
        <v>0</v>
      </c>
      <c r="K952" s="116">
        <f>Overview!$H$88</f>
        <v>0</v>
      </c>
      <c r="L952" s="51" t="e">
        <f t="shared" si="290"/>
        <v>#DIV/0!</v>
      </c>
      <c r="M952" s="179"/>
      <c r="N952" s="179" t="s">
        <v>3140</v>
      </c>
      <c r="O952" s="141">
        <f t="shared" si="291"/>
        <v>0</v>
      </c>
      <c r="P952" s="181" t="b">
        <f>COUNTIF('Facility Data'!$A$1:$A$1500,"*"&amp;A952&amp;"*")&gt;0</f>
        <v>0</v>
      </c>
      <c r="Q952" s="181" t="b">
        <f>COUNTIF('Account Data'!$A$1:$A$1000,"*"&amp;A952&amp;"*")&gt;0</f>
        <v>0</v>
      </c>
      <c r="R952" s="182" t="b">
        <f t="shared" si="286"/>
        <v>1</v>
      </c>
      <c r="S952" s="182" t="b">
        <f t="shared" si="292"/>
        <v>1</v>
      </c>
      <c r="T952" s="181" t="b">
        <f>COUNTIF('New Items'!$A$1:$A$175,A952)&gt;0</f>
        <v>1</v>
      </c>
      <c r="U952" s="181" t="b">
        <f>COUNTIF(Discontinued!$A$1:$A$150,A952)&gt;0</f>
        <v>0</v>
      </c>
    </row>
    <row r="953" spans="1:21" s="8" customFormat="1" ht="11.25" x14ac:dyDescent="0.2">
      <c r="A953" s="152">
        <v>10128136</v>
      </c>
      <c r="B953" s="10" t="s">
        <v>3833</v>
      </c>
      <c r="C953" s="12" t="s">
        <v>843</v>
      </c>
      <c r="D953" s="11" t="s">
        <v>693</v>
      </c>
      <c r="E953" s="12" t="s">
        <v>772</v>
      </c>
      <c r="F953" s="13">
        <v>24</v>
      </c>
      <c r="G953" s="22">
        <f>Overview!$B$88</f>
        <v>30</v>
      </c>
      <c r="H953" s="23">
        <f>G953-I953</f>
        <v>30</v>
      </c>
      <c r="I953" s="114">
        <f>Overview!$E$88</f>
        <v>0</v>
      </c>
      <c r="J953" s="24">
        <f>I953/F953</f>
        <v>0</v>
      </c>
      <c r="K953" s="116">
        <f>Overview!$H$88</f>
        <v>0</v>
      </c>
      <c r="L953" s="51" t="e">
        <f>(K953-J953)/K953</f>
        <v>#DIV/0!</v>
      </c>
      <c r="M953" s="179" t="s">
        <v>2989</v>
      </c>
      <c r="N953" s="179" t="s">
        <v>3140</v>
      </c>
      <c r="O953" s="141">
        <f>I953</f>
        <v>0</v>
      </c>
      <c r="P953" s="181" t="b">
        <f>COUNTIF('Facility Data'!$A$1:$A$1500,"*"&amp;A953&amp;"*")&gt;0</f>
        <v>0</v>
      </c>
      <c r="Q953" s="181" t="b">
        <f>COUNTIF('Account Data'!$A$1:$A$1000,"*"&amp;A953&amp;"*")&gt;0</f>
        <v>0</v>
      </c>
      <c r="R953" s="182" t="b">
        <f t="shared" si="286"/>
        <v>0</v>
      </c>
      <c r="S953" s="182" t="b">
        <f>IF(OR(Q953=TRUE,T953=TRUE),TRUE,FALSE)</f>
        <v>0</v>
      </c>
      <c r="T953" s="181" t="b">
        <f>COUNTIF('New Items'!$A$1:$A$175,A953)&gt;0</f>
        <v>0</v>
      </c>
      <c r="U953" s="181" t="b">
        <f>COUNTIF(Discontinued!$A$1:$A$150,A953)&gt;0</f>
        <v>0</v>
      </c>
    </row>
    <row r="954" spans="1:21" s="8" customFormat="1" ht="11.25" x14ac:dyDescent="0.2">
      <c r="A954" s="290">
        <v>10136539</v>
      </c>
      <c r="B954" s="10" t="s">
        <v>4576</v>
      </c>
      <c r="C954" s="12" t="s">
        <v>841</v>
      </c>
      <c r="D954" s="11" t="s">
        <v>690</v>
      </c>
      <c r="E954" s="12" t="s">
        <v>772</v>
      </c>
      <c r="F954" s="13">
        <v>24</v>
      </c>
      <c r="G954" s="22">
        <f>Overview!$B$88</f>
        <v>30</v>
      </c>
      <c r="H954" s="23">
        <f t="shared" si="288"/>
        <v>30</v>
      </c>
      <c r="I954" s="114">
        <f>Overview!$E$88</f>
        <v>0</v>
      </c>
      <c r="J954" s="24">
        <f t="shared" si="289"/>
        <v>0</v>
      </c>
      <c r="K954" s="116">
        <f>Overview!$H$88</f>
        <v>0</v>
      </c>
      <c r="L954" s="51" t="e">
        <f t="shared" si="290"/>
        <v>#DIV/0!</v>
      </c>
      <c r="M954" s="179"/>
      <c r="N954" s="179" t="s">
        <v>3140</v>
      </c>
      <c r="O954" s="141">
        <f t="shared" si="291"/>
        <v>0</v>
      </c>
      <c r="P954" s="181" t="b">
        <f>COUNTIF('Facility Data'!$A$1:$A$1500,"*"&amp;A954&amp;"*")&gt;0</f>
        <v>0</v>
      </c>
      <c r="Q954" s="181" t="b">
        <f>COUNTIF('Account Data'!$A$1:$A$1000,"*"&amp;A954&amp;"*")&gt;0</f>
        <v>0</v>
      </c>
      <c r="R954" s="182" t="b">
        <f t="shared" si="286"/>
        <v>1</v>
      </c>
      <c r="S954" s="182" t="b">
        <f t="shared" si="292"/>
        <v>1</v>
      </c>
      <c r="T954" s="181" t="b">
        <f>COUNTIF('New Items'!$A$1:$A$175,A954)&gt;0</f>
        <v>1</v>
      </c>
      <c r="U954" s="181" t="b">
        <f>COUNTIF(Discontinued!$A$1:$A$150,A954)&gt;0</f>
        <v>0</v>
      </c>
    </row>
    <row r="955" spans="1:21" s="8" customFormat="1" ht="11.25" x14ac:dyDescent="0.2">
      <c r="A955" s="152">
        <v>10119504</v>
      </c>
      <c r="B955" s="10" t="s">
        <v>2994</v>
      </c>
      <c r="C955" s="12" t="s">
        <v>841</v>
      </c>
      <c r="D955" s="11" t="s">
        <v>690</v>
      </c>
      <c r="E955" s="12" t="s">
        <v>772</v>
      </c>
      <c r="F955" s="13">
        <v>24</v>
      </c>
      <c r="G955" s="22">
        <f>Overview!$B$88</f>
        <v>30</v>
      </c>
      <c r="H955" s="23">
        <f t="shared" si="288"/>
        <v>30</v>
      </c>
      <c r="I955" s="114">
        <f>Overview!$E$88</f>
        <v>0</v>
      </c>
      <c r="J955" s="24">
        <f t="shared" si="289"/>
        <v>0</v>
      </c>
      <c r="K955" s="116">
        <f>Overview!$H$88</f>
        <v>0</v>
      </c>
      <c r="L955" s="51" t="e">
        <f t="shared" si="290"/>
        <v>#DIV/0!</v>
      </c>
      <c r="M955" s="179" t="s">
        <v>2989</v>
      </c>
      <c r="N955" s="179" t="s">
        <v>3140</v>
      </c>
      <c r="O955" s="141">
        <f t="shared" si="291"/>
        <v>0</v>
      </c>
      <c r="P955" s="181" t="b">
        <f>COUNTIF('Facility Data'!$A$1:$A$1500,"*"&amp;A955&amp;"*")&gt;0</f>
        <v>0</v>
      </c>
      <c r="Q955" s="181" t="b">
        <f>COUNTIF('Account Data'!$A$1:$A$1000,"*"&amp;A955&amp;"*")&gt;0</f>
        <v>0</v>
      </c>
      <c r="R955" s="182" t="b">
        <f t="shared" si="286"/>
        <v>0</v>
      </c>
      <c r="S955" s="182" t="b">
        <f t="shared" si="292"/>
        <v>0</v>
      </c>
      <c r="T955" s="181" t="b">
        <f>COUNTIF('New Items'!$A$1:$A$175,A955)&gt;0</f>
        <v>0</v>
      </c>
      <c r="U955" s="181" t="b">
        <f>COUNTIF(Discontinued!$A$1:$A$150,A955)&gt;0</f>
        <v>0</v>
      </c>
    </row>
    <row r="956" spans="1:21" s="8" customFormat="1" ht="11.25" x14ac:dyDescent="0.2">
      <c r="A956" s="290">
        <v>10136519</v>
      </c>
      <c r="B956" s="10" t="s">
        <v>4572</v>
      </c>
      <c r="C956" s="12" t="s">
        <v>1774</v>
      </c>
      <c r="D956" s="11" t="s">
        <v>1154</v>
      </c>
      <c r="E956" s="12" t="s">
        <v>772</v>
      </c>
      <c r="F956" s="13">
        <v>24</v>
      </c>
      <c r="G956" s="22">
        <f>Overview!$B$88</f>
        <v>30</v>
      </c>
      <c r="H956" s="23">
        <f>G956-I956</f>
        <v>30</v>
      </c>
      <c r="I956" s="114">
        <f>Overview!$E$88</f>
        <v>0</v>
      </c>
      <c r="J956" s="24">
        <f>I956/F956</f>
        <v>0</v>
      </c>
      <c r="K956" s="116">
        <f>Overview!$H$88</f>
        <v>0</v>
      </c>
      <c r="L956" s="51" t="e">
        <f>(K956-J956)/K956</f>
        <v>#DIV/0!</v>
      </c>
      <c r="M956" s="179"/>
      <c r="N956" s="179" t="s">
        <v>3140</v>
      </c>
      <c r="O956" s="141">
        <f>I956</f>
        <v>0</v>
      </c>
      <c r="P956" s="181" t="b">
        <f>COUNTIF('Facility Data'!$A$1:$A$1500,"*"&amp;A956&amp;"*")&gt;0</f>
        <v>0</v>
      </c>
      <c r="Q956" s="181" t="b">
        <f>COUNTIF('Account Data'!$A$1:$A$1000,"*"&amp;A956&amp;"*")&gt;0</f>
        <v>0</v>
      </c>
      <c r="R956" s="182" t="b">
        <f t="shared" si="286"/>
        <v>1</v>
      </c>
      <c r="S956" s="182" t="b">
        <f t="shared" ref="S956:S969" si="293">IF(OR(Q956=TRUE,T956=TRUE),TRUE,FALSE)</f>
        <v>1</v>
      </c>
      <c r="T956" s="181" t="b">
        <f>COUNTIF('New Items'!$A$1:$A$175,A956)&gt;0</f>
        <v>1</v>
      </c>
      <c r="U956" s="181" t="b">
        <f>COUNTIF(Discontinued!$A$1:$A$150,A956)&gt;0</f>
        <v>0</v>
      </c>
    </row>
    <row r="957" spans="1:21" s="8" customFormat="1" ht="11.25" x14ac:dyDescent="0.2">
      <c r="A957" s="152">
        <v>10128135</v>
      </c>
      <c r="B957" s="10" t="s">
        <v>3832</v>
      </c>
      <c r="C957" s="12" t="s">
        <v>1774</v>
      </c>
      <c r="D957" s="11" t="s">
        <v>1154</v>
      </c>
      <c r="E957" s="12" t="s">
        <v>772</v>
      </c>
      <c r="F957" s="13">
        <v>24</v>
      </c>
      <c r="G957" s="22">
        <f>Overview!$B$88</f>
        <v>30</v>
      </c>
      <c r="H957" s="23">
        <f>G957-I957</f>
        <v>30</v>
      </c>
      <c r="I957" s="114">
        <f>Overview!$E$88</f>
        <v>0</v>
      </c>
      <c r="J957" s="24">
        <f>I957/F957</f>
        <v>0</v>
      </c>
      <c r="K957" s="116">
        <f>Overview!$H$88</f>
        <v>0</v>
      </c>
      <c r="L957" s="51" t="e">
        <f>(K957-J957)/K957</f>
        <v>#DIV/0!</v>
      </c>
      <c r="M957" s="179" t="s">
        <v>2989</v>
      </c>
      <c r="N957" s="179" t="s">
        <v>3140</v>
      </c>
      <c r="O957" s="141">
        <f>I957</f>
        <v>0</v>
      </c>
      <c r="P957" s="181" t="b">
        <f>COUNTIF('Facility Data'!$A$1:$A$1500,"*"&amp;A957&amp;"*")&gt;0</f>
        <v>0</v>
      </c>
      <c r="Q957" s="181" t="b">
        <f>COUNTIF('Account Data'!$A$1:$A$1000,"*"&amp;A957&amp;"*")&gt;0</f>
        <v>0</v>
      </c>
      <c r="R957" s="182" t="b">
        <f t="shared" si="286"/>
        <v>0</v>
      </c>
      <c r="S957" s="182" t="b">
        <f>IF(OR(Q957=TRUE,T957=TRUE),TRUE,FALSE)</f>
        <v>0</v>
      </c>
      <c r="T957" s="181" t="b">
        <f>COUNTIF('New Items'!$A$1:$A$175,A957)&gt;0</f>
        <v>0</v>
      </c>
      <c r="U957" s="181" t="b">
        <f>COUNTIF(Discontinued!$A$1:$A$150,A957)&gt;0</f>
        <v>0</v>
      </c>
    </row>
    <row r="958" spans="1:21" s="8" customFormat="1" ht="11.25" x14ac:dyDescent="0.2">
      <c r="A958" s="290">
        <v>10136574</v>
      </c>
      <c r="B958" s="10" t="s">
        <v>4579</v>
      </c>
      <c r="C958" s="12" t="s">
        <v>1787</v>
      </c>
      <c r="D958" s="11" t="s">
        <v>1797</v>
      </c>
      <c r="E958" s="12" t="s">
        <v>772</v>
      </c>
      <c r="F958" s="13">
        <v>24</v>
      </c>
      <c r="G958" s="22">
        <f>Overview!$B$88</f>
        <v>30</v>
      </c>
      <c r="H958" s="23">
        <f>G958-I958</f>
        <v>30</v>
      </c>
      <c r="I958" s="114">
        <f>Overview!$E$88</f>
        <v>0</v>
      </c>
      <c r="J958" s="24">
        <f>I958/F958</f>
        <v>0</v>
      </c>
      <c r="K958" s="116">
        <f>Overview!$H$88</f>
        <v>0</v>
      </c>
      <c r="L958" s="51" t="e">
        <f>(K958-J958)/K958</f>
        <v>#DIV/0!</v>
      </c>
      <c r="M958" s="179"/>
      <c r="N958" s="179" t="s">
        <v>3140</v>
      </c>
      <c r="O958" s="141">
        <f>I958</f>
        <v>0</v>
      </c>
      <c r="P958" s="181" t="b">
        <f>COUNTIF('Facility Data'!$A$1:$A$1500,"*"&amp;A958&amp;"*")&gt;0</f>
        <v>0</v>
      </c>
      <c r="Q958" s="181" t="b">
        <f>COUNTIF('Account Data'!$A$1:$A$1000,"*"&amp;A958&amp;"*")&gt;0</f>
        <v>0</v>
      </c>
      <c r="R958" s="182" t="b">
        <f t="shared" si="286"/>
        <v>1</v>
      </c>
      <c r="S958" s="182" t="b">
        <f t="shared" si="293"/>
        <v>1</v>
      </c>
      <c r="T958" s="181" t="b">
        <f>COUNTIF('New Items'!$A$1:$A$175,A958)&gt;0</f>
        <v>1</v>
      </c>
      <c r="U958" s="181" t="b">
        <f>COUNTIF(Discontinued!$A$1:$A$150,A958)&gt;0</f>
        <v>0</v>
      </c>
    </row>
    <row r="959" spans="1:21" s="8" customFormat="1" ht="11.25" x14ac:dyDescent="0.2">
      <c r="A959" s="290">
        <v>10136511</v>
      </c>
      <c r="B959" s="10" t="s">
        <v>4566</v>
      </c>
      <c r="C959" s="12" t="s">
        <v>1776</v>
      </c>
      <c r="D959" s="11" t="s">
        <v>1502</v>
      </c>
      <c r="E959" s="12" t="s">
        <v>772</v>
      </c>
      <c r="F959" s="13">
        <v>24</v>
      </c>
      <c r="G959" s="22">
        <f>Overview!$B$88</f>
        <v>30</v>
      </c>
      <c r="H959" s="23">
        <f t="shared" ref="H959:H969" si="294">G959-I959</f>
        <v>30</v>
      </c>
      <c r="I959" s="114">
        <f>Overview!$E$88</f>
        <v>0</v>
      </c>
      <c r="J959" s="24">
        <f t="shared" ref="J959:J969" si="295">I959/F959</f>
        <v>0</v>
      </c>
      <c r="K959" s="116">
        <f>Overview!$H$88</f>
        <v>0</v>
      </c>
      <c r="L959" s="51" t="e">
        <f t="shared" ref="L959:L969" si="296">(K959-J959)/K959</f>
        <v>#DIV/0!</v>
      </c>
      <c r="M959" s="179"/>
      <c r="N959" s="179" t="s">
        <v>3140</v>
      </c>
      <c r="O959" s="141">
        <f>I959</f>
        <v>0</v>
      </c>
      <c r="P959" s="181" t="b">
        <f>COUNTIF('Facility Data'!$A$1:$A$1500,"*"&amp;A959&amp;"*")&gt;0</f>
        <v>0</v>
      </c>
      <c r="Q959" s="181" t="b">
        <f>COUNTIF('Account Data'!$A$1:$A$1000,"*"&amp;A959&amp;"*")&gt;0</f>
        <v>0</v>
      </c>
      <c r="R959" s="182" t="b">
        <f t="shared" si="286"/>
        <v>1</v>
      </c>
      <c r="S959" s="182" t="b">
        <f t="shared" si="293"/>
        <v>1</v>
      </c>
      <c r="T959" s="181" t="b">
        <f>COUNTIF('New Items'!$A$1:$A$175,A959)&gt;0</f>
        <v>1</v>
      </c>
      <c r="U959" s="181" t="b">
        <f>COUNTIF(Discontinued!$A$1:$A$150,A959)&gt;0</f>
        <v>0</v>
      </c>
    </row>
    <row r="960" spans="1:21" s="8" customFormat="1" ht="11.25" x14ac:dyDescent="0.2">
      <c r="A960" s="290">
        <v>10136469</v>
      </c>
      <c r="B960" s="10" t="s">
        <v>4553</v>
      </c>
      <c r="C960" s="12" t="s">
        <v>1778</v>
      </c>
      <c r="D960" s="11" t="s">
        <v>742</v>
      </c>
      <c r="E960" s="12" t="s">
        <v>772</v>
      </c>
      <c r="F960" s="13">
        <v>24</v>
      </c>
      <c r="G960" s="22">
        <f>Overview!$B$88</f>
        <v>30</v>
      </c>
      <c r="H960" s="23">
        <f t="shared" si="294"/>
        <v>30</v>
      </c>
      <c r="I960" s="114">
        <f>Overview!$E$88</f>
        <v>0</v>
      </c>
      <c r="J960" s="24">
        <f t="shared" si="295"/>
        <v>0</v>
      </c>
      <c r="K960" s="116">
        <f>Overview!$H$88</f>
        <v>0</v>
      </c>
      <c r="L960" s="51" t="e">
        <f t="shared" si="296"/>
        <v>#DIV/0!</v>
      </c>
      <c r="M960" s="179"/>
      <c r="N960" s="179" t="s">
        <v>3140</v>
      </c>
      <c r="O960" s="141">
        <f t="shared" ref="O960:O969" si="297">I960</f>
        <v>0</v>
      </c>
      <c r="P960" s="181" t="b">
        <f>COUNTIF('Facility Data'!$A$1:$A$1500,"*"&amp;A960&amp;"*")&gt;0</f>
        <v>0</v>
      </c>
      <c r="Q960" s="181" t="b">
        <f>COUNTIF('Account Data'!$A$1:$A$1000,"*"&amp;A960&amp;"*")&gt;0</f>
        <v>0</v>
      </c>
      <c r="R960" s="182" t="b">
        <f t="shared" si="286"/>
        <v>1</v>
      </c>
      <c r="S960" s="182" t="b">
        <f t="shared" si="293"/>
        <v>1</v>
      </c>
      <c r="T960" s="181" t="b">
        <f>COUNTIF('New Items'!$A$1:$A$175,A960)&gt;0</f>
        <v>1</v>
      </c>
      <c r="U960" s="181" t="b">
        <f>COUNTIF(Discontinued!$A$1:$A$150,A960)&gt;0</f>
        <v>0</v>
      </c>
    </row>
    <row r="961" spans="1:21" s="8" customFormat="1" ht="11.25" x14ac:dyDescent="0.2">
      <c r="A961" s="290">
        <v>10136465</v>
      </c>
      <c r="B961" s="10" t="s">
        <v>4550</v>
      </c>
      <c r="C961" s="12" t="s">
        <v>1755</v>
      </c>
      <c r="D961" s="11" t="s">
        <v>1756</v>
      </c>
      <c r="E961" s="12" t="s">
        <v>772</v>
      </c>
      <c r="F961" s="13">
        <v>24</v>
      </c>
      <c r="G961" s="22">
        <f>Overview!$B$88</f>
        <v>30</v>
      </c>
      <c r="H961" s="23">
        <f t="shared" si="294"/>
        <v>30</v>
      </c>
      <c r="I961" s="114">
        <f>Overview!$E$88</f>
        <v>0</v>
      </c>
      <c r="J961" s="24">
        <f t="shared" si="295"/>
        <v>0</v>
      </c>
      <c r="K961" s="116">
        <f>Overview!$H$88</f>
        <v>0</v>
      </c>
      <c r="L961" s="51" t="e">
        <f t="shared" si="296"/>
        <v>#DIV/0!</v>
      </c>
      <c r="M961" s="179"/>
      <c r="N961" s="179" t="s">
        <v>3140</v>
      </c>
      <c r="O961" s="141">
        <f t="shared" si="297"/>
        <v>0</v>
      </c>
      <c r="P961" s="181" t="b">
        <f>COUNTIF('Facility Data'!$A$1:$A$1500,"*"&amp;A961&amp;"*")&gt;0</f>
        <v>0</v>
      </c>
      <c r="Q961" s="181" t="b">
        <f>COUNTIF('Account Data'!$A$1:$A$1000,"*"&amp;A961&amp;"*")&gt;0</f>
        <v>0</v>
      </c>
      <c r="R961" s="182" t="b">
        <f t="shared" si="286"/>
        <v>1</v>
      </c>
      <c r="S961" s="182" t="b">
        <f t="shared" si="293"/>
        <v>1</v>
      </c>
      <c r="T961" s="181" t="b">
        <f>COUNTIF('New Items'!$A$1:$A$175,A961)&gt;0</f>
        <v>1</v>
      </c>
      <c r="U961" s="181" t="b">
        <f>COUNTIF(Discontinued!$A$1:$A$150,A961)&gt;0</f>
        <v>0</v>
      </c>
    </row>
    <row r="962" spans="1:21" s="8" customFormat="1" ht="11.25" x14ac:dyDescent="0.2">
      <c r="A962" s="290">
        <v>10136492</v>
      </c>
      <c r="B962" s="10" t="s">
        <v>4557</v>
      </c>
      <c r="C962" s="12" t="s">
        <v>1341</v>
      </c>
      <c r="D962" s="11" t="s">
        <v>1339</v>
      </c>
      <c r="E962" s="12" t="s">
        <v>772</v>
      </c>
      <c r="F962" s="13">
        <v>24</v>
      </c>
      <c r="G962" s="22">
        <f>Overview!$B$88</f>
        <v>30</v>
      </c>
      <c r="H962" s="23">
        <f>G962-I962</f>
        <v>30</v>
      </c>
      <c r="I962" s="114">
        <f>Overview!$E$88</f>
        <v>0</v>
      </c>
      <c r="J962" s="24">
        <f>I962/F962</f>
        <v>0</v>
      </c>
      <c r="K962" s="116">
        <f>Overview!$H$88</f>
        <v>0</v>
      </c>
      <c r="L962" s="51" t="e">
        <f>(K962-J962)/K962</f>
        <v>#DIV/0!</v>
      </c>
      <c r="M962" s="179"/>
      <c r="N962" s="179" t="s">
        <v>3140</v>
      </c>
      <c r="O962" s="141">
        <f>I962</f>
        <v>0</v>
      </c>
      <c r="P962" s="181" t="b">
        <f>COUNTIF('Facility Data'!$A$1:$A$1500,"*"&amp;A962&amp;"*")&gt;0</f>
        <v>0</v>
      </c>
      <c r="Q962" s="181" t="b">
        <f>COUNTIF('Account Data'!$A$1:$A$1000,"*"&amp;A962&amp;"*")&gt;0</f>
        <v>0</v>
      </c>
      <c r="R962" s="182" t="b">
        <f t="shared" si="286"/>
        <v>1</v>
      </c>
      <c r="S962" s="182" t="b">
        <f t="shared" si="293"/>
        <v>1</v>
      </c>
      <c r="T962" s="181" t="b">
        <f>COUNTIF('New Items'!$A$1:$A$175,A962)&gt;0</f>
        <v>1</v>
      </c>
      <c r="U962" s="181" t="b">
        <f>COUNTIF(Discontinued!$A$1:$A$150,A962)&gt;0</f>
        <v>0</v>
      </c>
    </row>
    <row r="963" spans="1:21" s="8" customFormat="1" ht="11.25" x14ac:dyDescent="0.2">
      <c r="A963" s="290">
        <v>10136468</v>
      </c>
      <c r="B963" s="10" t="s">
        <v>4552</v>
      </c>
      <c r="C963" s="12" t="s">
        <v>1343</v>
      </c>
      <c r="D963" s="11" t="s">
        <v>1338</v>
      </c>
      <c r="E963" s="12" t="s">
        <v>772</v>
      </c>
      <c r="F963" s="13">
        <v>24</v>
      </c>
      <c r="G963" s="22">
        <f>Overview!$B$88</f>
        <v>30</v>
      </c>
      <c r="H963" s="23">
        <f>G963-I963</f>
        <v>30</v>
      </c>
      <c r="I963" s="114">
        <f>Overview!$E$88</f>
        <v>0</v>
      </c>
      <c r="J963" s="24">
        <f>I963/F963</f>
        <v>0</v>
      </c>
      <c r="K963" s="116">
        <f>Overview!$H$88</f>
        <v>0</v>
      </c>
      <c r="L963" s="51" t="e">
        <f>(K963-J963)/K963</f>
        <v>#DIV/0!</v>
      </c>
      <c r="M963" s="179"/>
      <c r="N963" s="179" t="s">
        <v>3140</v>
      </c>
      <c r="O963" s="141">
        <f>I963</f>
        <v>0</v>
      </c>
      <c r="P963" s="181" t="b">
        <f>COUNTIF('Facility Data'!$A$1:$A$1500,"*"&amp;A963&amp;"*")&gt;0</f>
        <v>0</v>
      </c>
      <c r="Q963" s="181" t="b">
        <f>COUNTIF('Account Data'!$A$1:$A$1000,"*"&amp;A963&amp;"*")&gt;0</f>
        <v>0</v>
      </c>
      <c r="R963" s="182" t="b">
        <f t="shared" si="286"/>
        <v>1</v>
      </c>
      <c r="S963" s="182" t="b">
        <f t="shared" si="293"/>
        <v>1</v>
      </c>
      <c r="T963" s="181" t="b">
        <f>COUNTIF('New Items'!$A$1:$A$175,A963)&gt;0</f>
        <v>1</v>
      </c>
      <c r="U963" s="181" t="b">
        <f>COUNTIF(Discontinued!$A$1:$A$150,A963)&gt;0</f>
        <v>0</v>
      </c>
    </row>
    <row r="964" spans="1:21" s="8" customFormat="1" ht="11.25" x14ac:dyDescent="0.2">
      <c r="A964" s="290">
        <v>10136513</v>
      </c>
      <c r="B964" s="10" t="s">
        <v>4568</v>
      </c>
      <c r="C964" s="12" t="s">
        <v>1789</v>
      </c>
      <c r="D964" s="11" t="s">
        <v>1798</v>
      </c>
      <c r="E964" s="12" t="s">
        <v>772</v>
      </c>
      <c r="F964" s="13">
        <v>24</v>
      </c>
      <c r="G964" s="22">
        <f>Overview!$B$88</f>
        <v>30</v>
      </c>
      <c r="H964" s="23">
        <f>G964-I964</f>
        <v>30</v>
      </c>
      <c r="I964" s="114">
        <f>Overview!$E$88</f>
        <v>0</v>
      </c>
      <c r="J964" s="24">
        <f>I964/F964</f>
        <v>0</v>
      </c>
      <c r="K964" s="116">
        <f>Overview!$H$88</f>
        <v>0</v>
      </c>
      <c r="L964" s="51" t="e">
        <f>(K964-J964)/K964</f>
        <v>#DIV/0!</v>
      </c>
      <c r="M964" s="179"/>
      <c r="N964" s="179" t="s">
        <v>3140</v>
      </c>
      <c r="O964" s="141">
        <f>I964</f>
        <v>0</v>
      </c>
      <c r="P964" s="181" t="b">
        <f>COUNTIF('Facility Data'!$A$1:$A$1500,"*"&amp;A964&amp;"*")&gt;0</f>
        <v>0</v>
      </c>
      <c r="Q964" s="181" t="b">
        <f>COUNTIF('Account Data'!$A$1:$A$1000,"*"&amp;A964&amp;"*")&gt;0</f>
        <v>0</v>
      </c>
      <c r="R964" s="182" t="b">
        <f t="shared" si="286"/>
        <v>1</v>
      </c>
      <c r="S964" s="182" t="b">
        <f t="shared" si="293"/>
        <v>1</v>
      </c>
      <c r="T964" s="181" t="b">
        <f>COUNTIF('New Items'!$A$1:$A$175,A964)&gt;0</f>
        <v>1</v>
      </c>
      <c r="U964" s="181" t="b">
        <f>COUNTIF(Discontinued!$A$1:$A$150,A964)&gt;0</f>
        <v>0</v>
      </c>
    </row>
    <row r="965" spans="1:21" s="8" customFormat="1" ht="11.25" x14ac:dyDescent="0.2">
      <c r="A965" s="290">
        <v>10136489</v>
      </c>
      <c r="B965" s="10" t="s">
        <v>4556</v>
      </c>
      <c r="C965" s="12" t="s">
        <v>1795</v>
      </c>
      <c r="D965" s="11" t="s">
        <v>1753</v>
      </c>
      <c r="E965" s="12" t="s">
        <v>772</v>
      </c>
      <c r="F965" s="13">
        <v>24</v>
      </c>
      <c r="G965" s="22">
        <f>Overview!$B$88</f>
        <v>30</v>
      </c>
      <c r="H965" s="23">
        <f>G965-I965</f>
        <v>30</v>
      </c>
      <c r="I965" s="114">
        <f>Overview!$E$88</f>
        <v>0</v>
      </c>
      <c r="J965" s="24">
        <f>I965/F965</f>
        <v>0</v>
      </c>
      <c r="K965" s="116">
        <f>Overview!$H$88</f>
        <v>0</v>
      </c>
      <c r="L965" s="51" t="e">
        <f>(K965-J965)/K965</f>
        <v>#DIV/0!</v>
      </c>
      <c r="M965" s="179"/>
      <c r="N965" s="179" t="s">
        <v>3140</v>
      </c>
      <c r="O965" s="141">
        <f>I965</f>
        <v>0</v>
      </c>
      <c r="P965" s="181" t="b">
        <f>COUNTIF('Facility Data'!$A$1:$A$1500,"*"&amp;A965&amp;"*")&gt;0</f>
        <v>0</v>
      </c>
      <c r="Q965" s="181" t="b">
        <f>COUNTIF('Account Data'!$A$1:$A$1000,"*"&amp;A965&amp;"*")&gt;0</f>
        <v>0</v>
      </c>
      <c r="R965" s="182" t="b">
        <f t="shared" si="286"/>
        <v>1</v>
      </c>
      <c r="S965" s="182" t="b">
        <f t="shared" si="293"/>
        <v>1</v>
      </c>
      <c r="T965" s="181" t="b">
        <f>COUNTIF('New Items'!$A$1:$A$175,A965)&gt;0</f>
        <v>1</v>
      </c>
      <c r="U965" s="181" t="b">
        <f>COUNTIF(Discontinued!$A$1:$A$150,A965)&gt;0</f>
        <v>0</v>
      </c>
    </row>
    <row r="966" spans="1:21" s="8" customFormat="1" ht="11.25" x14ac:dyDescent="0.2">
      <c r="A966" s="290">
        <v>10136471</v>
      </c>
      <c r="B966" s="10" t="s">
        <v>4554</v>
      </c>
      <c r="C966" s="12" t="s">
        <v>1785</v>
      </c>
      <c r="D966" s="11" t="s">
        <v>1796</v>
      </c>
      <c r="E966" s="12" t="s">
        <v>772</v>
      </c>
      <c r="F966" s="13">
        <v>24</v>
      </c>
      <c r="G966" s="22">
        <f>Overview!$B$88</f>
        <v>30</v>
      </c>
      <c r="H966" s="23">
        <f t="shared" si="294"/>
        <v>30</v>
      </c>
      <c r="I966" s="114">
        <f>Overview!$E$88</f>
        <v>0</v>
      </c>
      <c r="J966" s="24">
        <f t="shared" si="295"/>
        <v>0</v>
      </c>
      <c r="K966" s="116">
        <f>Overview!$H$88</f>
        <v>0</v>
      </c>
      <c r="L966" s="51" t="e">
        <f t="shared" si="296"/>
        <v>#DIV/0!</v>
      </c>
      <c r="M966" s="179"/>
      <c r="N966" s="179" t="s">
        <v>3140</v>
      </c>
      <c r="O966" s="141">
        <f t="shared" si="297"/>
        <v>0</v>
      </c>
      <c r="P966" s="181" t="b">
        <f>COUNTIF('Facility Data'!$A$1:$A$1500,"*"&amp;A966&amp;"*")&gt;0</f>
        <v>0</v>
      </c>
      <c r="Q966" s="181" t="b">
        <f>COUNTIF('Account Data'!$A$1:$A$1000,"*"&amp;A966&amp;"*")&gt;0</f>
        <v>0</v>
      </c>
      <c r="R966" s="182" t="b">
        <f t="shared" si="286"/>
        <v>1</v>
      </c>
      <c r="S966" s="182" t="b">
        <f t="shared" si="293"/>
        <v>1</v>
      </c>
      <c r="T966" s="181" t="b">
        <f>COUNTIF('New Items'!$A$1:$A$175,A966)&gt;0</f>
        <v>1</v>
      </c>
      <c r="U966" s="181" t="b">
        <f>COUNTIF(Discontinued!$A$1:$A$150,A966)&gt;0</f>
        <v>0</v>
      </c>
    </row>
    <row r="967" spans="1:21" s="8" customFormat="1" ht="11.25" x14ac:dyDescent="0.2">
      <c r="A967" s="290">
        <v>10136518</v>
      </c>
      <c r="B967" s="10" t="s">
        <v>4571</v>
      </c>
      <c r="C967" s="12" t="s">
        <v>1791</v>
      </c>
      <c r="D967" s="11" t="s">
        <v>1471</v>
      </c>
      <c r="E967" s="12" t="s">
        <v>772</v>
      </c>
      <c r="F967" s="13">
        <v>24</v>
      </c>
      <c r="G967" s="22">
        <f>Overview!$B$88</f>
        <v>30</v>
      </c>
      <c r="H967" s="23">
        <f t="shared" si="294"/>
        <v>30</v>
      </c>
      <c r="I967" s="114">
        <f>Overview!$E$88</f>
        <v>0</v>
      </c>
      <c r="J967" s="24">
        <f t="shared" si="295"/>
        <v>0</v>
      </c>
      <c r="K967" s="116">
        <f>Overview!$H$88</f>
        <v>0</v>
      </c>
      <c r="L967" s="51" t="e">
        <f t="shared" si="296"/>
        <v>#DIV/0!</v>
      </c>
      <c r="M967" s="179"/>
      <c r="N967" s="179" t="s">
        <v>3140</v>
      </c>
      <c r="O967" s="141">
        <f t="shared" si="297"/>
        <v>0</v>
      </c>
      <c r="P967" s="181" t="b">
        <f>COUNTIF('Facility Data'!$A$1:$A$1500,"*"&amp;A967&amp;"*")&gt;0</f>
        <v>0</v>
      </c>
      <c r="Q967" s="181" t="b">
        <f>COUNTIF('Account Data'!$A$1:$A$1000,"*"&amp;A967&amp;"*")&gt;0</f>
        <v>0</v>
      </c>
      <c r="R967" s="182" t="b">
        <f t="shared" si="286"/>
        <v>1</v>
      </c>
      <c r="S967" s="182" t="b">
        <f t="shared" si="293"/>
        <v>1</v>
      </c>
      <c r="T967" s="181" t="b">
        <f>COUNTIF('New Items'!$A$1:$A$175,A967)&gt;0</f>
        <v>1</v>
      </c>
      <c r="U967" s="181" t="b">
        <f>COUNTIF(Discontinued!$A$1:$A$150,A967)&gt;0</f>
        <v>0</v>
      </c>
    </row>
    <row r="968" spans="1:21" s="8" customFormat="1" ht="11.25" x14ac:dyDescent="0.2">
      <c r="A968" s="152">
        <v>10125812</v>
      </c>
      <c r="B968" s="10" t="s">
        <v>3835</v>
      </c>
      <c r="C968" s="12" t="s">
        <v>3834</v>
      </c>
      <c r="D968" s="11" t="s">
        <v>1153</v>
      </c>
      <c r="E968" s="12" t="s">
        <v>772</v>
      </c>
      <c r="F968" s="13">
        <v>24</v>
      </c>
      <c r="G968" s="22">
        <f>Overview!$B$88</f>
        <v>30</v>
      </c>
      <c r="H968" s="23">
        <f>G968-I968</f>
        <v>30</v>
      </c>
      <c r="I968" s="114">
        <f>Overview!$E$88</f>
        <v>0</v>
      </c>
      <c r="J968" s="24">
        <f>I968/F968</f>
        <v>0</v>
      </c>
      <c r="K968" s="116">
        <f>Overview!$H$88</f>
        <v>0</v>
      </c>
      <c r="L968" s="51" t="e">
        <f>(K968-J968)/K968</f>
        <v>#DIV/0!</v>
      </c>
      <c r="M968" s="179"/>
      <c r="N968" s="179" t="s">
        <v>3140</v>
      </c>
      <c r="O968" s="141">
        <f>I968</f>
        <v>0</v>
      </c>
      <c r="P968" s="181" t="b">
        <f>COUNTIF('Facility Data'!$A$1:$A$1500,"*"&amp;A968&amp;"*")&gt;0</f>
        <v>0</v>
      </c>
      <c r="Q968" s="181" t="b">
        <f>COUNTIF('Account Data'!$A$1:$A$1000,"*"&amp;A968&amp;"*")&gt;0</f>
        <v>0</v>
      </c>
      <c r="R968" s="182" t="b">
        <f t="shared" si="286"/>
        <v>0</v>
      </c>
      <c r="S968" s="182" t="b">
        <f>IF(OR(Q968=TRUE,T968=TRUE),TRUE,FALSE)</f>
        <v>0</v>
      </c>
      <c r="T968" s="181" t="b">
        <f>COUNTIF('New Items'!$A$1:$A$175,A968)&gt;0</f>
        <v>0</v>
      </c>
      <c r="U968" s="181" t="b">
        <f>COUNTIF(Discontinued!$A$1:$A$150,A968)&gt;0</f>
        <v>0</v>
      </c>
    </row>
    <row r="969" spans="1:21" s="8" customFormat="1" ht="12" thickBot="1" x14ac:dyDescent="0.25">
      <c r="A969" s="152">
        <v>10125813</v>
      </c>
      <c r="B969" s="10" t="s">
        <v>3836</v>
      </c>
      <c r="C969" s="12" t="s">
        <v>3834</v>
      </c>
      <c r="D969" s="11" t="s">
        <v>1153</v>
      </c>
      <c r="E969" s="12" t="s">
        <v>772</v>
      </c>
      <c r="F969" s="13">
        <v>24</v>
      </c>
      <c r="G969" s="22">
        <f>Overview!$B$88</f>
        <v>30</v>
      </c>
      <c r="H969" s="23">
        <f t="shared" si="294"/>
        <v>30</v>
      </c>
      <c r="I969" s="114">
        <f>Overview!$E$88</f>
        <v>0</v>
      </c>
      <c r="J969" s="24">
        <f t="shared" si="295"/>
        <v>0</v>
      </c>
      <c r="K969" s="116">
        <f>Overview!$H$88</f>
        <v>0</v>
      </c>
      <c r="L969" s="51" t="e">
        <f t="shared" si="296"/>
        <v>#DIV/0!</v>
      </c>
      <c r="M969" s="179" t="s">
        <v>1000</v>
      </c>
      <c r="N969" s="179" t="s">
        <v>3140</v>
      </c>
      <c r="O969" s="141">
        <f t="shared" si="297"/>
        <v>0</v>
      </c>
      <c r="P969" s="181" t="b">
        <f>COUNTIF('Facility Data'!$A$1:$A$1500,"*"&amp;A969&amp;"*")&gt;0</f>
        <v>0</v>
      </c>
      <c r="Q969" s="181" t="b">
        <f>COUNTIF('Account Data'!$A$1:$A$1000,"*"&amp;A969&amp;"*")&gt;0</f>
        <v>0</v>
      </c>
      <c r="R969" s="182" t="b">
        <f t="shared" si="286"/>
        <v>0</v>
      </c>
      <c r="S969" s="182" t="b">
        <f t="shared" si="293"/>
        <v>0</v>
      </c>
      <c r="T969" s="181" t="b">
        <f>COUNTIF('New Items'!$A$1:$A$175,A969)&gt;0</f>
        <v>0</v>
      </c>
      <c r="U969" s="181" t="b">
        <f>COUNTIF(Discontinued!$A$1:$A$150,A969)&gt;0</f>
        <v>0</v>
      </c>
    </row>
    <row r="970" spans="1:21" s="8" customFormat="1" ht="13.5" thickBot="1" x14ac:dyDescent="0.25">
      <c r="A970" s="300" t="s">
        <v>4580</v>
      </c>
      <c r="B970" s="301"/>
      <c r="C970" s="301"/>
      <c r="D970" s="301"/>
      <c r="E970" s="301"/>
      <c r="F970" s="301"/>
      <c r="G970" s="301"/>
      <c r="H970" s="301"/>
      <c r="I970" s="301"/>
      <c r="J970" s="301"/>
      <c r="K970" s="301"/>
      <c r="L970" s="302"/>
      <c r="M970" s="179" t="s">
        <v>4361</v>
      </c>
      <c r="N970" s="179" t="s">
        <v>984</v>
      </c>
      <c r="O970" s="141">
        <f>AVERAGE(O971:O992)</f>
        <v>0</v>
      </c>
      <c r="P970" s="181" t="b">
        <f>COUNTIF(P971:P992,TRUE)&gt;0</f>
        <v>0</v>
      </c>
      <c r="Q970" s="181" t="b">
        <f>COUNTIF(Q971:Q992,TRUE)&gt;0</f>
        <v>1</v>
      </c>
      <c r="R970" s="181" t="b">
        <f>COUNTIF(R971:R992,TRUE)&gt;0</f>
        <v>1</v>
      </c>
      <c r="S970" s="181" t="b">
        <f>COUNTIF(S971:S992,TRUE)&gt;0</f>
        <v>1</v>
      </c>
      <c r="T970" s="181" t="b">
        <f>COUNTIF(T971:T992,TRUE)&gt;0</f>
        <v>1</v>
      </c>
      <c r="U970" s="181"/>
    </row>
    <row r="971" spans="1:21" s="8" customFormat="1" ht="11.25" x14ac:dyDescent="0.2">
      <c r="A971" s="290">
        <v>10136530</v>
      </c>
      <c r="B971" s="10" t="s">
        <v>4604</v>
      </c>
      <c r="C971" s="12" t="s">
        <v>4605</v>
      </c>
      <c r="D971" s="11" t="s">
        <v>1326</v>
      </c>
      <c r="E971" s="12" t="s">
        <v>772</v>
      </c>
      <c r="F971" s="13">
        <v>4</v>
      </c>
      <c r="G971" s="22">
        <f>Overview!$B$89</f>
        <v>30</v>
      </c>
      <c r="H971" s="23">
        <f t="shared" ref="H971:H992" si="298">G971-I971</f>
        <v>30</v>
      </c>
      <c r="I971" s="114">
        <f>Overview!$E$89</f>
        <v>0</v>
      </c>
      <c r="J971" s="24">
        <f t="shared" ref="J971:J982" si="299">I971/F971</f>
        <v>0</v>
      </c>
      <c r="K971" s="116">
        <f>Overview!$H$89</f>
        <v>0</v>
      </c>
      <c r="L971" s="51" t="e">
        <f t="shared" ref="L971:L982" si="300">(K971-J971)/K971</f>
        <v>#DIV/0!</v>
      </c>
      <c r="M971" s="179"/>
      <c r="N971" s="179" t="s">
        <v>984</v>
      </c>
      <c r="O971" s="141">
        <f>I971</f>
        <v>0</v>
      </c>
      <c r="P971" s="181" t="b">
        <f>COUNTIF('Facility Data'!$A$1:$A$1500,"*"&amp;A971&amp;"*")&gt;0</f>
        <v>0</v>
      </c>
      <c r="Q971" s="181" t="b">
        <f>COUNTIF('Account Data'!$A$1:$A$1000,"*"&amp;A971&amp;"*")&gt;0</f>
        <v>0</v>
      </c>
      <c r="R971" s="182" t="b">
        <f t="shared" ref="R971:R992" si="301">IF(OR(P971=TRUE,T971=TRUE),TRUE,FALSE)</f>
        <v>1</v>
      </c>
      <c r="S971" s="182" t="b">
        <f t="shared" ref="S971:S992" si="302">IF(OR(Q971=TRUE,T971=TRUE),TRUE,FALSE)</f>
        <v>1</v>
      </c>
      <c r="T971" s="181" t="b">
        <f>COUNTIF('New Items'!$A$1:$A$175,A971)&gt;0</f>
        <v>1</v>
      </c>
      <c r="U971" s="181" t="b">
        <f>COUNTIF(Discontinued!$A$1:$A$150,A971)&gt;0</f>
        <v>0</v>
      </c>
    </row>
    <row r="972" spans="1:21" s="8" customFormat="1" ht="11.25" x14ac:dyDescent="0.2">
      <c r="A972" s="290">
        <v>10136477</v>
      </c>
      <c r="B972" s="10" t="s">
        <v>4588</v>
      </c>
      <c r="C972" s="12" t="s">
        <v>4589</v>
      </c>
      <c r="D972" s="11" t="s">
        <v>1327</v>
      </c>
      <c r="E972" s="12" t="s">
        <v>772</v>
      </c>
      <c r="F972" s="13">
        <v>4</v>
      </c>
      <c r="G972" s="22">
        <f>Overview!$B$89</f>
        <v>30</v>
      </c>
      <c r="H972" s="23">
        <f t="shared" si="298"/>
        <v>30</v>
      </c>
      <c r="I972" s="114">
        <f>Overview!$E$89</f>
        <v>0</v>
      </c>
      <c r="J972" s="24">
        <f t="shared" si="299"/>
        <v>0</v>
      </c>
      <c r="K972" s="116">
        <f>Overview!$H$89</f>
        <v>0</v>
      </c>
      <c r="L972" s="51" t="e">
        <f t="shared" si="300"/>
        <v>#DIV/0!</v>
      </c>
      <c r="M972" s="179"/>
      <c r="N972" s="179" t="s">
        <v>984</v>
      </c>
      <c r="O972" s="141">
        <f>I972</f>
        <v>0</v>
      </c>
      <c r="P972" s="181" t="b">
        <f>COUNTIF('Facility Data'!$A$1:$A$1500,"*"&amp;A972&amp;"*")&gt;0</f>
        <v>0</v>
      </c>
      <c r="Q972" s="181" t="b">
        <f>COUNTIF('Account Data'!$A$1:$A$1000,"*"&amp;A972&amp;"*")&gt;0</f>
        <v>0</v>
      </c>
      <c r="R972" s="182" t="b">
        <f t="shared" si="301"/>
        <v>1</v>
      </c>
      <c r="S972" s="182" t="b">
        <f t="shared" si="302"/>
        <v>1</v>
      </c>
      <c r="T972" s="181" t="b">
        <f>COUNTIF('New Items'!$A$1:$A$175,A972)&gt;0</f>
        <v>1</v>
      </c>
      <c r="U972" s="181" t="b">
        <f>COUNTIF(Discontinued!$A$1:$A$150,A972)&gt;0</f>
        <v>0</v>
      </c>
    </row>
    <row r="973" spans="1:21" s="8" customFormat="1" ht="11.25" x14ac:dyDescent="0.2">
      <c r="A973" s="290">
        <v>10137150</v>
      </c>
      <c r="B973" s="10" t="s">
        <v>4618</v>
      </c>
      <c r="C973" s="12" t="s">
        <v>4619</v>
      </c>
      <c r="D973" s="11" t="s">
        <v>683</v>
      </c>
      <c r="E973" s="12" t="s">
        <v>772</v>
      </c>
      <c r="F973" s="13">
        <v>4</v>
      </c>
      <c r="G973" s="22">
        <f>Overview!$B$89</f>
        <v>30</v>
      </c>
      <c r="H973" s="23">
        <f t="shared" si="298"/>
        <v>30</v>
      </c>
      <c r="I973" s="114">
        <f>Overview!$E$89</f>
        <v>0</v>
      </c>
      <c r="J973" s="24">
        <f t="shared" si="299"/>
        <v>0</v>
      </c>
      <c r="K973" s="116">
        <f>Overview!$H$89</f>
        <v>0</v>
      </c>
      <c r="L973" s="51" t="e">
        <f t="shared" si="300"/>
        <v>#DIV/0!</v>
      </c>
      <c r="M973" s="179"/>
      <c r="N973" s="179" t="s">
        <v>984</v>
      </c>
      <c r="O973" s="141">
        <f>I973</f>
        <v>0</v>
      </c>
      <c r="P973" s="181" t="b">
        <f>COUNTIF('Facility Data'!$A$1:$A$1500,"*"&amp;A973&amp;"*")&gt;0</f>
        <v>0</v>
      </c>
      <c r="Q973" s="181" t="b">
        <f>COUNTIF('Account Data'!$A$1:$A$1000,"*"&amp;A973&amp;"*")&gt;0</f>
        <v>0</v>
      </c>
      <c r="R973" s="182" t="b">
        <f t="shared" si="301"/>
        <v>1</v>
      </c>
      <c r="S973" s="182" t="b">
        <f t="shared" si="302"/>
        <v>1</v>
      </c>
      <c r="T973" s="181" t="b">
        <f>COUNTIF('New Items'!$A$1:$A$175,A973)&gt;0</f>
        <v>1</v>
      </c>
      <c r="U973" s="181" t="b">
        <f>COUNTIF(Discontinued!$A$1:$A$150,A973)&gt;0</f>
        <v>0</v>
      </c>
    </row>
    <row r="974" spans="1:21" s="8" customFormat="1" ht="11.25" x14ac:dyDescent="0.2">
      <c r="A974" s="289">
        <v>10137149</v>
      </c>
      <c r="B974" s="231" t="s">
        <v>4620</v>
      </c>
      <c r="C974" s="12" t="s">
        <v>4621</v>
      </c>
      <c r="D974" s="11" t="s">
        <v>684</v>
      </c>
      <c r="E974" s="12" t="s">
        <v>772</v>
      </c>
      <c r="F974" s="13">
        <v>4</v>
      </c>
      <c r="G974" s="22">
        <f>Overview!$B$89</f>
        <v>30</v>
      </c>
      <c r="H974" s="23">
        <f t="shared" si="298"/>
        <v>30</v>
      </c>
      <c r="I974" s="114">
        <f>Overview!$E$89</f>
        <v>0</v>
      </c>
      <c r="J974" s="24">
        <f t="shared" si="299"/>
        <v>0</v>
      </c>
      <c r="K974" s="116">
        <f>Overview!$H$89</f>
        <v>0</v>
      </c>
      <c r="L974" s="51" t="e">
        <f t="shared" si="300"/>
        <v>#DIV/0!</v>
      </c>
      <c r="M974" s="179"/>
      <c r="N974" s="179" t="s">
        <v>984</v>
      </c>
      <c r="O974" s="141">
        <f t="shared" ref="O974:O992" si="303">I974</f>
        <v>0</v>
      </c>
      <c r="P974" s="181" t="b">
        <f>COUNTIF('Facility Data'!$A$1:$A$1500,"*"&amp;A974&amp;"*")&gt;0</f>
        <v>0</v>
      </c>
      <c r="Q974" s="181" t="b">
        <f>COUNTIF('Account Data'!$A$1:$A$1000,"*"&amp;A974&amp;"*")&gt;0</f>
        <v>0</v>
      </c>
      <c r="R974" s="182" t="b">
        <f t="shared" si="301"/>
        <v>1</v>
      </c>
      <c r="S974" s="182" t="b">
        <f t="shared" si="302"/>
        <v>1</v>
      </c>
      <c r="T974" s="181" t="b">
        <f>COUNTIF('New Items'!$A$1:$A$175,A974)&gt;0</f>
        <v>1</v>
      </c>
      <c r="U974" s="181" t="b">
        <f>COUNTIF(Discontinued!$A$1:$A$150,A974)&gt;0</f>
        <v>0</v>
      </c>
    </row>
    <row r="975" spans="1:21" s="8" customFormat="1" ht="11.25" x14ac:dyDescent="0.2">
      <c r="A975" s="289">
        <v>10137147</v>
      </c>
      <c r="B975" s="231" t="s">
        <v>4614</v>
      </c>
      <c r="C975" s="118" t="s">
        <v>4615</v>
      </c>
      <c r="D975" s="119" t="s">
        <v>687</v>
      </c>
      <c r="E975" s="118" t="s">
        <v>772</v>
      </c>
      <c r="F975" s="120">
        <v>4</v>
      </c>
      <c r="G975" s="121">
        <f>Overview!$B$89</f>
        <v>30</v>
      </c>
      <c r="H975" s="114">
        <f t="shared" si="298"/>
        <v>30</v>
      </c>
      <c r="I975" s="114">
        <f>Overview!$E$89</f>
        <v>0</v>
      </c>
      <c r="J975" s="115">
        <f t="shared" si="299"/>
        <v>0</v>
      </c>
      <c r="K975" s="116">
        <f>Overview!$H$89</f>
        <v>0</v>
      </c>
      <c r="L975" s="117" t="e">
        <f t="shared" si="300"/>
        <v>#DIV/0!</v>
      </c>
      <c r="M975" s="179"/>
      <c r="N975" s="179" t="s">
        <v>984</v>
      </c>
      <c r="O975" s="141">
        <f t="shared" si="303"/>
        <v>0</v>
      </c>
      <c r="P975" s="181" t="b">
        <f>COUNTIF('Facility Data'!$A$1:$A$1500,"*"&amp;A975&amp;"*")&gt;0</f>
        <v>0</v>
      </c>
      <c r="Q975" s="181" t="b">
        <f>COUNTIF('Account Data'!$A$1:$A$1000,"*"&amp;A975&amp;"*")&gt;0</f>
        <v>0</v>
      </c>
      <c r="R975" s="182" t="b">
        <f t="shared" si="301"/>
        <v>1</v>
      </c>
      <c r="S975" s="182" t="b">
        <f t="shared" si="302"/>
        <v>1</v>
      </c>
      <c r="T975" s="181" t="b">
        <f>COUNTIF('New Items'!$A$1:$A$175,A975)&gt;0</f>
        <v>1</v>
      </c>
      <c r="U975" s="181" t="b">
        <f>COUNTIF(Discontinued!$A$1:$A$150,A975)&gt;0</f>
        <v>0</v>
      </c>
    </row>
    <row r="976" spans="1:21" s="8" customFormat="1" ht="11.25" x14ac:dyDescent="0.2">
      <c r="A976" s="289">
        <v>10136478</v>
      </c>
      <c r="B976" s="231" t="s">
        <v>4590</v>
      </c>
      <c r="C976" s="118" t="s">
        <v>4591</v>
      </c>
      <c r="D976" s="119" t="s">
        <v>958</v>
      </c>
      <c r="E976" s="118" t="s">
        <v>772</v>
      </c>
      <c r="F976" s="120">
        <v>4</v>
      </c>
      <c r="G976" s="121">
        <f>Overview!$B$89</f>
        <v>30</v>
      </c>
      <c r="H976" s="114">
        <f t="shared" si="298"/>
        <v>30</v>
      </c>
      <c r="I976" s="114">
        <f>Overview!$E$89</f>
        <v>0</v>
      </c>
      <c r="J976" s="115">
        <f t="shared" si="299"/>
        <v>0</v>
      </c>
      <c r="K976" s="116">
        <f>Overview!$H$89</f>
        <v>0</v>
      </c>
      <c r="L976" s="117" t="e">
        <f t="shared" si="300"/>
        <v>#DIV/0!</v>
      </c>
      <c r="M976" s="179"/>
      <c r="N976" s="179" t="s">
        <v>984</v>
      </c>
      <c r="O976" s="141">
        <f t="shared" si="303"/>
        <v>0</v>
      </c>
      <c r="P976" s="181" t="b">
        <f>COUNTIF('Facility Data'!$A$1:$A$1500,"*"&amp;A976&amp;"*")&gt;0</f>
        <v>0</v>
      </c>
      <c r="Q976" s="181" t="b">
        <f>COUNTIF('Account Data'!$A$1:$A$1000,"*"&amp;A976&amp;"*")&gt;0</f>
        <v>0</v>
      </c>
      <c r="R976" s="182" t="b">
        <f t="shared" si="301"/>
        <v>1</v>
      </c>
      <c r="S976" s="182" t="b">
        <f t="shared" si="302"/>
        <v>1</v>
      </c>
      <c r="T976" s="181" t="b">
        <f>COUNTIF('New Items'!$A$1:$A$175,A976)&gt;0</f>
        <v>1</v>
      </c>
      <c r="U976" s="181" t="b">
        <f>COUNTIF(Discontinued!$A$1:$A$150,A976)&gt;0</f>
        <v>0</v>
      </c>
    </row>
    <row r="977" spans="1:21" s="8" customFormat="1" ht="11.25" x14ac:dyDescent="0.2">
      <c r="A977" s="289">
        <v>10136494</v>
      </c>
      <c r="B977" s="231" t="s">
        <v>4606</v>
      </c>
      <c r="C977" s="118" t="s">
        <v>4607</v>
      </c>
      <c r="D977" s="119" t="s">
        <v>685</v>
      </c>
      <c r="E977" s="118" t="s">
        <v>772</v>
      </c>
      <c r="F977" s="120">
        <v>4</v>
      </c>
      <c r="G977" s="121">
        <f>Overview!$B$89</f>
        <v>30</v>
      </c>
      <c r="H977" s="114">
        <f t="shared" si="298"/>
        <v>30</v>
      </c>
      <c r="I977" s="114">
        <f>Overview!$E$89</f>
        <v>0</v>
      </c>
      <c r="J977" s="115">
        <f t="shared" si="299"/>
        <v>0</v>
      </c>
      <c r="K977" s="116">
        <f>Overview!$H$89</f>
        <v>0</v>
      </c>
      <c r="L977" s="117" t="e">
        <f t="shared" si="300"/>
        <v>#DIV/0!</v>
      </c>
      <c r="M977" s="179"/>
      <c r="N977" s="179" t="s">
        <v>984</v>
      </c>
      <c r="O977" s="141">
        <f t="shared" si="303"/>
        <v>0</v>
      </c>
      <c r="P977" s="181" t="b">
        <f>COUNTIF('Facility Data'!$A$1:$A$1500,"*"&amp;A977&amp;"*")&gt;0</f>
        <v>0</v>
      </c>
      <c r="Q977" s="181" t="b">
        <f>COUNTIF('Account Data'!$A$1:$A$1000,"*"&amp;A977&amp;"*")&gt;0</f>
        <v>0</v>
      </c>
      <c r="R977" s="182" t="b">
        <f t="shared" si="301"/>
        <v>1</v>
      </c>
      <c r="S977" s="182" t="b">
        <f t="shared" si="302"/>
        <v>1</v>
      </c>
      <c r="T977" s="181" t="b">
        <f>COUNTIF('New Items'!$A$1:$A$175,A977)&gt;0</f>
        <v>1</v>
      </c>
      <c r="U977" s="181" t="b">
        <f>COUNTIF(Discontinued!$A$1:$A$150,A977)&gt;0</f>
        <v>0</v>
      </c>
    </row>
    <row r="978" spans="1:21" s="8" customFormat="1" ht="11.25" x14ac:dyDescent="0.2">
      <c r="A978" s="289">
        <v>10136570</v>
      </c>
      <c r="B978" s="231" t="s">
        <v>4592</v>
      </c>
      <c r="C978" s="118" t="s">
        <v>4593</v>
      </c>
      <c r="D978" s="119" t="s">
        <v>686</v>
      </c>
      <c r="E978" s="118" t="s">
        <v>772</v>
      </c>
      <c r="F978" s="120">
        <v>4</v>
      </c>
      <c r="G978" s="121">
        <f>Overview!$B$89</f>
        <v>30</v>
      </c>
      <c r="H978" s="114">
        <f t="shared" si="298"/>
        <v>30</v>
      </c>
      <c r="I978" s="114">
        <f>Overview!$E$89</f>
        <v>0</v>
      </c>
      <c r="J978" s="115">
        <f t="shared" si="299"/>
        <v>0</v>
      </c>
      <c r="K978" s="116">
        <f>Overview!$H$89</f>
        <v>0</v>
      </c>
      <c r="L978" s="117" t="e">
        <f t="shared" si="300"/>
        <v>#DIV/0!</v>
      </c>
      <c r="M978" s="179"/>
      <c r="N978" s="179" t="s">
        <v>984</v>
      </c>
      <c r="O978" s="141">
        <f t="shared" si="303"/>
        <v>0</v>
      </c>
      <c r="P978" s="181" t="b">
        <f>COUNTIF('Facility Data'!$A$1:$A$1500,"*"&amp;A978&amp;"*")&gt;0</f>
        <v>0</v>
      </c>
      <c r="Q978" s="181" t="b">
        <f>COUNTIF('Account Data'!$A$1:$A$1000,"*"&amp;A978&amp;"*")&gt;0</f>
        <v>0</v>
      </c>
      <c r="R978" s="182" t="b">
        <f t="shared" si="301"/>
        <v>1</v>
      </c>
      <c r="S978" s="182" t="b">
        <f t="shared" si="302"/>
        <v>1</v>
      </c>
      <c r="T978" s="181" t="b">
        <f>COUNTIF('New Items'!$A$1:$A$175,A978)&gt;0</f>
        <v>1</v>
      </c>
      <c r="U978" s="181" t="b">
        <f>COUNTIF(Discontinued!$A$1:$A$150,A978)&gt;0</f>
        <v>0</v>
      </c>
    </row>
    <row r="979" spans="1:21" s="8" customFormat="1" ht="11.25" x14ac:dyDescent="0.2">
      <c r="A979" s="289">
        <v>10136571</v>
      </c>
      <c r="B979" s="231" t="s">
        <v>4594</v>
      </c>
      <c r="C979" s="118" t="s">
        <v>4595</v>
      </c>
      <c r="D979" s="119" t="s">
        <v>694</v>
      </c>
      <c r="E979" s="118" t="s">
        <v>772</v>
      </c>
      <c r="F979" s="120">
        <v>4</v>
      </c>
      <c r="G979" s="121">
        <f>Overview!$B$89</f>
        <v>30</v>
      </c>
      <c r="H979" s="114">
        <f t="shared" si="298"/>
        <v>30</v>
      </c>
      <c r="I979" s="114">
        <f>Overview!$E$89</f>
        <v>0</v>
      </c>
      <c r="J979" s="115">
        <f t="shared" si="299"/>
        <v>0</v>
      </c>
      <c r="K979" s="116">
        <f>Overview!$H$89</f>
        <v>0</v>
      </c>
      <c r="L979" s="117" t="e">
        <f t="shared" si="300"/>
        <v>#DIV/0!</v>
      </c>
      <c r="M979" s="179"/>
      <c r="N979" s="179" t="s">
        <v>984</v>
      </c>
      <c r="O979" s="141">
        <f>I979</f>
        <v>0</v>
      </c>
      <c r="P979" s="181" t="b">
        <f>COUNTIF('Facility Data'!$A$1:$A$1500,"*"&amp;A979&amp;"*")&gt;0</f>
        <v>0</v>
      </c>
      <c r="Q979" s="181" t="b">
        <f>COUNTIF('Account Data'!$A$1:$A$1000,"*"&amp;A979&amp;"*")&gt;0</f>
        <v>0</v>
      </c>
      <c r="R979" s="182" t="b">
        <f t="shared" si="301"/>
        <v>1</v>
      </c>
      <c r="S979" s="182" t="b">
        <f t="shared" si="302"/>
        <v>1</v>
      </c>
      <c r="T979" s="181" t="b">
        <f>COUNTIF('New Items'!$A$1:$A$175,A979)&gt;0</f>
        <v>1</v>
      </c>
      <c r="U979" s="181" t="b">
        <f>COUNTIF(Discontinued!$A$1:$A$150,A979)&gt;0</f>
        <v>0</v>
      </c>
    </row>
    <row r="980" spans="1:21" s="8" customFormat="1" ht="11.25" x14ac:dyDescent="0.2">
      <c r="A980" s="289">
        <v>10136573</v>
      </c>
      <c r="B980" s="231" t="s">
        <v>4596</v>
      </c>
      <c r="C980" s="118" t="s">
        <v>4597</v>
      </c>
      <c r="D980" s="119" t="s">
        <v>699</v>
      </c>
      <c r="E980" s="118" t="s">
        <v>772</v>
      </c>
      <c r="F980" s="120">
        <v>4</v>
      </c>
      <c r="G980" s="121">
        <f>Overview!$B$89</f>
        <v>30</v>
      </c>
      <c r="H980" s="114">
        <f t="shared" si="298"/>
        <v>30</v>
      </c>
      <c r="I980" s="114">
        <f>Overview!$E$89</f>
        <v>0</v>
      </c>
      <c r="J980" s="115">
        <f t="shared" si="299"/>
        <v>0</v>
      </c>
      <c r="K980" s="116">
        <f>Overview!$H$89</f>
        <v>0</v>
      </c>
      <c r="L980" s="117" t="e">
        <f t="shared" si="300"/>
        <v>#DIV/0!</v>
      </c>
      <c r="M980" s="179"/>
      <c r="N980" s="179" t="s">
        <v>984</v>
      </c>
      <c r="O980" s="141">
        <f>I980</f>
        <v>0</v>
      </c>
      <c r="P980" s="181" t="b">
        <f>COUNTIF('Facility Data'!$A$1:$A$1500,"*"&amp;A980&amp;"*")&gt;0</f>
        <v>0</v>
      </c>
      <c r="Q980" s="181" t="b">
        <f>COUNTIF('Account Data'!$A$1:$A$1000,"*"&amp;A980&amp;"*")&gt;0</f>
        <v>0</v>
      </c>
      <c r="R980" s="182" t="b">
        <f t="shared" si="301"/>
        <v>1</v>
      </c>
      <c r="S980" s="182" t="b">
        <f t="shared" si="302"/>
        <v>1</v>
      </c>
      <c r="T980" s="181" t="b">
        <f>COUNTIF('New Items'!$A$1:$A$175,A980)&gt;0</f>
        <v>1</v>
      </c>
      <c r="U980" s="181" t="b">
        <f>COUNTIF(Discontinued!$A$1:$A$150,A980)&gt;0</f>
        <v>0</v>
      </c>
    </row>
    <row r="981" spans="1:21" s="8" customFormat="1" ht="11.25" x14ac:dyDescent="0.2">
      <c r="A981" s="289">
        <v>10136473</v>
      </c>
      <c r="B981" s="231" t="s">
        <v>4584</v>
      </c>
      <c r="C981" s="118" t="s">
        <v>4585</v>
      </c>
      <c r="D981" s="119" t="s">
        <v>1751</v>
      </c>
      <c r="E981" s="118" t="s">
        <v>772</v>
      </c>
      <c r="F981" s="120">
        <v>4</v>
      </c>
      <c r="G981" s="121">
        <f>Overview!$B$89</f>
        <v>30</v>
      </c>
      <c r="H981" s="114">
        <f t="shared" si="298"/>
        <v>30</v>
      </c>
      <c r="I981" s="114">
        <f>Overview!$E$89</f>
        <v>0</v>
      </c>
      <c r="J981" s="115">
        <f t="shared" si="299"/>
        <v>0</v>
      </c>
      <c r="K981" s="116">
        <f>Overview!$H$89</f>
        <v>0</v>
      </c>
      <c r="L981" s="117" t="e">
        <f t="shared" si="300"/>
        <v>#DIV/0!</v>
      </c>
      <c r="M981" s="179"/>
      <c r="N981" s="179" t="s">
        <v>984</v>
      </c>
      <c r="O981" s="141">
        <f>I981</f>
        <v>0</v>
      </c>
      <c r="P981" s="181" t="b">
        <f>COUNTIF('Facility Data'!$A$1:$A$1500,"*"&amp;A981&amp;"*")&gt;0</f>
        <v>0</v>
      </c>
      <c r="Q981" s="181" t="b">
        <f>COUNTIF('Account Data'!$A$1:$A$1000,"*"&amp;A981&amp;"*")&gt;0</f>
        <v>0</v>
      </c>
      <c r="R981" s="182" t="b">
        <f t="shared" si="301"/>
        <v>1</v>
      </c>
      <c r="S981" s="182" t="b">
        <f t="shared" si="302"/>
        <v>1</v>
      </c>
      <c r="T981" s="181" t="b">
        <f>COUNTIF('New Items'!$A$1:$A$175,A981)&gt;0</f>
        <v>1</v>
      </c>
      <c r="U981" s="181" t="b">
        <f>COUNTIF(Discontinued!$A$1:$A$150,A981)&gt;0</f>
        <v>0</v>
      </c>
    </row>
    <row r="982" spans="1:21" s="8" customFormat="1" ht="11.25" x14ac:dyDescent="0.2">
      <c r="A982" s="160">
        <v>10002429</v>
      </c>
      <c r="B982" s="231" t="s">
        <v>1749</v>
      </c>
      <c r="C982" s="118" t="s">
        <v>1750</v>
      </c>
      <c r="D982" s="119" t="s">
        <v>679</v>
      </c>
      <c r="E982" s="118" t="s">
        <v>772</v>
      </c>
      <c r="F982" s="120">
        <v>4</v>
      </c>
      <c r="G982" s="121">
        <f>Overview!$B$89</f>
        <v>30</v>
      </c>
      <c r="H982" s="114">
        <f t="shared" si="298"/>
        <v>30</v>
      </c>
      <c r="I982" s="114">
        <f>Overview!$E$89</f>
        <v>0</v>
      </c>
      <c r="J982" s="115">
        <f t="shared" si="299"/>
        <v>0</v>
      </c>
      <c r="K982" s="116">
        <f>Overview!$H$89</f>
        <v>0</v>
      </c>
      <c r="L982" s="117" t="e">
        <f t="shared" si="300"/>
        <v>#DIV/0!</v>
      </c>
      <c r="M982" s="179"/>
      <c r="N982" s="179" t="s">
        <v>984</v>
      </c>
      <c r="O982" s="141">
        <f>I982</f>
        <v>0</v>
      </c>
      <c r="P982" s="181" t="b">
        <f>COUNTIF('Facility Data'!$A$1:$A$1500,"*"&amp;A982&amp;"*")&gt;0</f>
        <v>0</v>
      </c>
      <c r="Q982" s="181" t="b">
        <f>COUNTIF('Account Data'!$A$1:$A$1000,"*"&amp;A982&amp;"*")&gt;0</f>
        <v>0</v>
      </c>
      <c r="R982" s="182" t="b">
        <f t="shared" si="301"/>
        <v>0</v>
      </c>
      <c r="S982" s="182" t="b">
        <f t="shared" si="302"/>
        <v>0</v>
      </c>
      <c r="T982" s="181" t="b">
        <f>COUNTIF('New Items'!$A$1:$A$175,A982)&gt;0</f>
        <v>0</v>
      </c>
      <c r="U982" s="181" t="b">
        <f>COUNTIF(Discontinued!$A$1:$A$150,A982)&gt;0</f>
        <v>0</v>
      </c>
    </row>
    <row r="983" spans="1:21" s="8" customFormat="1" ht="11.25" x14ac:dyDescent="0.2">
      <c r="A983" s="289">
        <v>10136529</v>
      </c>
      <c r="B983" s="231" t="s">
        <v>4602</v>
      </c>
      <c r="C983" s="118" t="s">
        <v>4603</v>
      </c>
      <c r="D983" s="119" t="s">
        <v>688</v>
      </c>
      <c r="E983" s="118" t="s">
        <v>772</v>
      </c>
      <c r="F983" s="120">
        <v>4</v>
      </c>
      <c r="G983" s="121">
        <f>Overview!$B$89</f>
        <v>30</v>
      </c>
      <c r="H983" s="114">
        <f t="shared" si="298"/>
        <v>30</v>
      </c>
      <c r="I983" s="114">
        <f>Overview!$E$89</f>
        <v>0</v>
      </c>
      <c r="J983" s="115">
        <f t="shared" ref="J983:J988" si="304">I983/F983</f>
        <v>0</v>
      </c>
      <c r="K983" s="116">
        <f>Overview!$H$89</f>
        <v>0</v>
      </c>
      <c r="L983" s="117" t="e">
        <f t="shared" ref="L983:L988" si="305">(K983-J983)/K983</f>
        <v>#DIV/0!</v>
      </c>
      <c r="M983" s="179"/>
      <c r="N983" s="179" t="s">
        <v>984</v>
      </c>
      <c r="O983" s="141">
        <f t="shared" si="303"/>
        <v>0</v>
      </c>
      <c r="P983" s="181" t="b">
        <f>COUNTIF('Facility Data'!$A$1:$A$1500,"*"&amp;A983&amp;"*")&gt;0</f>
        <v>0</v>
      </c>
      <c r="Q983" s="181" t="b">
        <f>COUNTIF('Account Data'!$A$1:$A$1000,"*"&amp;A983&amp;"*")&gt;0</f>
        <v>0</v>
      </c>
      <c r="R983" s="182" t="b">
        <f t="shared" si="301"/>
        <v>1</v>
      </c>
      <c r="S983" s="182" t="b">
        <f t="shared" si="302"/>
        <v>1</v>
      </c>
      <c r="T983" s="181" t="b">
        <f>COUNTIF('New Items'!$A$1:$A$175,A983)&gt;0</f>
        <v>1</v>
      </c>
      <c r="U983" s="181" t="b">
        <f>COUNTIF(Discontinued!$A$1:$A$150,A983)&gt;0</f>
        <v>0</v>
      </c>
    </row>
    <row r="984" spans="1:21" s="8" customFormat="1" ht="11.25" x14ac:dyDescent="0.2">
      <c r="A984" s="289">
        <v>10136475</v>
      </c>
      <c r="B984" s="231" t="s">
        <v>4586</v>
      </c>
      <c r="C984" s="118" t="s">
        <v>4587</v>
      </c>
      <c r="D984" s="119" t="s">
        <v>689</v>
      </c>
      <c r="E984" s="118" t="s">
        <v>772</v>
      </c>
      <c r="F984" s="120">
        <v>4</v>
      </c>
      <c r="G984" s="121">
        <f>Overview!$B$89</f>
        <v>30</v>
      </c>
      <c r="H984" s="114">
        <f t="shared" si="298"/>
        <v>30</v>
      </c>
      <c r="I984" s="114">
        <f>Overview!$E$89</f>
        <v>0</v>
      </c>
      <c r="J984" s="115">
        <f t="shared" si="304"/>
        <v>0</v>
      </c>
      <c r="K984" s="116">
        <f>Overview!$H$89</f>
        <v>0</v>
      </c>
      <c r="L984" s="117" t="e">
        <f t="shared" si="305"/>
        <v>#DIV/0!</v>
      </c>
      <c r="M984" s="179"/>
      <c r="N984" s="179" t="s">
        <v>984</v>
      </c>
      <c r="O984" s="141">
        <f t="shared" si="303"/>
        <v>0</v>
      </c>
      <c r="P984" s="181" t="b">
        <f>COUNTIF('Facility Data'!$A$1:$A$1500,"*"&amp;A984&amp;"*")&gt;0</f>
        <v>0</v>
      </c>
      <c r="Q984" s="181" t="b">
        <f>COUNTIF('Account Data'!$A$1:$A$1000,"*"&amp;A984&amp;"*")&gt;0</f>
        <v>0</v>
      </c>
      <c r="R984" s="182" t="b">
        <f t="shared" si="301"/>
        <v>1</v>
      </c>
      <c r="S984" s="182" t="b">
        <f t="shared" si="302"/>
        <v>1</v>
      </c>
      <c r="T984" s="181" t="b">
        <f>COUNTIF('New Items'!$A$1:$A$175,A984)&gt;0</f>
        <v>1</v>
      </c>
      <c r="U984" s="181" t="b">
        <f>COUNTIF(Discontinued!$A$1:$A$150,A984)&gt;0</f>
        <v>0</v>
      </c>
    </row>
    <row r="985" spans="1:21" s="8" customFormat="1" ht="11.25" x14ac:dyDescent="0.2">
      <c r="A985" s="160">
        <v>10109319</v>
      </c>
      <c r="B985" s="231" t="s">
        <v>995</v>
      </c>
      <c r="C985" s="118" t="s">
        <v>998</v>
      </c>
      <c r="D985" s="119" t="s">
        <v>999</v>
      </c>
      <c r="E985" s="118" t="s">
        <v>772</v>
      </c>
      <c r="F985" s="120">
        <v>4</v>
      </c>
      <c r="G985" s="121">
        <f>Overview!$B$89</f>
        <v>30</v>
      </c>
      <c r="H985" s="114">
        <f t="shared" si="298"/>
        <v>30</v>
      </c>
      <c r="I985" s="114">
        <f>Overview!$E$89</f>
        <v>0</v>
      </c>
      <c r="J985" s="115">
        <f t="shared" si="304"/>
        <v>0</v>
      </c>
      <c r="K985" s="116">
        <f>Overview!$H$89</f>
        <v>0</v>
      </c>
      <c r="L985" s="117" t="e">
        <f t="shared" si="305"/>
        <v>#DIV/0!</v>
      </c>
      <c r="M985" s="179" t="s">
        <v>1000</v>
      </c>
      <c r="N985" s="179" t="s">
        <v>984</v>
      </c>
      <c r="O985" s="141">
        <f t="shared" si="303"/>
        <v>0</v>
      </c>
      <c r="P985" s="181" t="b">
        <f>COUNTIF('Facility Data'!$A$1:$A$1500,"*"&amp;A985&amp;"*")&gt;0</f>
        <v>0</v>
      </c>
      <c r="Q985" s="181" t="b">
        <f>COUNTIF('Account Data'!$A$1:$A$1000,"*"&amp;A985&amp;"*")&gt;0</f>
        <v>1</v>
      </c>
      <c r="R985" s="182" t="b">
        <f t="shared" si="301"/>
        <v>0</v>
      </c>
      <c r="S985" s="182" t="b">
        <f t="shared" si="302"/>
        <v>1</v>
      </c>
      <c r="T985" s="181" t="b">
        <f>COUNTIF('New Items'!$A$1:$A$175,A985)&gt;0</f>
        <v>0</v>
      </c>
      <c r="U985" s="181" t="b">
        <f>COUNTIF(Discontinued!$A$1:$A$150,A985)&gt;0</f>
        <v>0</v>
      </c>
    </row>
    <row r="986" spans="1:21" s="8" customFormat="1" ht="11.25" x14ac:dyDescent="0.2">
      <c r="A986" s="289">
        <v>10136575</v>
      </c>
      <c r="B986" s="231" t="s">
        <v>4598</v>
      </c>
      <c r="C986" s="118" t="s">
        <v>4599</v>
      </c>
      <c r="D986" s="119" t="s">
        <v>725</v>
      </c>
      <c r="E986" s="118" t="s">
        <v>772</v>
      </c>
      <c r="F986" s="120">
        <v>4</v>
      </c>
      <c r="G986" s="121">
        <f>Overview!$B$89</f>
        <v>30</v>
      </c>
      <c r="H986" s="114">
        <f t="shared" si="298"/>
        <v>30</v>
      </c>
      <c r="I986" s="114">
        <f>Overview!$E$89</f>
        <v>0</v>
      </c>
      <c r="J986" s="115">
        <f t="shared" si="304"/>
        <v>0</v>
      </c>
      <c r="K986" s="116">
        <f>Overview!$H$89</f>
        <v>0</v>
      </c>
      <c r="L986" s="117" t="e">
        <f t="shared" si="305"/>
        <v>#DIV/0!</v>
      </c>
      <c r="M986" s="179"/>
      <c r="N986" s="179" t="s">
        <v>984</v>
      </c>
      <c r="O986" s="141">
        <f t="shared" si="303"/>
        <v>0</v>
      </c>
      <c r="P986" s="181" t="b">
        <f>COUNTIF('Facility Data'!$A$1:$A$1500,"*"&amp;A986&amp;"*")&gt;0</f>
        <v>0</v>
      </c>
      <c r="Q986" s="181" t="b">
        <f>COUNTIF('Account Data'!$A$1:$A$1000,"*"&amp;A986&amp;"*")&gt;0</f>
        <v>0</v>
      </c>
      <c r="R986" s="182" t="b">
        <f t="shared" si="301"/>
        <v>1</v>
      </c>
      <c r="S986" s="182" t="b">
        <f t="shared" si="302"/>
        <v>1</v>
      </c>
      <c r="T986" s="181" t="b">
        <f>COUNTIF('New Items'!$A$1:$A$175,A986)&gt;0</f>
        <v>1</v>
      </c>
      <c r="U986" s="181" t="b">
        <f>COUNTIF(Discontinued!$A$1:$A$150,A986)&gt;0</f>
        <v>0</v>
      </c>
    </row>
    <row r="987" spans="1:21" s="8" customFormat="1" ht="11.25" x14ac:dyDescent="0.2">
      <c r="A987" s="289">
        <v>10137146</v>
      </c>
      <c r="B987" s="231" t="s">
        <v>4612</v>
      </c>
      <c r="C987" s="118" t="s">
        <v>4613</v>
      </c>
      <c r="D987" s="119" t="s">
        <v>1118</v>
      </c>
      <c r="E987" s="118" t="s">
        <v>772</v>
      </c>
      <c r="F987" s="120">
        <v>4</v>
      </c>
      <c r="G987" s="121">
        <f>Overview!$B$89</f>
        <v>30</v>
      </c>
      <c r="H987" s="114">
        <f>G987-I987</f>
        <v>30</v>
      </c>
      <c r="I987" s="114">
        <f>Overview!$E$89</f>
        <v>0</v>
      </c>
      <c r="J987" s="115">
        <f t="shared" si="304"/>
        <v>0</v>
      </c>
      <c r="K987" s="116">
        <f>Overview!$H$89</f>
        <v>0</v>
      </c>
      <c r="L987" s="117" t="e">
        <f t="shared" si="305"/>
        <v>#DIV/0!</v>
      </c>
      <c r="M987" s="179"/>
      <c r="N987" s="179" t="s">
        <v>984</v>
      </c>
      <c r="O987" s="141">
        <f>I987</f>
        <v>0</v>
      </c>
      <c r="P987" s="181" t="b">
        <f>COUNTIF('Facility Data'!$A$1:$A$1500,"*"&amp;A987&amp;"*")&gt;0</f>
        <v>0</v>
      </c>
      <c r="Q987" s="181" t="b">
        <f>COUNTIF('Account Data'!$A$1:$A$1000,"*"&amp;A987&amp;"*")&gt;0</f>
        <v>0</v>
      </c>
      <c r="R987" s="182" t="b">
        <f t="shared" si="301"/>
        <v>1</v>
      </c>
      <c r="S987" s="182" t="b">
        <f>IF(OR(Q987=TRUE,T987=TRUE),TRUE,FALSE)</f>
        <v>1</v>
      </c>
      <c r="T987" s="181" t="b">
        <f>COUNTIF('New Items'!$A$1:$A$175,A987)&gt;0</f>
        <v>1</v>
      </c>
      <c r="U987" s="181" t="b">
        <f>COUNTIF(Discontinued!$A$1:$A$150,A987)&gt;0</f>
        <v>0</v>
      </c>
    </row>
    <row r="988" spans="1:21" s="8" customFormat="1" ht="11.25" x14ac:dyDescent="0.2">
      <c r="A988" s="289">
        <v>10137144</v>
      </c>
      <c r="B988" s="231" t="s">
        <v>4610</v>
      </c>
      <c r="C988" s="118" t="s">
        <v>4611</v>
      </c>
      <c r="D988" s="119" t="s">
        <v>1120</v>
      </c>
      <c r="E988" s="118" t="s">
        <v>772</v>
      </c>
      <c r="F988" s="120">
        <v>4</v>
      </c>
      <c r="G988" s="121">
        <f>Overview!$B$89</f>
        <v>30</v>
      </c>
      <c r="H988" s="114">
        <f>G988-I988</f>
        <v>30</v>
      </c>
      <c r="I988" s="114">
        <f>Overview!$E$89</f>
        <v>0</v>
      </c>
      <c r="J988" s="115">
        <f t="shared" si="304"/>
        <v>0</v>
      </c>
      <c r="K988" s="116">
        <f>Overview!$H$89</f>
        <v>0</v>
      </c>
      <c r="L988" s="117" t="e">
        <f t="shared" si="305"/>
        <v>#DIV/0!</v>
      </c>
      <c r="M988" s="179"/>
      <c r="N988" s="179" t="s">
        <v>984</v>
      </c>
      <c r="O988" s="141">
        <f>I988</f>
        <v>0</v>
      </c>
      <c r="P988" s="181" t="b">
        <f>COUNTIF('Facility Data'!$A$1:$A$1500,"*"&amp;A988&amp;"*")&gt;0</f>
        <v>0</v>
      </c>
      <c r="Q988" s="181" t="b">
        <f>COUNTIF('Account Data'!$A$1:$A$1000,"*"&amp;A988&amp;"*")&gt;0</f>
        <v>0</v>
      </c>
      <c r="R988" s="182" t="b">
        <f t="shared" si="301"/>
        <v>1</v>
      </c>
      <c r="S988" s="182" t="b">
        <f>IF(OR(Q988=TRUE,T988=TRUE),TRUE,FALSE)</f>
        <v>1</v>
      </c>
      <c r="T988" s="181" t="b">
        <f>COUNTIF('New Items'!$A$1:$A$175,A988)&gt;0</f>
        <v>1</v>
      </c>
      <c r="U988" s="181" t="b">
        <f>COUNTIF(Discontinued!$A$1:$A$150,A988)&gt;0</f>
        <v>0</v>
      </c>
    </row>
    <row r="989" spans="1:21" s="8" customFormat="1" ht="11.25" x14ac:dyDescent="0.2">
      <c r="A989" s="290">
        <v>10137148</v>
      </c>
      <c r="B989" s="10" t="s">
        <v>4616</v>
      </c>
      <c r="C989" s="118" t="s">
        <v>4617</v>
      </c>
      <c r="D989" s="119" t="s">
        <v>691</v>
      </c>
      <c r="E989" s="118" t="s">
        <v>772</v>
      </c>
      <c r="F989" s="120">
        <v>4</v>
      </c>
      <c r="G989" s="121">
        <f>Overview!$B$89</f>
        <v>30</v>
      </c>
      <c r="H989" s="114">
        <f t="shared" si="298"/>
        <v>30</v>
      </c>
      <c r="I989" s="114">
        <f>Overview!$E$89</f>
        <v>0</v>
      </c>
      <c r="J989" s="115">
        <f>I989/F989</f>
        <v>0</v>
      </c>
      <c r="K989" s="116">
        <f>Overview!$H$89</f>
        <v>0</v>
      </c>
      <c r="L989" s="117" t="e">
        <f>(K989-J989)/K989</f>
        <v>#DIV/0!</v>
      </c>
      <c r="M989" s="179"/>
      <c r="N989" s="179" t="s">
        <v>984</v>
      </c>
      <c r="O989" s="141">
        <f t="shared" si="303"/>
        <v>0</v>
      </c>
      <c r="P989" s="181" t="b">
        <f>COUNTIF('Facility Data'!$A$1:$A$1500,"*"&amp;A989&amp;"*")&gt;0</f>
        <v>0</v>
      </c>
      <c r="Q989" s="181" t="b">
        <f>COUNTIF('Account Data'!$A$1:$A$1000,"*"&amp;A989&amp;"*")&gt;0</f>
        <v>0</v>
      </c>
      <c r="R989" s="182" t="b">
        <f t="shared" si="301"/>
        <v>1</v>
      </c>
      <c r="S989" s="182" t="b">
        <f t="shared" si="302"/>
        <v>1</v>
      </c>
      <c r="T989" s="181" t="b">
        <f>COUNTIF('New Items'!$A$1:$A$175,A989)&gt;0</f>
        <v>1</v>
      </c>
      <c r="U989" s="181" t="b">
        <f>COUNTIF(Discontinued!$A$1:$A$150,A989)&gt;0</f>
        <v>0</v>
      </c>
    </row>
    <row r="990" spans="1:21" s="8" customFormat="1" ht="11.25" x14ac:dyDescent="0.2">
      <c r="A990" s="290">
        <v>10136522</v>
      </c>
      <c r="B990" s="10" t="s">
        <v>4600</v>
      </c>
      <c r="C990" s="12" t="s">
        <v>4601</v>
      </c>
      <c r="D990" s="11" t="s">
        <v>692</v>
      </c>
      <c r="E990" s="12" t="s">
        <v>772</v>
      </c>
      <c r="F990" s="13">
        <v>4</v>
      </c>
      <c r="G990" s="22">
        <f>Overview!$B$89</f>
        <v>30</v>
      </c>
      <c r="H990" s="23">
        <f t="shared" si="298"/>
        <v>30</v>
      </c>
      <c r="I990" s="114">
        <f>Overview!$E$89</f>
        <v>0</v>
      </c>
      <c r="J990" s="24">
        <f>I990/F990</f>
        <v>0</v>
      </c>
      <c r="K990" s="116">
        <f>Overview!$H$89</f>
        <v>0</v>
      </c>
      <c r="L990" s="51" t="e">
        <f>(K990-J990)/K990</f>
        <v>#DIV/0!</v>
      </c>
      <c r="M990" s="179"/>
      <c r="N990" s="179" t="s">
        <v>984</v>
      </c>
      <c r="O990" s="141">
        <f>I990</f>
        <v>0</v>
      </c>
      <c r="P990" s="181" t="b">
        <f>COUNTIF('Facility Data'!$A$1:$A$1500,"*"&amp;A990&amp;"*")&gt;0</f>
        <v>0</v>
      </c>
      <c r="Q990" s="181" t="b">
        <f>COUNTIF('Account Data'!$A$1:$A$1000,"*"&amp;A990&amp;"*")&gt;0</f>
        <v>0</v>
      </c>
      <c r="R990" s="182" t="b">
        <f t="shared" si="301"/>
        <v>1</v>
      </c>
      <c r="S990" s="182" t="b">
        <f t="shared" si="302"/>
        <v>1</v>
      </c>
      <c r="T990" s="181" t="b">
        <f>COUNTIF('New Items'!$A$1:$A$175,A990)&gt;0</f>
        <v>1</v>
      </c>
      <c r="U990" s="181" t="b">
        <f>COUNTIF(Discontinued!$A$1:$A$150,A990)&gt;0</f>
        <v>0</v>
      </c>
    </row>
    <row r="991" spans="1:21" s="8" customFormat="1" ht="11.25" x14ac:dyDescent="0.2">
      <c r="A991" s="290">
        <v>10137145</v>
      </c>
      <c r="B991" s="10" t="s">
        <v>4608</v>
      </c>
      <c r="C991" s="12" t="s">
        <v>4609</v>
      </c>
      <c r="D991" s="11" t="s">
        <v>690</v>
      </c>
      <c r="E991" s="12" t="s">
        <v>772</v>
      </c>
      <c r="F991" s="13">
        <v>4</v>
      </c>
      <c r="G991" s="22">
        <f>Overview!$B$89</f>
        <v>30</v>
      </c>
      <c r="H991" s="23">
        <f t="shared" si="298"/>
        <v>30</v>
      </c>
      <c r="I991" s="114">
        <f>Overview!$E$89</f>
        <v>0</v>
      </c>
      <c r="J991" s="24">
        <f>I991/F991</f>
        <v>0</v>
      </c>
      <c r="K991" s="116">
        <f>Overview!$H$89</f>
        <v>0</v>
      </c>
      <c r="L991" s="51" t="e">
        <f>(K991-J991)/K991</f>
        <v>#DIV/0!</v>
      </c>
      <c r="M991" s="179"/>
      <c r="N991" s="179" t="s">
        <v>984</v>
      </c>
      <c r="O991" s="141">
        <f>I991</f>
        <v>0</v>
      </c>
      <c r="P991" s="181" t="b">
        <f>COUNTIF('Facility Data'!$A$1:$A$1500,"*"&amp;A991&amp;"*")&gt;0</f>
        <v>0</v>
      </c>
      <c r="Q991" s="181" t="b">
        <f>COUNTIF('Account Data'!$A$1:$A$1000,"*"&amp;A991&amp;"*")&gt;0</f>
        <v>0</v>
      </c>
      <c r="R991" s="182" t="b">
        <f t="shared" si="301"/>
        <v>1</v>
      </c>
      <c r="S991" s="182" t="b">
        <f t="shared" si="302"/>
        <v>1</v>
      </c>
      <c r="T991" s="181" t="b">
        <f>COUNTIF('New Items'!$A$1:$A$175,A991)&gt;0</f>
        <v>1</v>
      </c>
      <c r="U991" s="181" t="b">
        <f>COUNTIF(Discontinued!$A$1:$A$150,A991)&gt;0</f>
        <v>0</v>
      </c>
    </row>
    <row r="992" spans="1:21" s="8" customFormat="1" ht="12" thickBot="1" x14ac:dyDescent="0.25">
      <c r="A992" s="290">
        <v>10136474</v>
      </c>
      <c r="B992" s="10" t="s">
        <v>4582</v>
      </c>
      <c r="C992" s="12" t="s">
        <v>4583</v>
      </c>
      <c r="D992" s="11" t="s">
        <v>1753</v>
      </c>
      <c r="E992" s="12" t="s">
        <v>772</v>
      </c>
      <c r="F992" s="13">
        <v>4</v>
      </c>
      <c r="G992" s="22">
        <f>Overview!$B$89</f>
        <v>30</v>
      </c>
      <c r="H992" s="23">
        <f t="shared" si="298"/>
        <v>30</v>
      </c>
      <c r="I992" s="114">
        <f>Overview!$E$89</f>
        <v>0</v>
      </c>
      <c r="J992" s="24">
        <f>I992/F992</f>
        <v>0</v>
      </c>
      <c r="K992" s="116">
        <f>Overview!$H$89</f>
        <v>0</v>
      </c>
      <c r="L992" s="51" t="e">
        <f>(K992-J992)/K992</f>
        <v>#DIV/0!</v>
      </c>
      <c r="M992" s="179"/>
      <c r="N992" s="179" t="s">
        <v>984</v>
      </c>
      <c r="O992" s="141">
        <f t="shared" si="303"/>
        <v>0</v>
      </c>
      <c r="P992" s="181" t="b">
        <f>COUNTIF('Facility Data'!$A$1:$A$1500,"*"&amp;A992&amp;"*")&gt;0</f>
        <v>0</v>
      </c>
      <c r="Q992" s="181" t="b">
        <f>COUNTIF('Account Data'!$A$1:$A$1000,"*"&amp;A992&amp;"*")&gt;0</f>
        <v>0</v>
      </c>
      <c r="R992" s="182" t="b">
        <f t="shared" si="301"/>
        <v>1</v>
      </c>
      <c r="S992" s="182" t="b">
        <f t="shared" si="302"/>
        <v>1</v>
      </c>
      <c r="T992" s="181" t="b">
        <f>COUNTIF('New Items'!$A$1:$A$175,A992)&gt;0</f>
        <v>1</v>
      </c>
      <c r="U992" s="181" t="b">
        <f>COUNTIF(Discontinued!$A$1:$A$150,A992)&gt;0</f>
        <v>0</v>
      </c>
    </row>
    <row r="993" spans="1:21" s="8" customFormat="1" ht="13.5" thickBot="1" x14ac:dyDescent="0.25">
      <c r="A993" s="300" t="s">
        <v>4581</v>
      </c>
      <c r="B993" s="301"/>
      <c r="C993" s="301"/>
      <c r="D993" s="301"/>
      <c r="E993" s="301"/>
      <c r="F993" s="301"/>
      <c r="G993" s="301"/>
      <c r="H993" s="301"/>
      <c r="I993" s="301"/>
      <c r="J993" s="301"/>
      <c r="K993" s="301"/>
      <c r="L993" s="302"/>
      <c r="M993" s="179" t="s">
        <v>4361</v>
      </c>
      <c r="N993" s="179" t="s">
        <v>3141</v>
      </c>
      <c r="O993" s="141">
        <f>AVERAGE(O994:O1007)</f>
        <v>0</v>
      </c>
      <c r="P993" s="181" t="b">
        <f>COUNTIF(P994:P1007,TRUE)&gt;0</f>
        <v>0</v>
      </c>
      <c r="Q993" s="181" t="b">
        <f>COUNTIF(Q994:Q1007,TRUE)&gt;0</f>
        <v>0</v>
      </c>
      <c r="R993" s="181" t="b">
        <f>COUNTIF(R994:R1007,TRUE)&gt;0</f>
        <v>1</v>
      </c>
      <c r="S993" s="181" t="b">
        <f>COUNTIF(S994:S1007,TRUE)&gt;0</f>
        <v>1</v>
      </c>
      <c r="T993" s="181" t="b">
        <f>COUNTIF(T994:T1007,TRUE)&gt;0</f>
        <v>1</v>
      </c>
      <c r="U993" s="181"/>
    </row>
    <row r="994" spans="1:21" s="8" customFormat="1" ht="11.25" x14ac:dyDescent="0.2">
      <c r="A994" s="290">
        <v>10136527</v>
      </c>
      <c r="B994" s="10" t="s">
        <v>4641</v>
      </c>
      <c r="C994" s="12" t="s">
        <v>4642</v>
      </c>
      <c r="D994" s="11" t="s">
        <v>1326</v>
      </c>
      <c r="E994" s="12" t="s">
        <v>772</v>
      </c>
      <c r="F994" s="13">
        <v>2</v>
      </c>
      <c r="G994" s="22">
        <f>Overview!$B$90</f>
        <v>30</v>
      </c>
      <c r="H994" s="23">
        <f t="shared" ref="H994:H1007" si="306">G994-I994</f>
        <v>30</v>
      </c>
      <c r="I994" s="114">
        <f>Overview!$E$90</f>
        <v>0</v>
      </c>
      <c r="J994" s="24">
        <f t="shared" ref="J994:J1007" si="307">I994/F994</f>
        <v>0</v>
      </c>
      <c r="K994" s="116">
        <f>Overview!$H$90</f>
        <v>0</v>
      </c>
      <c r="L994" s="51" t="e">
        <f t="shared" ref="L994:L1007" si="308">(K994-J994)/K994</f>
        <v>#DIV/0!</v>
      </c>
      <c r="M994" s="179"/>
      <c r="N994" s="179" t="s">
        <v>3141</v>
      </c>
      <c r="O994" s="141">
        <f>I994</f>
        <v>0</v>
      </c>
      <c r="P994" s="181" t="b">
        <f>COUNTIF('Facility Data'!$A$1:$A$1500,"*"&amp;A994&amp;"*")&gt;0</f>
        <v>0</v>
      </c>
      <c r="Q994" s="181" t="b">
        <f>COUNTIF('Account Data'!$A$1:$A$1000,"*"&amp;A994&amp;"*")&gt;0</f>
        <v>0</v>
      </c>
      <c r="R994" s="182" t="b">
        <f t="shared" ref="R994:R1007" si="309">IF(OR(P994=TRUE,T994=TRUE),TRUE,FALSE)</f>
        <v>1</v>
      </c>
      <c r="S994" s="182" t="b">
        <f t="shared" ref="S994:S1007" si="310">IF(OR(Q994=TRUE,T994=TRUE),TRUE,FALSE)</f>
        <v>1</v>
      </c>
      <c r="T994" s="181" t="b">
        <f>COUNTIF('New Items'!$A$1:$A$175,A994)&gt;0</f>
        <v>1</v>
      </c>
      <c r="U994" s="181" t="b">
        <f>COUNTIF(Discontinued!$A$1:$A$150,A994)&gt;0</f>
        <v>0</v>
      </c>
    </row>
    <row r="995" spans="1:21" s="8" customFormat="1" ht="11.25" x14ac:dyDescent="0.2">
      <c r="A995" s="290">
        <v>10136479</v>
      </c>
      <c r="B995" s="10" t="s">
        <v>4624</v>
      </c>
      <c r="C995" s="12" t="s">
        <v>4775</v>
      </c>
      <c r="D995" s="11" t="s">
        <v>1327</v>
      </c>
      <c r="E995" s="12" t="s">
        <v>772</v>
      </c>
      <c r="F995" s="13">
        <v>2</v>
      </c>
      <c r="G995" s="22">
        <f>Overview!$B$90</f>
        <v>30</v>
      </c>
      <c r="H995" s="23">
        <f t="shared" si="306"/>
        <v>30</v>
      </c>
      <c r="I995" s="114">
        <f>Overview!$E$90</f>
        <v>0</v>
      </c>
      <c r="J995" s="24">
        <f t="shared" si="307"/>
        <v>0</v>
      </c>
      <c r="K995" s="116">
        <f>Overview!$H$90</f>
        <v>0</v>
      </c>
      <c r="L995" s="51" t="e">
        <f t="shared" si="308"/>
        <v>#DIV/0!</v>
      </c>
      <c r="M995" s="179"/>
      <c r="N995" s="179" t="s">
        <v>3141</v>
      </c>
      <c r="O995" s="141">
        <f t="shared" ref="O995:O1006" si="311">I995</f>
        <v>0</v>
      </c>
      <c r="P995" s="181" t="b">
        <f>COUNTIF('Facility Data'!$A$1:$A$1500,"*"&amp;A995&amp;"*")&gt;0</f>
        <v>0</v>
      </c>
      <c r="Q995" s="181" t="b">
        <f>COUNTIF('Account Data'!$A$1:$A$1000,"*"&amp;A995&amp;"*")&gt;0</f>
        <v>0</v>
      </c>
      <c r="R995" s="182" t="b">
        <f t="shared" si="309"/>
        <v>1</v>
      </c>
      <c r="S995" s="182" t="b">
        <f t="shared" si="310"/>
        <v>1</v>
      </c>
      <c r="T995" s="181" t="b">
        <f>COUNTIF('New Items'!$A$1:$A$175,A995)&gt;0</f>
        <v>1</v>
      </c>
      <c r="U995" s="181" t="b">
        <f>COUNTIF(Discontinued!$A$1:$A$150,A995)&gt;0</f>
        <v>0</v>
      </c>
    </row>
    <row r="996" spans="1:21" s="8" customFormat="1" ht="11.25" x14ac:dyDescent="0.2">
      <c r="A996" s="290">
        <v>10136526</v>
      </c>
      <c r="B996" s="10" t="s">
        <v>4645</v>
      </c>
      <c r="C996" s="12" t="s">
        <v>4646</v>
      </c>
      <c r="D996" s="11" t="s">
        <v>683</v>
      </c>
      <c r="E996" s="12" t="s">
        <v>772</v>
      </c>
      <c r="F996" s="13">
        <v>2</v>
      </c>
      <c r="G996" s="22">
        <f>Overview!$B$90</f>
        <v>30</v>
      </c>
      <c r="H996" s="23">
        <f t="shared" si="306"/>
        <v>30</v>
      </c>
      <c r="I996" s="114">
        <f>Overview!$E$90</f>
        <v>0</v>
      </c>
      <c r="J996" s="24">
        <f t="shared" si="307"/>
        <v>0</v>
      </c>
      <c r="K996" s="116">
        <f>Overview!$H$90</f>
        <v>0</v>
      </c>
      <c r="L996" s="51" t="e">
        <f t="shared" si="308"/>
        <v>#DIV/0!</v>
      </c>
      <c r="M996" s="179"/>
      <c r="N996" s="179" t="s">
        <v>3141</v>
      </c>
      <c r="O996" s="141">
        <f t="shared" si="311"/>
        <v>0</v>
      </c>
      <c r="P996" s="181" t="b">
        <f>COUNTIF('Facility Data'!$A$1:$A$1500,"*"&amp;A996&amp;"*")&gt;0</f>
        <v>0</v>
      </c>
      <c r="Q996" s="181" t="b">
        <f>COUNTIF('Account Data'!$A$1:$A$1000,"*"&amp;A996&amp;"*")&gt;0</f>
        <v>0</v>
      </c>
      <c r="R996" s="182" t="b">
        <f t="shared" si="309"/>
        <v>1</v>
      </c>
      <c r="S996" s="182" t="b">
        <f t="shared" si="310"/>
        <v>1</v>
      </c>
      <c r="T996" s="181" t="b">
        <f>COUNTIF('New Items'!$A$1:$A$175,A996)&gt;0</f>
        <v>1</v>
      </c>
      <c r="U996" s="181" t="b">
        <f>COUNTIF(Discontinued!$A$1:$A$150,A996)&gt;0</f>
        <v>0</v>
      </c>
    </row>
    <row r="997" spans="1:21" s="8" customFormat="1" ht="11.25" x14ac:dyDescent="0.2">
      <c r="A997" s="290">
        <v>10136481</v>
      </c>
      <c r="B997" s="10" t="s">
        <v>4627</v>
      </c>
      <c r="C997" s="12" t="s">
        <v>4628</v>
      </c>
      <c r="D997" s="11" t="s">
        <v>684</v>
      </c>
      <c r="E997" s="12" t="s">
        <v>772</v>
      </c>
      <c r="F997" s="13">
        <v>2</v>
      </c>
      <c r="G997" s="22">
        <f>Overview!$B$90</f>
        <v>30</v>
      </c>
      <c r="H997" s="23">
        <f t="shared" si="306"/>
        <v>30</v>
      </c>
      <c r="I997" s="114">
        <f>Overview!$E$90</f>
        <v>0</v>
      </c>
      <c r="J997" s="24">
        <f t="shared" si="307"/>
        <v>0</v>
      </c>
      <c r="K997" s="116">
        <f>Overview!$H$90</f>
        <v>0</v>
      </c>
      <c r="L997" s="51" t="e">
        <f t="shared" si="308"/>
        <v>#DIV/0!</v>
      </c>
      <c r="M997" s="179"/>
      <c r="N997" s="179" t="s">
        <v>3141</v>
      </c>
      <c r="O997" s="141">
        <f t="shared" si="311"/>
        <v>0</v>
      </c>
      <c r="P997" s="181" t="b">
        <f>COUNTIF('Facility Data'!$A$1:$A$1500,"*"&amp;A997&amp;"*")&gt;0</f>
        <v>0</v>
      </c>
      <c r="Q997" s="181" t="b">
        <f>COUNTIF('Account Data'!$A$1:$A$1000,"*"&amp;A997&amp;"*")&gt;0</f>
        <v>0</v>
      </c>
      <c r="R997" s="182" t="b">
        <f t="shared" si="309"/>
        <v>1</v>
      </c>
      <c r="S997" s="182" t="b">
        <f t="shared" si="310"/>
        <v>1</v>
      </c>
      <c r="T997" s="181" t="b">
        <f>COUNTIF('New Items'!$A$1:$A$175,A997)&gt;0</f>
        <v>1</v>
      </c>
      <c r="U997" s="181" t="b">
        <f>COUNTIF(Discontinued!$A$1:$A$150,A997)&gt;0</f>
        <v>0</v>
      </c>
    </row>
    <row r="998" spans="1:21" s="8" customFormat="1" ht="11.25" x14ac:dyDescent="0.2">
      <c r="A998" s="290">
        <v>10136528</v>
      </c>
      <c r="B998" s="10" t="s">
        <v>4643</v>
      </c>
      <c r="C998" s="12" t="s">
        <v>4644</v>
      </c>
      <c r="D998" s="11" t="s">
        <v>687</v>
      </c>
      <c r="E998" s="12" t="s">
        <v>772</v>
      </c>
      <c r="F998" s="13">
        <v>2</v>
      </c>
      <c r="G998" s="22">
        <f>Overview!$B$90</f>
        <v>30</v>
      </c>
      <c r="H998" s="23">
        <f>G998-I998</f>
        <v>30</v>
      </c>
      <c r="I998" s="114">
        <f>Overview!$E$90</f>
        <v>0</v>
      </c>
      <c r="J998" s="24">
        <f>I998/F998</f>
        <v>0</v>
      </c>
      <c r="K998" s="116">
        <f>Overview!$H$90</f>
        <v>0</v>
      </c>
      <c r="L998" s="51" t="e">
        <f>(K998-J998)/K998</f>
        <v>#DIV/0!</v>
      </c>
      <c r="M998" s="179"/>
      <c r="N998" s="179" t="s">
        <v>3141</v>
      </c>
      <c r="O998" s="141">
        <f>I998</f>
        <v>0</v>
      </c>
      <c r="P998" s="181" t="b">
        <f>COUNTIF('Facility Data'!$A$1:$A$1500,"*"&amp;A998&amp;"*")&gt;0</f>
        <v>0</v>
      </c>
      <c r="Q998" s="181" t="b">
        <f>COUNTIF('Account Data'!$A$1:$A$1000,"*"&amp;A998&amp;"*")&gt;0</f>
        <v>0</v>
      </c>
      <c r="R998" s="182" t="b">
        <f t="shared" si="309"/>
        <v>1</v>
      </c>
      <c r="S998" s="182" t="b">
        <f>IF(OR(Q998=TRUE,T998=TRUE),TRUE,FALSE)</f>
        <v>1</v>
      </c>
      <c r="T998" s="181" t="b">
        <f>COUNTIF('New Items'!$A$1:$A$175,A998)&gt;0</f>
        <v>1</v>
      </c>
      <c r="U998" s="181" t="b">
        <f>COUNTIF(Discontinued!$A$1:$A$150,A998)&gt;0</f>
        <v>0</v>
      </c>
    </row>
    <row r="999" spans="1:21" s="8" customFormat="1" ht="11.25" x14ac:dyDescent="0.2">
      <c r="A999" s="290">
        <v>10136482</v>
      </c>
      <c r="B999" s="10" t="s">
        <v>4625</v>
      </c>
      <c r="C999" s="12" t="s">
        <v>4626</v>
      </c>
      <c r="D999" s="11" t="s">
        <v>958</v>
      </c>
      <c r="E999" s="12" t="s">
        <v>772</v>
      </c>
      <c r="F999" s="13">
        <v>2</v>
      </c>
      <c r="G999" s="22">
        <f>Overview!$B$90</f>
        <v>30</v>
      </c>
      <c r="H999" s="23">
        <f t="shared" si="306"/>
        <v>30</v>
      </c>
      <c r="I999" s="114">
        <f>Overview!$E$90</f>
        <v>0</v>
      </c>
      <c r="J999" s="24">
        <f t="shared" si="307"/>
        <v>0</v>
      </c>
      <c r="K999" s="116">
        <f>Overview!$H$90</f>
        <v>0</v>
      </c>
      <c r="L999" s="51" t="e">
        <f t="shared" si="308"/>
        <v>#DIV/0!</v>
      </c>
      <c r="M999" s="179"/>
      <c r="N999" s="179" t="s">
        <v>3141</v>
      </c>
      <c r="O999" s="141">
        <f t="shared" si="311"/>
        <v>0</v>
      </c>
      <c r="P999" s="181" t="b">
        <f>COUNTIF('Facility Data'!$A$1:$A$1500,"*"&amp;A999&amp;"*")&gt;0</f>
        <v>0</v>
      </c>
      <c r="Q999" s="181" t="b">
        <f>COUNTIF('Account Data'!$A$1:$A$1000,"*"&amp;A999&amp;"*")&gt;0</f>
        <v>0</v>
      </c>
      <c r="R999" s="182" t="b">
        <f t="shared" si="309"/>
        <v>1</v>
      </c>
      <c r="S999" s="182" t="b">
        <f t="shared" si="310"/>
        <v>1</v>
      </c>
      <c r="T999" s="181" t="b">
        <f>COUNTIF('New Items'!$A$1:$A$175,A999)&gt;0</f>
        <v>1</v>
      </c>
      <c r="U999" s="181" t="b">
        <f>COUNTIF(Discontinued!$A$1:$A$150,A999)&gt;0</f>
        <v>0</v>
      </c>
    </row>
    <row r="1000" spans="1:21" s="8" customFormat="1" ht="11.25" x14ac:dyDescent="0.2">
      <c r="A1000" s="290">
        <v>10136531</v>
      </c>
      <c r="B1000" s="10" t="s">
        <v>4647</v>
      </c>
      <c r="C1000" s="12" t="s">
        <v>4648</v>
      </c>
      <c r="D1000" s="11" t="s">
        <v>685</v>
      </c>
      <c r="E1000" s="12" t="s">
        <v>772</v>
      </c>
      <c r="F1000" s="13">
        <v>2</v>
      </c>
      <c r="G1000" s="22">
        <f>Overview!$B$90</f>
        <v>30</v>
      </c>
      <c r="H1000" s="23">
        <f t="shared" si="306"/>
        <v>30</v>
      </c>
      <c r="I1000" s="114">
        <f>Overview!$E$90</f>
        <v>0</v>
      </c>
      <c r="J1000" s="24">
        <f t="shared" si="307"/>
        <v>0</v>
      </c>
      <c r="K1000" s="116">
        <f>Overview!$H$90</f>
        <v>0</v>
      </c>
      <c r="L1000" s="51" t="e">
        <f t="shared" si="308"/>
        <v>#DIV/0!</v>
      </c>
      <c r="M1000" s="179"/>
      <c r="N1000" s="179" t="s">
        <v>3141</v>
      </c>
      <c r="O1000" s="141">
        <f t="shared" si="311"/>
        <v>0</v>
      </c>
      <c r="P1000" s="181" t="b">
        <f>COUNTIF('Facility Data'!$A$1:$A$1500,"*"&amp;A1000&amp;"*")&gt;0</f>
        <v>0</v>
      </c>
      <c r="Q1000" s="181" t="b">
        <f>COUNTIF('Account Data'!$A$1:$A$1000,"*"&amp;A1000&amp;"*")&gt;0</f>
        <v>0</v>
      </c>
      <c r="R1000" s="182" t="b">
        <f t="shared" si="309"/>
        <v>1</v>
      </c>
      <c r="S1000" s="182" t="b">
        <f t="shared" si="310"/>
        <v>1</v>
      </c>
      <c r="T1000" s="181" t="b">
        <f>COUNTIF('New Items'!$A$1:$A$175,A1000)&gt;0</f>
        <v>1</v>
      </c>
      <c r="U1000" s="181" t="b">
        <f>COUNTIF(Discontinued!$A$1:$A$150,A1000)&gt;0</f>
        <v>0</v>
      </c>
    </row>
    <row r="1001" spans="1:21" s="8" customFormat="1" ht="11.25" x14ac:dyDescent="0.2">
      <c r="A1001" s="290">
        <v>10136568</v>
      </c>
      <c r="B1001" s="10" t="s">
        <v>4629</v>
      </c>
      <c r="C1001" s="12" t="s">
        <v>4630</v>
      </c>
      <c r="D1001" s="11" t="s">
        <v>686</v>
      </c>
      <c r="E1001" s="12" t="s">
        <v>772</v>
      </c>
      <c r="F1001" s="13">
        <v>2</v>
      </c>
      <c r="G1001" s="22">
        <f>Overview!$B$90</f>
        <v>30</v>
      </c>
      <c r="H1001" s="23">
        <f t="shared" si="306"/>
        <v>30</v>
      </c>
      <c r="I1001" s="114">
        <f>Overview!$E$90</f>
        <v>0</v>
      </c>
      <c r="J1001" s="24">
        <f t="shared" si="307"/>
        <v>0</v>
      </c>
      <c r="K1001" s="116">
        <f>Overview!$H$90</f>
        <v>0</v>
      </c>
      <c r="L1001" s="51" t="e">
        <f t="shared" si="308"/>
        <v>#DIV/0!</v>
      </c>
      <c r="M1001" s="179"/>
      <c r="N1001" s="179" t="s">
        <v>3141</v>
      </c>
      <c r="O1001" s="141">
        <f t="shared" si="311"/>
        <v>0</v>
      </c>
      <c r="P1001" s="181" t="b">
        <f>COUNTIF('Facility Data'!$A$1:$A$1500,"*"&amp;A1001&amp;"*")&gt;0</f>
        <v>0</v>
      </c>
      <c r="Q1001" s="181" t="b">
        <f>COUNTIF('Account Data'!$A$1:$A$1000,"*"&amp;A1001&amp;"*")&gt;0</f>
        <v>0</v>
      </c>
      <c r="R1001" s="182" t="b">
        <f t="shared" si="309"/>
        <v>1</v>
      </c>
      <c r="S1001" s="182" t="b">
        <f t="shared" si="310"/>
        <v>1</v>
      </c>
      <c r="T1001" s="181" t="b">
        <f>COUNTIF('New Items'!$A$1:$A$175,A1001)&gt;0</f>
        <v>1</v>
      </c>
      <c r="U1001" s="181" t="b">
        <f>COUNTIF(Discontinued!$A$1:$A$150,A1001)&gt;0</f>
        <v>0</v>
      </c>
    </row>
    <row r="1002" spans="1:21" s="8" customFormat="1" ht="11.25" x14ac:dyDescent="0.2">
      <c r="A1002" s="290">
        <v>10136524</v>
      </c>
      <c r="B1002" s="10" t="s">
        <v>4639</v>
      </c>
      <c r="C1002" s="12" t="s">
        <v>4640</v>
      </c>
      <c r="D1002" s="11" t="s">
        <v>688</v>
      </c>
      <c r="E1002" s="12" t="s">
        <v>772</v>
      </c>
      <c r="F1002" s="13">
        <v>2</v>
      </c>
      <c r="G1002" s="22">
        <f>Overview!$B$90</f>
        <v>30</v>
      </c>
      <c r="H1002" s="23">
        <f t="shared" si="306"/>
        <v>30</v>
      </c>
      <c r="I1002" s="114">
        <f>Overview!$E$90</f>
        <v>0</v>
      </c>
      <c r="J1002" s="24">
        <f t="shared" si="307"/>
        <v>0</v>
      </c>
      <c r="K1002" s="116">
        <f>Overview!$H$90</f>
        <v>0</v>
      </c>
      <c r="L1002" s="51" t="e">
        <f t="shared" si="308"/>
        <v>#DIV/0!</v>
      </c>
      <c r="M1002" s="179"/>
      <c r="N1002" s="179" t="s">
        <v>3141</v>
      </c>
      <c r="O1002" s="141">
        <f t="shared" si="311"/>
        <v>0</v>
      </c>
      <c r="P1002" s="181" t="b">
        <f>COUNTIF('Facility Data'!$A$1:$A$1500,"*"&amp;A1002&amp;"*")&gt;0</f>
        <v>0</v>
      </c>
      <c r="Q1002" s="181" t="b">
        <f>COUNTIF('Account Data'!$A$1:$A$1000,"*"&amp;A1002&amp;"*")&gt;0</f>
        <v>0</v>
      </c>
      <c r="R1002" s="182" t="b">
        <f t="shared" si="309"/>
        <v>1</v>
      </c>
      <c r="S1002" s="182" t="b">
        <f t="shared" si="310"/>
        <v>1</v>
      </c>
      <c r="T1002" s="181" t="b">
        <f>COUNTIF('New Items'!$A$1:$A$175,A1002)&gt;0</f>
        <v>1</v>
      </c>
      <c r="U1002" s="181" t="b">
        <f>COUNTIF(Discontinued!$A$1:$A$150,A1002)&gt;0</f>
        <v>0</v>
      </c>
    </row>
    <row r="1003" spans="1:21" s="8" customFormat="1" ht="11.25" x14ac:dyDescent="0.2">
      <c r="A1003" s="290">
        <v>10136480</v>
      </c>
      <c r="B1003" s="10" t="s">
        <v>4622</v>
      </c>
      <c r="C1003" s="12" t="s">
        <v>4623</v>
      </c>
      <c r="D1003" s="11" t="s">
        <v>689</v>
      </c>
      <c r="E1003" s="12" t="s">
        <v>772</v>
      </c>
      <c r="F1003" s="13">
        <v>2</v>
      </c>
      <c r="G1003" s="22">
        <f>Overview!$B$90</f>
        <v>30</v>
      </c>
      <c r="H1003" s="23">
        <f t="shared" si="306"/>
        <v>30</v>
      </c>
      <c r="I1003" s="114">
        <f>Overview!$E$90</f>
        <v>0</v>
      </c>
      <c r="J1003" s="24">
        <f t="shared" si="307"/>
        <v>0</v>
      </c>
      <c r="K1003" s="116">
        <f>Overview!$H$90</f>
        <v>0</v>
      </c>
      <c r="L1003" s="51" t="e">
        <f t="shared" si="308"/>
        <v>#DIV/0!</v>
      </c>
      <c r="M1003" s="179" t="s">
        <v>1000</v>
      </c>
      <c r="N1003" s="179" t="s">
        <v>3141</v>
      </c>
      <c r="O1003" s="141">
        <f t="shared" si="311"/>
        <v>0</v>
      </c>
      <c r="P1003" s="181" t="b">
        <f>COUNTIF('Facility Data'!$A$1:$A$1500,"*"&amp;A1003&amp;"*")&gt;0</f>
        <v>0</v>
      </c>
      <c r="Q1003" s="181" t="b">
        <f>COUNTIF('Account Data'!$A$1:$A$1000,"*"&amp;A1003&amp;"*")&gt;0</f>
        <v>0</v>
      </c>
      <c r="R1003" s="182" t="b">
        <f t="shared" si="309"/>
        <v>1</v>
      </c>
      <c r="S1003" s="182" t="b">
        <f t="shared" si="310"/>
        <v>1</v>
      </c>
      <c r="T1003" s="181" t="b">
        <f>COUNTIF('New Items'!$A$1:$A$175,A1003)&gt;0</f>
        <v>1</v>
      </c>
      <c r="U1003" s="181" t="b">
        <f>COUNTIF(Discontinued!$A$1:$A$150,A1003)&gt;0</f>
        <v>0</v>
      </c>
    </row>
    <row r="1004" spans="1:21" s="8" customFormat="1" ht="11.25" x14ac:dyDescent="0.2">
      <c r="A1004" s="289">
        <v>10136572</v>
      </c>
      <c r="B1004" s="10" t="s">
        <v>4633</v>
      </c>
      <c r="C1004" s="12" t="s">
        <v>4634</v>
      </c>
      <c r="D1004" s="11" t="s">
        <v>691</v>
      </c>
      <c r="E1004" s="12" t="s">
        <v>772</v>
      </c>
      <c r="F1004" s="13">
        <v>2</v>
      </c>
      <c r="G1004" s="22">
        <f>Overview!$B$90</f>
        <v>30</v>
      </c>
      <c r="H1004" s="23">
        <f t="shared" si="306"/>
        <v>30</v>
      </c>
      <c r="I1004" s="114">
        <f>Overview!$E$90</f>
        <v>0</v>
      </c>
      <c r="J1004" s="24">
        <f t="shared" si="307"/>
        <v>0</v>
      </c>
      <c r="K1004" s="116">
        <f>Overview!$H$90</f>
        <v>0</v>
      </c>
      <c r="L1004" s="51" t="e">
        <f t="shared" si="308"/>
        <v>#DIV/0!</v>
      </c>
      <c r="M1004" s="179"/>
      <c r="N1004" s="179" t="s">
        <v>3141</v>
      </c>
      <c r="O1004" s="141">
        <f t="shared" si="311"/>
        <v>0</v>
      </c>
      <c r="P1004" s="181" t="b">
        <f>COUNTIF('Facility Data'!$A$1:$A$1500,"*"&amp;A1004&amp;"*")&gt;0</f>
        <v>0</v>
      </c>
      <c r="Q1004" s="181" t="b">
        <f>COUNTIF('Account Data'!$A$1:$A$1000,"*"&amp;A1004&amp;"*")&gt;0</f>
        <v>0</v>
      </c>
      <c r="R1004" s="182" t="b">
        <f t="shared" si="309"/>
        <v>1</v>
      </c>
      <c r="S1004" s="182" t="b">
        <f t="shared" si="310"/>
        <v>1</v>
      </c>
      <c r="T1004" s="181" t="b">
        <f>COUNTIF('New Items'!$A$1:$A$175,A1004)&gt;0</f>
        <v>1</v>
      </c>
      <c r="U1004" s="181" t="b">
        <f>COUNTIF(Discontinued!$A$1:$A$150,A1004)&gt;0</f>
        <v>0</v>
      </c>
    </row>
    <row r="1005" spans="1:21" s="8" customFormat="1" ht="11.25" x14ac:dyDescent="0.2">
      <c r="A1005" s="290">
        <v>10136577</v>
      </c>
      <c r="B1005" s="10" t="s">
        <v>4635</v>
      </c>
      <c r="C1005" s="12" t="s">
        <v>4636</v>
      </c>
      <c r="D1005" s="11" t="s">
        <v>692</v>
      </c>
      <c r="E1005" s="12" t="s">
        <v>772</v>
      </c>
      <c r="F1005" s="13">
        <v>2</v>
      </c>
      <c r="G1005" s="22">
        <f>Overview!$B$90</f>
        <v>30</v>
      </c>
      <c r="H1005" s="23">
        <f t="shared" si="306"/>
        <v>30</v>
      </c>
      <c r="I1005" s="114">
        <f>Overview!$E$90</f>
        <v>0</v>
      </c>
      <c r="J1005" s="24">
        <f t="shared" si="307"/>
        <v>0</v>
      </c>
      <c r="K1005" s="116">
        <f>Overview!$H$90</f>
        <v>0</v>
      </c>
      <c r="L1005" s="51" t="e">
        <f t="shared" si="308"/>
        <v>#DIV/0!</v>
      </c>
      <c r="M1005" s="179"/>
      <c r="N1005" s="179" t="s">
        <v>3141</v>
      </c>
      <c r="O1005" s="141">
        <f t="shared" si="311"/>
        <v>0</v>
      </c>
      <c r="P1005" s="181" t="b">
        <f>COUNTIF('Facility Data'!$A$1:$A$1500,"*"&amp;A1005&amp;"*")&gt;0</f>
        <v>0</v>
      </c>
      <c r="Q1005" s="181" t="b">
        <f>COUNTIF('Account Data'!$A$1:$A$1000,"*"&amp;A1005&amp;"*")&gt;0</f>
        <v>0</v>
      </c>
      <c r="R1005" s="182" t="b">
        <f t="shared" si="309"/>
        <v>1</v>
      </c>
      <c r="S1005" s="182" t="b">
        <f t="shared" si="310"/>
        <v>1</v>
      </c>
      <c r="T1005" s="181" t="b">
        <f>COUNTIF('New Items'!$A$1:$A$175,A1005)&gt;0</f>
        <v>1</v>
      </c>
      <c r="U1005" s="181" t="b">
        <f>COUNTIF(Discontinued!$A$1:$A$150,A1005)&gt;0</f>
        <v>0</v>
      </c>
    </row>
    <row r="1006" spans="1:21" s="8" customFormat="1" ht="11.25" x14ac:dyDescent="0.2">
      <c r="A1006" s="290">
        <v>10136569</v>
      </c>
      <c r="B1006" s="10" t="s">
        <v>4631</v>
      </c>
      <c r="C1006" s="12" t="s">
        <v>4632</v>
      </c>
      <c r="D1006" s="11" t="s">
        <v>690</v>
      </c>
      <c r="E1006" s="12" t="s">
        <v>772</v>
      </c>
      <c r="F1006" s="13">
        <v>2</v>
      </c>
      <c r="G1006" s="22">
        <f>Overview!$B$90</f>
        <v>30</v>
      </c>
      <c r="H1006" s="23">
        <f t="shared" si="306"/>
        <v>30</v>
      </c>
      <c r="I1006" s="114">
        <f>Overview!$E$90</f>
        <v>0</v>
      </c>
      <c r="J1006" s="24">
        <f t="shared" si="307"/>
        <v>0</v>
      </c>
      <c r="K1006" s="116">
        <f>Overview!$H$90</f>
        <v>0</v>
      </c>
      <c r="L1006" s="51" t="e">
        <f t="shared" si="308"/>
        <v>#DIV/0!</v>
      </c>
      <c r="M1006" s="179"/>
      <c r="N1006" s="179" t="s">
        <v>3141</v>
      </c>
      <c r="O1006" s="141">
        <f t="shared" si="311"/>
        <v>0</v>
      </c>
      <c r="P1006" s="181" t="b">
        <f>COUNTIF('Facility Data'!$A$1:$A$1500,"*"&amp;A1006&amp;"*")&gt;0</f>
        <v>0</v>
      </c>
      <c r="Q1006" s="181" t="b">
        <f>COUNTIF('Account Data'!$A$1:$A$1000,"*"&amp;A1006&amp;"*")&gt;0</f>
        <v>0</v>
      </c>
      <c r="R1006" s="182" t="b">
        <f t="shared" si="309"/>
        <v>1</v>
      </c>
      <c r="S1006" s="182" t="b">
        <f t="shared" si="310"/>
        <v>1</v>
      </c>
      <c r="T1006" s="181" t="b">
        <f>COUNTIF('New Items'!$A$1:$A$175,A1006)&gt;0</f>
        <v>1</v>
      </c>
      <c r="U1006" s="181" t="b">
        <f>COUNTIF(Discontinued!$A$1:$A$150,A1006)&gt;0</f>
        <v>0</v>
      </c>
    </row>
    <row r="1007" spans="1:21" s="8" customFormat="1" ht="12" thickBot="1" x14ac:dyDescent="0.25">
      <c r="A1007" s="290">
        <v>10136525</v>
      </c>
      <c r="B1007" s="10" t="s">
        <v>4637</v>
      </c>
      <c r="C1007" s="12" t="s">
        <v>4638</v>
      </c>
      <c r="D1007" s="11" t="s">
        <v>1154</v>
      </c>
      <c r="E1007" s="12" t="s">
        <v>772</v>
      </c>
      <c r="F1007" s="13">
        <v>2</v>
      </c>
      <c r="G1007" s="22">
        <f>Overview!$B$90</f>
        <v>30</v>
      </c>
      <c r="H1007" s="23">
        <f t="shared" si="306"/>
        <v>30</v>
      </c>
      <c r="I1007" s="114">
        <f>Overview!$E$90</f>
        <v>0</v>
      </c>
      <c r="J1007" s="24">
        <f t="shared" si="307"/>
        <v>0</v>
      </c>
      <c r="K1007" s="116">
        <f>Overview!$H$90</f>
        <v>0</v>
      </c>
      <c r="L1007" s="51" t="e">
        <f t="shared" si="308"/>
        <v>#DIV/0!</v>
      </c>
      <c r="M1007" s="179"/>
      <c r="N1007" s="179" t="s">
        <v>3141</v>
      </c>
      <c r="O1007" s="141">
        <f>I1007</f>
        <v>0</v>
      </c>
      <c r="P1007" s="181" t="b">
        <f>COUNTIF('Facility Data'!$A$1:$A$1500,"*"&amp;A1007&amp;"*")&gt;0</f>
        <v>0</v>
      </c>
      <c r="Q1007" s="181" t="b">
        <f>COUNTIF('Account Data'!$A$1:$A$1000,"*"&amp;A1007&amp;"*")&gt;0</f>
        <v>0</v>
      </c>
      <c r="R1007" s="182" t="b">
        <f t="shared" si="309"/>
        <v>1</v>
      </c>
      <c r="S1007" s="182" t="b">
        <f t="shared" si="310"/>
        <v>1</v>
      </c>
      <c r="T1007" s="181" t="b">
        <f>COUNTIF('New Items'!$A$1:$A$175,A1007)&gt;0</f>
        <v>1</v>
      </c>
      <c r="U1007" s="181" t="b">
        <f>COUNTIF(Discontinued!$A$1:$A$150,A1007)&gt;0</f>
        <v>0</v>
      </c>
    </row>
    <row r="1008" spans="1:21" s="8" customFormat="1" ht="13.5" thickBot="1" x14ac:dyDescent="0.25">
      <c r="A1008" s="300" t="s">
        <v>390</v>
      </c>
      <c r="B1008" s="301"/>
      <c r="C1008" s="301"/>
      <c r="D1008" s="301"/>
      <c r="E1008" s="301"/>
      <c r="F1008" s="301"/>
      <c r="G1008" s="301"/>
      <c r="H1008" s="301"/>
      <c r="I1008" s="301"/>
      <c r="J1008" s="301"/>
      <c r="K1008" s="301"/>
      <c r="L1008" s="302"/>
      <c r="M1008" s="179" t="s">
        <v>4361</v>
      </c>
      <c r="N1008" s="179" t="s">
        <v>977</v>
      </c>
      <c r="O1008" s="141">
        <f>AVERAGE(O1009:O1020)</f>
        <v>0</v>
      </c>
      <c r="P1008" s="181" t="b">
        <f>COUNTIF(P1009:P1020,TRUE)&gt;0</f>
        <v>0</v>
      </c>
      <c r="Q1008" s="181" t="b">
        <f>COUNTIF(Q1009:Q1020,TRUE)&gt;0</f>
        <v>1</v>
      </c>
      <c r="R1008" s="181" t="b">
        <f>COUNTIF(R1009:R1020,TRUE)&gt;0</f>
        <v>0</v>
      </c>
      <c r="S1008" s="181" t="b">
        <f>COUNTIF(S1009:S1020,TRUE)&gt;0</f>
        <v>1</v>
      </c>
      <c r="T1008" s="181" t="b">
        <f>COUNTIF(T1009:T1020,TRUE)&gt;0</f>
        <v>0</v>
      </c>
      <c r="U1008" s="181"/>
    </row>
    <row r="1009" spans="1:21" s="8" customFormat="1" ht="11.25" x14ac:dyDescent="0.2">
      <c r="A1009" s="152">
        <v>10002874</v>
      </c>
      <c r="B1009" s="10" t="s">
        <v>2474</v>
      </c>
      <c r="C1009" s="12" t="s">
        <v>2475</v>
      </c>
      <c r="D1009" s="11" t="s">
        <v>1326</v>
      </c>
      <c r="E1009" s="12" t="s">
        <v>757</v>
      </c>
      <c r="F1009" s="13">
        <v>24</v>
      </c>
      <c r="G1009" s="22">
        <f>Overview!$B$91</f>
        <v>30</v>
      </c>
      <c r="H1009" s="23">
        <f>G1009-I1009</f>
        <v>30</v>
      </c>
      <c r="I1009" s="114">
        <f>Overview!$E$91</f>
        <v>0</v>
      </c>
      <c r="J1009" s="24">
        <f>I1009/F1009</f>
        <v>0</v>
      </c>
      <c r="K1009" s="116">
        <f>Overview!$H$91</f>
        <v>0</v>
      </c>
      <c r="L1009" s="51" t="e">
        <f>(K1009-J1009)/K1009</f>
        <v>#DIV/0!</v>
      </c>
      <c r="M1009" s="179"/>
      <c r="N1009" s="179" t="s">
        <v>977</v>
      </c>
      <c r="O1009" s="141">
        <f>I1009</f>
        <v>0</v>
      </c>
      <c r="P1009" s="181" t="b">
        <f>COUNTIF('Facility Data'!$A$1:$A$1500,"*"&amp;A1009&amp;"*")&gt;0</f>
        <v>0</v>
      </c>
      <c r="Q1009" s="181" t="b">
        <f>COUNTIF('Account Data'!$A$1:$A$1000,"*"&amp;A1009&amp;"*")&gt;0</f>
        <v>0</v>
      </c>
      <c r="R1009" s="182" t="b">
        <f t="shared" ref="R1009:R1020" si="312">IF(OR(P1009=TRUE,T1009=TRUE),TRUE,FALSE)</f>
        <v>0</v>
      </c>
      <c r="S1009" s="182" t="b">
        <f t="shared" ref="S1009:S1020" si="313">IF(OR(Q1009=TRUE,T1009=TRUE),TRUE,FALSE)</f>
        <v>0</v>
      </c>
      <c r="T1009" s="181" t="b">
        <f>COUNTIF('New Items'!$A$1:$A$175,A1009)&gt;0</f>
        <v>0</v>
      </c>
      <c r="U1009" s="181" t="b">
        <f>COUNTIF(Discontinued!$A$1:$A$150,A1009)&gt;0</f>
        <v>0</v>
      </c>
    </row>
    <row r="1010" spans="1:21" s="8" customFormat="1" ht="11.25" x14ac:dyDescent="0.2">
      <c r="A1010" s="152">
        <v>10002882</v>
      </c>
      <c r="B1010" s="10" t="s">
        <v>2476</v>
      </c>
      <c r="C1010" s="12" t="s">
        <v>2477</v>
      </c>
      <c r="D1010" s="11" t="s">
        <v>1327</v>
      </c>
      <c r="E1010" s="12" t="s">
        <v>757</v>
      </c>
      <c r="F1010" s="13">
        <v>24</v>
      </c>
      <c r="G1010" s="22">
        <f>Overview!$B$91</f>
        <v>30</v>
      </c>
      <c r="H1010" s="23">
        <f t="shared" ref="H1010:H1020" si="314">G1010-I1010</f>
        <v>30</v>
      </c>
      <c r="I1010" s="114">
        <f>Overview!$E$91</f>
        <v>0</v>
      </c>
      <c r="J1010" s="24">
        <f t="shared" ref="J1010:J1020" si="315">I1010/F1010</f>
        <v>0</v>
      </c>
      <c r="K1010" s="116">
        <f>Overview!$H$91</f>
        <v>0</v>
      </c>
      <c r="L1010" s="51" t="e">
        <f t="shared" ref="L1010:L1020" si="316">(K1010-J1010)/K1010</f>
        <v>#DIV/0!</v>
      </c>
      <c r="M1010" s="179"/>
      <c r="N1010" s="179" t="s">
        <v>977</v>
      </c>
      <c r="O1010" s="141">
        <f t="shared" ref="O1010:O1020" si="317">I1010</f>
        <v>0</v>
      </c>
      <c r="P1010" s="181" t="b">
        <f>COUNTIF('Facility Data'!$A$1:$A$1500,"*"&amp;A1010&amp;"*")&gt;0</f>
        <v>0</v>
      </c>
      <c r="Q1010" s="181" t="b">
        <f>COUNTIF('Account Data'!$A$1:$A$1000,"*"&amp;A1010&amp;"*")&gt;0</f>
        <v>0</v>
      </c>
      <c r="R1010" s="182" t="b">
        <f t="shared" si="312"/>
        <v>0</v>
      </c>
      <c r="S1010" s="182" t="b">
        <f t="shared" si="313"/>
        <v>0</v>
      </c>
      <c r="T1010" s="181" t="b">
        <f>COUNTIF('New Items'!$A$1:$A$175,A1010)&gt;0</f>
        <v>0</v>
      </c>
      <c r="U1010" s="181" t="b">
        <f>COUNTIF(Discontinued!$A$1:$A$150,A1010)&gt;0</f>
        <v>0</v>
      </c>
    </row>
    <row r="1011" spans="1:21" s="8" customFormat="1" ht="11.25" x14ac:dyDescent="0.2">
      <c r="A1011" s="152">
        <v>10000562</v>
      </c>
      <c r="B1011" s="10" t="s">
        <v>407</v>
      </c>
      <c r="C1011" s="12" t="s">
        <v>408</v>
      </c>
      <c r="D1011" s="11" t="s">
        <v>683</v>
      </c>
      <c r="E1011" s="12" t="s">
        <v>757</v>
      </c>
      <c r="F1011" s="13">
        <v>24</v>
      </c>
      <c r="G1011" s="22">
        <f>Overview!$B$91</f>
        <v>30</v>
      </c>
      <c r="H1011" s="23">
        <f>G1011-I1011</f>
        <v>30</v>
      </c>
      <c r="I1011" s="114">
        <f>Overview!$E$91</f>
        <v>0</v>
      </c>
      <c r="J1011" s="24">
        <f>I1011/F1011</f>
        <v>0</v>
      </c>
      <c r="K1011" s="116">
        <f>Overview!$H$91</f>
        <v>0</v>
      </c>
      <c r="L1011" s="51" t="e">
        <f>(K1011-J1011)/K1011</f>
        <v>#DIV/0!</v>
      </c>
      <c r="M1011" s="179"/>
      <c r="N1011" s="179" t="s">
        <v>977</v>
      </c>
      <c r="O1011" s="141">
        <f>I1011</f>
        <v>0</v>
      </c>
      <c r="P1011" s="181" t="b">
        <f>COUNTIF('Facility Data'!$A$1:$A$1500,"*"&amp;A1011&amp;"*")&gt;0</f>
        <v>0</v>
      </c>
      <c r="Q1011" s="181" t="b">
        <f>COUNTIF('Account Data'!$A$1:$A$1000,"*"&amp;A1011&amp;"*")&gt;0</f>
        <v>0</v>
      </c>
      <c r="R1011" s="182" t="b">
        <f t="shared" si="312"/>
        <v>0</v>
      </c>
      <c r="S1011" s="182" t="b">
        <f t="shared" si="313"/>
        <v>0</v>
      </c>
      <c r="T1011" s="181" t="b">
        <f>COUNTIF('New Items'!$A$1:$A$175,A1011)&gt;0</f>
        <v>0</v>
      </c>
      <c r="U1011" s="181" t="b">
        <f>COUNTIF(Discontinued!$A$1:$A$150,A1011)&gt;0</f>
        <v>0</v>
      </c>
    </row>
    <row r="1012" spans="1:21" s="8" customFormat="1" ht="11.25" x14ac:dyDescent="0.2">
      <c r="A1012" s="152">
        <v>10002880</v>
      </c>
      <c r="B1012" s="10" t="s">
        <v>399</v>
      </c>
      <c r="C1012" s="12" t="s">
        <v>400</v>
      </c>
      <c r="D1012" s="11" t="s">
        <v>684</v>
      </c>
      <c r="E1012" s="12" t="s">
        <v>757</v>
      </c>
      <c r="F1012" s="13">
        <v>24</v>
      </c>
      <c r="G1012" s="22">
        <f>Overview!$B$91</f>
        <v>30</v>
      </c>
      <c r="H1012" s="23">
        <f>G1012-I1012</f>
        <v>30</v>
      </c>
      <c r="I1012" s="114">
        <f>Overview!$E$91</f>
        <v>0</v>
      </c>
      <c r="J1012" s="24">
        <f>I1012/F1012</f>
        <v>0</v>
      </c>
      <c r="K1012" s="116">
        <f>Overview!$H$91</f>
        <v>0</v>
      </c>
      <c r="L1012" s="51" t="e">
        <f>(K1012-J1012)/K1012</f>
        <v>#DIV/0!</v>
      </c>
      <c r="M1012" s="179"/>
      <c r="N1012" s="179" t="s">
        <v>977</v>
      </c>
      <c r="O1012" s="141">
        <f>I1012</f>
        <v>0</v>
      </c>
      <c r="P1012" s="181" t="b">
        <f>COUNTIF('Facility Data'!$A$1:$A$1500,"*"&amp;A1012&amp;"*")&gt;0</f>
        <v>0</v>
      </c>
      <c r="Q1012" s="181" t="b">
        <f>COUNTIF('Account Data'!$A$1:$A$1000,"*"&amp;A1012&amp;"*")&gt;0</f>
        <v>1</v>
      </c>
      <c r="R1012" s="182" t="b">
        <f t="shared" si="312"/>
        <v>0</v>
      </c>
      <c r="S1012" s="182" t="b">
        <f t="shared" si="313"/>
        <v>1</v>
      </c>
      <c r="T1012" s="181" t="b">
        <f>COUNTIF('New Items'!$A$1:$A$175,A1012)&gt;0</f>
        <v>0</v>
      </c>
      <c r="U1012" s="181" t="b">
        <f>COUNTIF(Discontinued!$A$1:$A$150,A1012)&gt;0</f>
        <v>0</v>
      </c>
    </row>
    <row r="1013" spans="1:21" s="8" customFormat="1" ht="11.25" x14ac:dyDescent="0.2">
      <c r="A1013" s="152">
        <v>10002875</v>
      </c>
      <c r="B1013" s="10" t="s">
        <v>2478</v>
      </c>
      <c r="C1013" s="12" t="s">
        <v>2479</v>
      </c>
      <c r="D1013" s="11" t="s">
        <v>685</v>
      </c>
      <c r="E1013" s="12" t="s">
        <v>757</v>
      </c>
      <c r="F1013" s="13">
        <v>24</v>
      </c>
      <c r="G1013" s="22">
        <f>Overview!$B$91</f>
        <v>30</v>
      </c>
      <c r="H1013" s="23">
        <f>G1013-I1013</f>
        <v>30</v>
      </c>
      <c r="I1013" s="114">
        <f>Overview!$E$91</f>
        <v>0</v>
      </c>
      <c r="J1013" s="24">
        <f>I1013/F1013</f>
        <v>0</v>
      </c>
      <c r="K1013" s="116">
        <f>Overview!$H$91</f>
        <v>0</v>
      </c>
      <c r="L1013" s="51" t="e">
        <f>(K1013-J1013)/K1013</f>
        <v>#DIV/0!</v>
      </c>
      <c r="M1013" s="179"/>
      <c r="N1013" s="179" t="s">
        <v>977</v>
      </c>
      <c r="O1013" s="141">
        <f>I1013</f>
        <v>0</v>
      </c>
      <c r="P1013" s="181" t="b">
        <f>COUNTIF('Facility Data'!$A$1:$A$1500,"*"&amp;A1013&amp;"*")&gt;0</f>
        <v>0</v>
      </c>
      <c r="Q1013" s="181" t="b">
        <f>COUNTIF('Account Data'!$A$1:$A$1000,"*"&amp;A1013&amp;"*")&gt;0</f>
        <v>0</v>
      </c>
      <c r="R1013" s="182" t="b">
        <f t="shared" si="312"/>
        <v>0</v>
      </c>
      <c r="S1013" s="182" t="b">
        <f t="shared" si="313"/>
        <v>0</v>
      </c>
      <c r="T1013" s="181" t="b">
        <f>COUNTIF('New Items'!$A$1:$A$175,A1013)&gt;0</f>
        <v>0</v>
      </c>
      <c r="U1013" s="181" t="b">
        <f>COUNTIF(Discontinued!$A$1:$A$150,A1013)&gt;0</f>
        <v>0</v>
      </c>
    </row>
    <row r="1014" spans="1:21" s="8" customFormat="1" ht="11.25" x14ac:dyDescent="0.2">
      <c r="A1014" s="152">
        <v>10002883</v>
      </c>
      <c r="B1014" s="10" t="s">
        <v>401</v>
      </c>
      <c r="C1014" s="12" t="s">
        <v>402</v>
      </c>
      <c r="D1014" s="11" t="s">
        <v>686</v>
      </c>
      <c r="E1014" s="12" t="s">
        <v>757</v>
      </c>
      <c r="F1014" s="13">
        <v>24</v>
      </c>
      <c r="G1014" s="22">
        <f>Overview!$B$91</f>
        <v>30</v>
      </c>
      <c r="H1014" s="23">
        <f t="shared" si="314"/>
        <v>30</v>
      </c>
      <c r="I1014" s="114">
        <f>Overview!$E$91</f>
        <v>0</v>
      </c>
      <c r="J1014" s="24">
        <f t="shared" si="315"/>
        <v>0</v>
      </c>
      <c r="K1014" s="116">
        <f>Overview!$H$91</f>
        <v>0</v>
      </c>
      <c r="L1014" s="51" t="e">
        <f t="shared" si="316"/>
        <v>#DIV/0!</v>
      </c>
      <c r="M1014" s="179"/>
      <c r="N1014" s="179" t="s">
        <v>977</v>
      </c>
      <c r="O1014" s="141">
        <f t="shared" si="317"/>
        <v>0</v>
      </c>
      <c r="P1014" s="181" t="b">
        <f>COUNTIF('Facility Data'!$A$1:$A$1500,"*"&amp;A1014&amp;"*")&gt;0</f>
        <v>0</v>
      </c>
      <c r="Q1014" s="181" t="b">
        <f>COUNTIF('Account Data'!$A$1:$A$1000,"*"&amp;A1014&amp;"*")&gt;0</f>
        <v>0</v>
      </c>
      <c r="R1014" s="182" t="b">
        <f t="shared" si="312"/>
        <v>0</v>
      </c>
      <c r="S1014" s="182" t="b">
        <f t="shared" si="313"/>
        <v>0</v>
      </c>
      <c r="T1014" s="181" t="b">
        <f>COUNTIF('New Items'!$A$1:$A$175,A1014)&gt;0</f>
        <v>0</v>
      </c>
      <c r="U1014" s="181" t="b">
        <f>COUNTIF(Discontinued!$A$1:$A$150,A1014)&gt;0</f>
        <v>0</v>
      </c>
    </row>
    <row r="1015" spans="1:21" s="8" customFormat="1" ht="11.25" x14ac:dyDescent="0.2">
      <c r="A1015" s="152">
        <v>10068816</v>
      </c>
      <c r="B1015" s="10" t="s">
        <v>2480</v>
      </c>
      <c r="C1015" s="12" t="s">
        <v>2481</v>
      </c>
      <c r="D1015" s="11" t="s">
        <v>688</v>
      </c>
      <c r="E1015" s="12" t="s">
        <v>757</v>
      </c>
      <c r="F1015" s="13">
        <v>24</v>
      </c>
      <c r="G1015" s="22">
        <f>Overview!$B$91</f>
        <v>30</v>
      </c>
      <c r="H1015" s="23">
        <f>G1015-I1015</f>
        <v>30</v>
      </c>
      <c r="I1015" s="114">
        <f>Overview!$E$91</f>
        <v>0</v>
      </c>
      <c r="J1015" s="24">
        <f>I1015/F1015</f>
        <v>0</v>
      </c>
      <c r="K1015" s="116">
        <f>Overview!$H$91</f>
        <v>0</v>
      </c>
      <c r="L1015" s="51" t="e">
        <f>(K1015-J1015)/K1015</f>
        <v>#DIV/0!</v>
      </c>
      <c r="M1015" s="179"/>
      <c r="N1015" s="179" t="s">
        <v>977</v>
      </c>
      <c r="O1015" s="141">
        <f>I1015</f>
        <v>0</v>
      </c>
      <c r="P1015" s="181" t="b">
        <f>COUNTIF('Facility Data'!$A$1:$A$1500,"*"&amp;A1015&amp;"*")&gt;0</f>
        <v>0</v>
      </c>
      <c r="Q1015" s="181" t="b">
        <f>COUNTIF('Account Data'!$A$1:$A$1000,"*"&amp;A1015&amp;"*")&gt;0</f>
        <v>0</v>
      </c>
      <c r="R1015" s="182" t="b">
        <f t="shared" si="312"/>
        <v>0</v>
      </c>
      <c r="S1015" s="182" t="b">
        <f t="shared" si="313"/>
        <v>0</v>
      </c>
      <c r="T1015" s="181" t="b">
        <f>COUNTIF('New Items'!$A$1:$A$175,A1015)&gt;0</f>
        <v>0</v>
      </c>
      <c r="U1015" s="181" t="b">
        <f>COUNTIF(Discontinued!$A$1:$A$150,A1015)&gt;0</f>
        <v>0</v>
      </c>
    </row>
    <row r="1016" spans="1:21" s="8" customFormat="1" ht="11.25" x14ac:dyDescent="0.2">
      <c r="A1016" s="152">
        <v>10069058</v>
      </c>
      <c r="B1016" s="10" t="s">
        <v>403</v>
      </c>
      <c r="C1016" s="12" t="s">
        <v>404</v>
      </c>
      <c r="D1016" s="11" t="s">
        <v>689</v>
      </c>
      <c r="E1016" s="12" t="s">
        <v>757</v>
      </c>
      <c r="F1016" s="13">
        <v>24</v>
      </c>
      <c r="G1016" s="22">
        <f>Overview!$B$91</f>
        <v>30</v>
      </c>
      <c r="H1016" s="23">
        <f t="shared" si="314"/>
        <v>30</v>
      </c>
      <c r="I1016" s="114">
        <f>Overview!$E$91</f>
        <v>0</v>
      </c>
      <c r="J1016" s="24">
        <f t="shared" si="315"/>
        <v>0</v>
      </c>
      <c r="K1016" s="116">
        <f>Overview!$H$91</f>
        <v>0</v>
      </c>
      <c r="L1016" s="51" t="e">
        <f t="shared" si="316"/>
        <v>#DIV/0!</v>
      </c>
      <c r="M1016" s="179"/>
      <c r="N1016" s="179" t="s">
        <v>977</v>
      </c>
      <c r="O1016" s="141">
        <f t="shared" si="317"/>
        <v>0</v>
      </c>
      <c r="P1016" s="181" t="b">
        <f>COUNTIF('Facility Data'!$A$1:$A$1500,"*"&amp;A1016&amp;"*")&gt;0</f>
        <v>0</v>
      </c>
      <c r="Q1016" s="181" t="b">
        <f>COUNTIF('Account Data'!$A$1:$A$1000,"*"&amp;A1016&amp;"*")&gt;0</f>
        <v>0</v>
      </c>
      <c r="R1016" s="182" t="b">
        <f t="shared" si="312"/>
        <v>0</v>
      </c>
      <c r="S1016" s="182" t="b">
        <f t="shared" si="313"/>
        <v>0</v>
      </c>
      <c r="T1016" s="181" t="b">
        <f>COUNTIF('New Items'!$A$1:$A$175,A1016)&gt;0</f>
        <v>0</v>
      </c>
      <c r="U1016" s="181" t="b">
        <f>COUNTIF(Discontinued!$A$1:$A$150,A1016)&gt;0</f>
        <v>0</v>
      </c>
    </row>
    <row r="1017" spans="1:21" s="8" customFormat="1" ht="11.25" x14ac:dyDescent="0.2">
      <c r="A1017" s="152">
        <v>10002876</v>
      </c>
      <c r="B1017" s="10" t="s">
        <v>405</v>
      </c>
      <c r="C1017" s="12" t="s">
        <v>406</v>
      </c>
      <c r="D1017" s="11" t="s">
        <v>691</v>
      </c>
      <c r="E1017" s="12" t="s">
        <v>757</v>
      </c>
      <c r="F1017" s="13">
        <v>24</v>
      </c>
      <c r="G1017" s="22">
        <f>Overview!$B$91</f>
        <v>30</v>
      </c>
      <c r="H1017" s="23">
        <f t="shared" si="314"/>
        <v>30</v>
      </c>
      <c r="I1017" s="114">
        <f>Overview!$E$91</f>
        <v>0</v>
      </c>
      <c r="J1017" s="24">
        <f t="shared" si="315"/>
        <v>0</v>
      </c>
      <c r="K1017" s="116">
        <f>Overview!$H$91</f>
        <v>0</v>
      </c>
      <c r="L1017" s="51" t="e">
        <f t="shared" si="316"/>
        <v>#DIV/0!</v>
      </c>
      <c r="M1017" s="179"/>
      <c r="N1017" s="179" t="s">
        <v>977</v>
      </c>
      <c r="O1017" s="141">
        <f t="shared" si="317"/>
        <v>0</v>
      </c>
      <c r="P1017" s="181" t="b">
        <f>COUNTIF('Facility Data'!$A$1:$A$1500,"*"&amp;A1017&amp;"*")&gt;0</f>
        <v>0</v>
      </c>
      <c r="Q1017" s="181" t="b">
        <f>COUNTIF('Account Data'!$A$1:$A$1000,"*"&amp;A1017&amp;"*")&gt;0</f>
        <v>1</v>
      </c>
      <c r="R1017" s="182" t="b">
        <f t="shared" si="312"/>
        <v>0</v>
      </c>
      <c r="S1017" s="182" t="b">
        <f t="shared" si="313"/>
        <v>1</v>
      </c>
      <c r="T1017" s="181" t="b">
        <f>COUNTIF('New Items'!$A$1:$A$175,A1017)&gt;0</f>
        <v>0</v>
      </c>
      <c r="U1017" s="181" t="b">
        <f>COUNTIF(Discontinued!$A$1:$A$150,A1017)&gt;0</f>
        <v>0</v>
      </c>
    </row>
    <row r="1018" spans="1:21" s="8" customFormat="1" ht="11.25" x14ac:dyDescent="0.2">
      <c r="A1018" s="152">
        <v>10002877</v>
      </c>
      <c r="B1018" s="10" t="s">
        <v>2484</v>
      </c>
      <c r="C1018" s="12" t="s">
        <v>2485</v>
      </c>
      <c r="D1018" s="11" t="s">
        <v>692</v>
      </c>
      <c r="E1018" s="12" t="s">
        <v>757</v>
      </c>
      <c r="F1018" s="13">
        <v>24</v>
      </c>
      <c r="G1018" s="22">
        <f>Overview!$B$91</f>
        <v>30</v>
      </c>
      <c r="H1018" s="23">
        <f>G1018-I1018</f>
        <v>30</v>
      </c>
      <c r="I1018" s="114">
        <f>Overview!$E$91</f>
        <v>0</v>
      </c>
      <c r="J1018" s="24">
        <f>I1018/F1018</f>
        <v>0</v>
      </c>
      <c r="K1018" s="116">
        <f>Overview!$H$91</f>
        <v>0</v>
      </c>
      <c r="L1018" s="51" t="e">
        <f>(K1018-J1018)/K1018</f>
        <v>#DIV/0!</v>
      </c>
      <c r="M1018" s="179"/>
      <c r="N1018" s="179" t="s">
        <v>977</v>
      </c>
      <c r="O1018" s="141">
        <f>I1018</f>
        <v>0</v>
      </c>
      <c r="P1018" s="181" t="b">
        <f>COUNTIF('Facility Data'!$A$1:$A$1500,"*"&amp;A1018&amp;"*")&gt;0</f>
        <v>0</v>
      </c>
      <c r="Q1018" s="181" t="b">
        <f>COUNTIF('Account Data'!$A$1:$A$1000,"*"&amp;A1018&amp;"*")&gt;0</f>
        <v>0</v>
      </c>
      <c r="R1018" s="182" t="b">
        <f t="shared" si="312"/>
        <v>0</v>
      </c>
      <c r="S1018" s="182" t="b">
        <f t="shared" si="313"/>
        <v>0</v>
      </c>
      <c r="T1018" s="181" t="b">
        <f>COUNTIF('New Items'!$A$1:$A$175,A1018)&gt;0</f>
        <v>0</v>
      </c>
      <c r="U1018" s="181" t="b">
        <f>COUNTIF(Discontinued!$A$1:$A$150,A1018)&gt;0</f>
        <v>0</v>
      </c>
    </row>
    <row r="1019" spans="1:21" s="8" customFormat="1" ht="11.25" x14ac:dyDescent="0.2">
      <c r="A1019" s="152">
        <v>10002878</v>
      </c>
      <c r="B1019" s="10" t="s">
        <v>2486</v>
      </c>
      <c r="C1019" s="12" t="s">
        <v>2487</v>
      </c>
      <c r="D1019" s="11" t="s">
        <v>693</v>
      </c>
      <c r="E1019" s="12" t="s">
        <v>757</v>
      </c>
      <c r="F1019" s="13">
        <v>24</v>
      </c>
      <c r="G1019" s="22">
        <f>Overview!$B$91</f>
        <v>30</v>
      </c>
      <c r="H1019" s="23">
        <f>G1019-I1019</f>
        <v>30</v>
      </c>
      <c r="I1019" s="114">
        <f>Overview!$E$91</f>
        <v>0</v>
      </c>
      <c r="J1019" s="24">
        <f>I1019/F1019</f>
        <v>0</v>
      </c>
      <c r="K1019" s="116">
        <f>Overview!$H$91</f>
        <v>0</v>
      </c>
      <c r="L1019" s="51" t="e">
        <f>(K1019-J1019)/K1019</f>
        <v>#DIV/0!</v>
      </c>
      <c r="M1019" s="179"/>
      <c r="N1019" s="179" t="s">
        <v>977</v>
      </c>
      <c r="O1019" s="141">
        <f>I1019</f>
        <v>0</v>
      </c>
      <c r="P1019" s="181" t="b">
        <f>COUNTIF('Facility Data'!$A$1:$A$1500,"*"&amp;A1019&amp;"*")&gt;0</f>
        <v>0</v>
      </c>
      <c r="Q1019" s="181" t="b">
        <f>COUNTIF('Account Data'!$A$1:$A$1000,"*"&amp;A1019&amp;"*")&gt;0</f>
        <v>0</v>
      </c>
      <c r="R1019" s="182" t="b">
        <f t="shared" si="312"/>
        <v>0</v>
      </c>
      <c r="S1019" s="182" t="b">
        <f t="shared" si="313"/>
        <v>0</v>
      </c>
      <c r="T1019" s="181" t="b">
        <f>COUNTIF('New Items'!$A$1:$A$175,A1019)&gt;0</f>
        <v>0</v>
      </c>
      <c r="U1019" s="181" t="b">
        <f>COUNTIF(Discontinued!$A$1:$A$150,A1019)&gt;0</f>
        <v>0</v>
      </c>
    </row>
    <row r="1020" spans="1:21" s="8" customFormat="1" ht="12" thickBot="1" x14ac:dyDescent="0.25">
      <c r="A1020" s="152">
        <v>10002881</v>
      </c>
      <c r="B1020" s="10" t="s">
        <v>2482</v>
      </c>
      <c r="C1020" s="12" t="s">
        <v>2483</v>
      </c>
      <c r="D1020" s="11" t="s">
        <v>690</v>
      </c>
      <c r="E1020" s="12" t="s">
        <v>757</v>
      </c>
      <c r="F1020" s="13">
        <v>24</v>
      </c>
      <c r="G1020" s="22">
        <f>Overview!$B$91</f>
        <v>30</v>
      </c>
      <c r="H1020" s="23">
        <f t="shared" si="314"/>
        <v>30</v>
      </c>
      <c r="I1020" s="114">
        <f>Overview!$E$91</f>
        <v>0</v>
      </c>
      <c r="J1020" s="24">
        <f t="shared" si="315"/>
        <v>0</v>
      </c>
      <c r="K1020" s="116">
        <f>Overview!$H$91</f>
        <v>0</v>
      </c>
      <c r="L1020" s="51" t="e">
        <f t="shared" si="316"/>
        <v>#DIV/0!</v>
      </c>
      <c r="M1020" s="179"/>
      <c r="N1020" s="179" t="s">
        <v>977</v>
      </c>
      <c r="O1020" s="141">
        <f t="shared" si="317"/>
        <v>0</v>
      </c>
      <c r="P1020" s="181" t="b">
        <f>COUNTIF('Facility Data'!$A$1:$A$1500,"*"&amp;A1020&amp;"*")&gt;0</f>
        <v>0</v>
      </c>
      <c r="Q1020" s="181" t="b">
        <f>COUNTIF('Account Data'!$A$1:$A$1000,"*"&amp;A1020&amp;"*")&gt;0</f>
        <v>0</v>
      </c>
      <c r="R1020" s="182" t="b">
        <f t="shared" si="312"/>
        <v>0</v>
      </c>
      <c r="S1020" s="182" t="b">
        <f t="shared" si="313"/>
        <v>0</v>
      </c>
      <c r="T1020" s="181" t="b">
        <f>COUNTIF('New Items'!$A$1:$A$175,A1020)&gt;0</f>
        <v>0</v>
      </c>
      <c r="U1020" s="181" t="b">
        <f>COUNTIF(Discontinued!$A$1:$A$150,A1020)&gt;0</f>
        <v>0</v>
      </c>
    </row>
    <row r="1021" spans="1:21" s="8" customFormat="1" ht="13.5" thickBot="1" x14ac:dyDescent="0.25">
      <c r="A1021" s="300" t="s">
        <v>371</v>
      </c>
      <c r="B1021" s="301"/>
      <c r="C1021" s="301"/>
      <c r="D1021" s="301"/>
      <c r="E1021" s="301"/>
      <c r="F1021" s="301"/>
      <c r="G1021" s="301"/>
      <c r="H1021" s="301"/>
      <c r="I1021" s="301"/>
      <c r="J1021" s="301"/>
      <c r="K1021" s="301"/>
      <c r="L1021" s="302"/>
      <c r="M1021" s="179" t="s">
        <v>4361</v>
      </c>
      <c r="N1021" s="179" t="s">
        <v>976</v>
      </c>
      <c r="O1021" s="141">
        <f>AVERAGE(O1022:O1033)</f>
        <v>0</v>
      </c>
      <c r="P1021" s="181" t="b">
        <f>COUNTIF(P1022:P1033,TRUE)&gt;0</f>
        <v>1</v>
      </c>
      <c r="Q1021" s="181" t="b">
        <f>COUNTIF(Q1022:Q1033,TRUE)&gt;0</f>
        <v>1</v>
      </c>
      <c r="R1021" s="181" t="b">
        <f>COUNTIF(R1022:R1033,TRUE)&gt;0</f>
        <v>1</v>
      </c>
      <c r="S1021" s="181" t="b">
        <f>COUNTIF(S1022:S1033,TRUE)&gt;0</f>
        <v>1</v>
      </c>
      <c r="T1021" s="181" t="b">
        <f>COUNTIF(T1022:T1033,TRUE)&gt;0</f>
        <v>0</v>
      </c>
      <c r="U1021" s="181"/>
    </row>
    <row r="1022" spans="1:21" s="8" customFormat="1" ht="11.25" x14ac:dyDescent="0.2">
      <c r="A1022" s="152">
        <v>10003039</v>
      </c>
      <c r="B1022" s="10" t="s">
        <v>2470</v>
      </c>
      <c r="C1022" s="12" t="s">
        <v>2471</v>
      </c>
      <c r="D1022" s="11" t="s">
        <v>1326</v>
      </c>
      <c r="E1022" s="12" t="s">
        <v>778</v>
      </c>
      <c r="F1022" s="13">
        <v>12</v>
      </c>
      <c r="G1022" s="22">
        <f>Overview!$B$92</f>
        <v>22</v>
      </c>
      <c r="H1022" s="23">
        <f>G1022-I1022</f>
        <v>22</v>
      </c>
      <c r="I1022" s="114">
        <f>Overview!$E$92</f>
        <v>0</v>
      </c>
      <c r="J1022" s="24">
        <f>I1022/F1022</f>
        <v>0</v>
      </c>
      <c r="K1022" s="116">
        <f>Overview!$H$92</f>
        <v>0</v>
      </c>
      <c r="L1022" s="51" t="e">
        <f>(K1022-J1022)/K1022</f>
        <v>#DIV/0!</v>
      </c>
      <c r="M1022" s="179"/>
      <c r="N1022" s="179" t="s">
        <v>976</v>
      </c>
      <c r="O1022" s="141">
        <f>I1022</f>
        <v>0</v>
      </c>
      <c r="P1022" s="181" t="b">
        <f>COUNTIF('Facility Data'!$A$1:$A$1500,"*"&amp;A1022&amp;"*")&gt;0</f>
        <v>1</v>
      </c>
      <c r="Q1022" s="181" t="b">
        <f>COUNTIF('Account Data'!$A$1:$A$1000,"*"&amp;A1022&amp;"*")&gt;0</f>
        <v>0</v>
      </c>
      <c r="R1022" s="182" t="b">
        <f t="shared" ref="R1022:R1033" si="318">IF(OR(P1022=TRUE,T1022=TRUE),TRUE,FALSE)</f>
        <v>1</v>
      </c>
      <c r="S1022" s="182" t="b">
        <f t="shared" ref="S1022:S1033" si="319">IF(OR(Q1022=TRUE,T1022=TRUE),TRUE,FALSE)</f>
        <v>0</v>
      </c>
      <c r="T1022" s="181" t="b">
        <f>COUNTIF('New Items'!$A$1:$A$175,A1022)&gt;0</f>
        <v>0</v>
      </c>
      <c r="U1022" s="181" t="b">
        <f>COUNTIF(Discontinued!$A$1:$A$150,A1022)&gt;0</f>
        <v>0</v>
      </c>
    </row>
    <row r="1023" spans="1:21" s="8" customFormat="1" ht="11.25" x14ac:dyDescent="0.2">
      <c r="A1023" s="152">
        <v>10003040</v>
      </c>
      <c r="B1023" s="10" t="s">
        <v>2472</v>
      </c>
      <c r="C1023" s="12" t="s">
        <v>2473</v>
      </c>
      <c r="D1023" s="11" t="s">
        <v>1327</v>
      </c>
      <c r="E1023" s="12" t="s">
        <v>778</v>
      </c>
      <c r="F1023" s="13">
        <v>12</v>
      </c>
      <c r="G1023" s="22">
        <f>Overview!$B$92</f>
        <v>22</v>
      </c>
      <c r="H1023" s="23">
        <f t="shared" ref="H1023:H1033" si="320">G1023-I1023</f>
        <v>22</v>
      </c>
      <c r="I1023" s="114">
        <f>Overview!$E$92</f>
        <v>0</v>
      </c>
      <c r="J1023" s="24">
        <f t="shared" ref="J1023:J1033" si="321">I1023/F1023</f>
        <v>0</v>
      </c>
      <c r="K1023" s="116">
        <f>Overview!$H$92</f>
        <v>0</v>
      </c>
      <c r="L1023" s="51" t="e">
        <f t="shared" ref="L1023:L1033" si="322">(K1023-J1023)/K1023</f>
        <v>#DIV/0!</v>
      </c>
      <c r="M1023" s="179"/>
      <c r="N1023" s="179" t="s">
        <v>976</v>
      </c>
      <c r="O1023" s="141">
        <f t="shared" ref="O1023:O1033" si="323">I1023</f>
        <v>0</v>
      </c>
      <c r="P1023" s="181" t="b">
        <f>COUNTIF('Facility Data'!$A$1:$A$1500,"*"&amp;A1023&amp;"*")&gt;0</f>
        <v>0</v>
      </c>
      <c r="Q1023" s="181" t="b">
        <f>COUNTIF('Account Data'!$A$1:$A$1000,"*"&amp;A1023&amp;"*")&gt;0</f>
        <v>0</v>
      </c>
      <c r="R1023" s="182" t="b">
        <f t="shared" si="318"/>
        <v>0</v>
      </c>
      <c r="S1023" s="182" t="b">
        <f t="shared" si="319"/>
        <v>0</v>
      </c>
      <c r="T1023" s="181" t="b">
        <f>COUNTIF('New Items'!$A$1:$A$175,A1023)&gt;0</f>
        <v>0</v>
      </c>
      <c r="U1023" s="181" t="b">
        <f>COUNTIF(Discontinued!$A$1:$A$150,A1023)&gt;0</f>
        <v>0</v>
      </c>
    </row>
    <row r="1024" spans="1:21" s="8" customFormat="1" ht="11.25" x14ac:dyDescent="0.2">
      <c r="A1024" s="152">
        <v>10003023</v>
      </c>
      <c r="B1024" s="10" t="s">
        <v>372</v>
      </c>
      <c r="C1024" s="12" t="s">
        <v>373</v>
      </c>
      <c r="D1024" s="11" t="s">
        <v>683</v>
      </c>
      <c r="E1024" s="12" t="s">
        <v>778</v>
      </c>
      <c r="F1024" s="13">
        <v>12</v>
      </c>
      <c r="G1024" s="22">
        <f>Overview!$B$92</f>
        <v>22</v>
      </c>
      <c r="H1024" s="23">
        <f>G1024-I1024</f>
        <v>22</v>
      </c>
      <c r="I1024" s="114">
        <f>Overview!$E$92</f>
        <v>0</v>
      </c>
      <c r="J1024" s="24">
        <f>I1024/F1024</f>
        <v>0</v>
      </c>
      <c r="K1024" s="116">
        <f>Overview!$H$92</f>
        <v>0</v>
      </c>
      <c r="L1024" s="51" t="e">
        <f>(K1024-J1024)/K1024</f>
        <v>#DIV/0!</v>
      </c>
      <c r="M1024" s="179"/>
      <c r="N1024" s="179" t="s">
        <v>976</v>
      </c>
      <c r="O1024" s="141">
        <f>I1024</f>
        <v>0</v>
      </c>
      <c r="P1024" s="181" t="b">
        <f>COUNTIF('Facility Data'!$A$1:$A$1500,"*"&amp;A1024&amp;"*")&gt;0</f>
        <v>1</v>
      </c>
      <c r="Q1024" s="181" t="b">
        <f>COUNTIF('Account Data'!$A$1:$A$1000,"*"&amp;A1024&amp;"*")&gt;0</f>
        <v>1</v>
      </c>
      <c r="R1024" s="182" t="b">
        <f t="shared" si="318"/>
        <v>1</v>
      </c>
      <c r="S1024" s="182" t="b">
        <f t="shared" si="319"/>
        <v>1</v>
      </c>
      <c r="T1024" s="181" t="b">
        <f>COUNTIF('New Items'!$A$1:$A$175,A1024)&gt;0</f>
        <v>0</v>
      </c>
      <c r="U1024" s="181" t="b">
        <f>COUNTIF(Discontinued!$A$1:$A$150,A1024)&gt;0</f>
        <v>0</v>
      </c>
    </row>
    <row r="1025" spans="1:21" s="8" customFormat="1" ht="11.25" x14ac:dyDescent="0.2">
      <c r="A1025" s="152">
        <v>10003024</v>
      </c>
      <c r="B1025" s="10" t="s">
        <v>374</v>
      </c>
      <c r="C1025" s="12" t="s">
        <v>375</v>
      </c>
      <c r="D1025" s="11" t="s">
        <v>684</v>
      </c>
      <c r="E1025" s="12" t="s">
        <v>778</v>
      </c>
      <c r="F1025" s="13">
        <v>12</v>
      </c>
      <c r="G1025" s="22">
        <f>Overview!$B$92</f>
        <v>22</v>
      </c>
      <c r="H1025" s="23">
        <f>G1025-I1025</f>
        <v>22</v>
      </c>
      <c r="I1025" s="114">
        <f>Overview!$E$92</f>
        <v>0</v>
      </c>
      <c r="J1025" s="24">
        <f>I1025/F1025</f>
        <v>0</v>
      </c>
      <c r="K1025" s="116">
        <f>Overview!$H$92</f>
        <v>0</v>
      </c>
      <c r="L1025" s="51" t="e">
        <f>(K1025-J1025)/K1025</f>
        <v>#DIV/0!</v>
      </c>
      <c r="M1025" s="179"/>
      <c r="N1025" s="179" t="s">
        <v>976</v>
      </c>
      <c r="O1025" s="141">
        <f>I1025</f>
        <v>0</v>
      </c>
      <c r="P1025" s="181" t="b">
        <f>COUNTIF('Facility Data'!$A$1:$A$1500,"*"&amp;A1025&amp;"*")&gt;0</f>
        <v>1</v>
      </c>
      <c r="Q1025" s="181" t="b">
        <f>COUNTIF('Account Data'!$A$1:$A$1000,"*"&amp;A1025&amp;"*")&gt;0</f>
        <v>1</v>
      </c>
      <c r="R1025" s="182" t="b">
        <f t="shared" si="318"/>
        <v>1</v>
      </c>
      <c r="S1025" s="182" t="b">
        <f t="shared" si="319"/>
        <v>1</v>
      </c>
      <c r="T1025" s="181" t="b">
        <f>COUNTIF('New Items'!$A$1:$A$175,A1025)&gt;0</f>
        <v>0</v>
      </c>
      <c r="U1025" s="181" t="b">
        <f>COUNTIF(Discontinued!$A$1:$A$150,A1025)&gt;0</f>
        <v>0</v>
      </c>
    </row>
    <row r="1026" spans="1:21" s="8" customFormat="1" ht="11.25" x14ac:dyDescent="0.2">
      <c r="A1026" s="154">
        <v>10109406</v>
      </c>
      <c r="B1026" s="10" t="s">
        <v>3293</v>
      </c>
      <c r="C1026" s="12" t="s">
        <v>872</v>
      </c>
      <c r="D1026" s="11" t="s">
        <v>687</v>
      </c>
      <c r="E1026" s="12" t="s">
        <v>778</v>
      </c>
      <c r="F1026" s="13">
        <v>12</v>
      </c>
      <c r="G1026" s="22">
        <f>Overview!$B$92</f>
        <v>22</v>
      </c>
      <c r="H1026" s="23">
        <f t="shared" si="320"/>
        <v>22</v>
      </c>
      <c r="I1026" s="114">
        <f>Overview!$E$92</f>
        <v>0</v>
      </c>
      <c r="J1026" s="24">
        <f t="shared" si="321"/>
        <v>0</v>
      </c>
      <c r="K1026" s="116">
        <f>Overview!$H$92</f>
        <v>0</v>
      </c>
      <c r="L1026" s="51" t="e">
        <f t="shared" si="322"/>
        <v>#DIV/0!</v>
      </c>
      <c r="M1026" s="179"/>
      <c r="N1026" s="179" t="s">
        <v>976</v>
      </c>
      <c r="O1026" s="141">
        <f t="shared" si="323"/>
        <v>0</v>
      </c>
      <c r="P1026" s="181" t="b">
        <f>COUNTIF('Facility Data'!$A$1:$A$1500,"*"&amp;A1026&amp;"*")&gt;0</f>
        <v>1</v>
      </c>
      <c r="Q1026" s="181" t="b">
        <f>COUNTIF('Account Data'!$A$1:$A$1000,"*"&amp;A1026&amp;"*")&gt;0</f>
        <v>1</v>
      </c>
      <c r="R1026" s="182" t="b">
        <f t="shared" si="318"/>
        <v>1</v>
      </c>
      <c r="S1026" s="182" t="b">
        <f t="shared" si="319"/>
        <v>1</v>
      </c>
      <c r="T1026" s="181" t="b">
        <f>COUNTIF('New Items'!$A$1:$A$175,A1026)&gt;0</f>
        <v>0</v>
      </c>
      <c r="U1026" s="181" t="b">
        <f>COUNTIF(Discontinued!$A$1:$A$150,A1026)&gt;0</f>
        <v>0</v>
      </c>
    </row>
    <row r="1027" spans="1:21" s="8" customFormat="1" ht="11.25" x14ac:dyDescent="0.2">
      <c r="A1027" s="152">
        <v>10003041</v>
      </c>
      <c r="B1027" s="10" t="s">
        <v>376</v>
      </c>
      <c r="C1027" s="12" t="s">
        <v>377</v>
      </c>
      <c r="D1027" s="11" t="s">
        <v>685</v>
      </c>
      <c r="E1027" s="12" t="s">
        <v>778</v>
      </c>
      <c r="F1027" s="13">
        <v>12</v>
      </c>
      <c r="G1027" s="22">
        <f>Overview!$B$92</f>
        <v>22</v>
      </c>
      <c r="H1027" s="23">
        <f t="shared" si="320"/>
        <v>22</v>
      </c>
      <c r="I1027" s="114">
        <f>Overview!$E$92</f>
        <v>0</v>
      </c>
      <c r="J1027" s="24">
        <f t="shared" si="321"/>
        <v>0</v>
      </c>
      <c r="K1027" s="116">
        <f>Overview!$H$92</f>
        <v>0</v>
      </c>
      <c r="L1027" s="51" t="e">
        <f t="shared" si="322"/>
        <v>#DIV/0!</v>
      </c>
      <c r="M1027" s="179"/>
      <c r="N1027" s="179" t="s">
        <v>976</v>
      </c>
      <c r="O1027" s="141">
        <f t="shared" si="323"/>
        <v>0</v>
      </c>
      <c r="P1027" s="181" t="b">
        <f>COUNTIF('Facility Data'!$A$1:$A$1500,"*"&amp;A1027&amp;"*")&gt;0</f>
        <v>0</v>
      </c>
      <c r="Q1027" s="181" t="b">
        <f>COUNTIF('Account Data'!$A$1:$A$1000,"*"&amp;A1027&amp;"*")&gt;0</f>
        <v>1</v>
      </c>
      <c r="R1027" s="182" t="b">
        <f t="shared" si="318"/>
        <v>0</v>
      </c>
      <c r="S1027" s="182" t="b">
        <f t="shared" si="319"/>
        <v>1</v>
      </c>
      <c r="T1027" s="181" t="b">
        <f>COUNTIF('New Items'!$A$1:$A$175,A1027)&gt;0</f>
        <v>0</v>
      </c>
      <c r="U1027" s="181" t="b">
        <f>COUNTIF(Discontinued!$A$1:$A$150,A1027)&gt;0</f>
        <v>0</v>
      </c>
    </row>
    <row r="1028" spans="1:21" s="8" customFormat="1" ht="11.25" x14ac:dyDescent="0.2">
      <c r="A1028" s="152">
        <v>10031907</v>
      </c>
      <c r="B1028" s="10" t="s">
        <v>386</v>
      </c>
      <c r="C1028" s="12" t="s">
        <v>387</v>
      </c>
      <c r="D1028" s="11" t="s">
        <v>688</v>
      </c>
      <c r="E1028" s="12" t="s">
        <v>778</v>
      </c>
      <c r="F1028" s="13">
        <v>12</v>
      </c>
      <c r="G1028" s="22">
        <f>Overview!$B$92</f>
        <v>22</v>
      </c>
      <c r="H1028" s="23">
        <f>G1028-I1028</f>
        <v>22</v>
      </c>
      <c r="I1028" s="114">
        <f>Overview!$E$92</f>
        <v>0</v>
      </c>
      <c r="J1028" s="24">
        <f>I1028/F1028</f>
        <v>0</v>
      </c>
      <c r="K1028" s="116">
        <f>Overview!$H$92</f>
        <v>0</v>
      </c>
      <c r="L1028" s="51" t="e">
        <f>(K1028-J1028)/K1028</f>
        <v>#DIV/0!</v>
      </c>
      <c r="M1028" s="179"/>
      <c r="N1028" s="179" t="s">
        <v>976</v>
      </c>
      <c r="O1028" s="141">
        <f t="shared" si="323"/>
        <v>0</v>
      </c>
      <c r="P1028" s="181" t="b">
        <f>COUNTIF('Facility Data'!$A$1:$A$1500,"*"&amp;A1028&amp;"*")&gt;0</f>
        <v>0</v>
      </c>
      <c r="Q1028" s="181" t="b">
        <f>COUNTIF('Account Data'!$A$1:$A$1000,"*"&amp;A1028&amp;"*")&gt;0</f>
        <v>0</v>
      </c>
      <c r="R1028" s="182" t="b">
        <f t="shared" si="318"/>
        <v>0</v>
      </c>
      <c r="S1028" s="182" t="b">
        <f t="shared" si="319"/>
        <v>0</v>
      </c>
      <c r="T1028" s="181" t="b">
        <f>COUNTIF('New Items'!$A$1:$A$175,A1028)&gt;0</f>
        <v>0</v>
      </c>
      <c r="U1028" s="181" t="b">
        <f>COUNTIF(Discontinued!$A$1:$A$150,A1028)&gt;0</f>
        <v>0</v>
      </c>
    </row>
    <row r="1029" spans="1:21" s="8" customFormat="1" ht="11.25" x14ac:dyDescent="0.2">
      <c r="A1029" s="152">
        <v>10014792</v>
      </c>
      <c r="B1029" s="10" t="s">
        <v>388</v>
      </c>
      <c r="C1029" s="12" t="s">
        <v>389</v>
      </c>
      <c r="D1029" s="11" t="s">
        <v>689</v>
      </c>
      <c r="E1029" s="12" t="s">
        <v>778</v>
      </c>
      <c r="F1029" s="13">
        <v>12</v>
      </c>
      <c r="G1029" s="22">
        <f>Overview!$B$92</f>
        <v>22</v>
      </c>
      <c r="H1029" s="23">
        <f>G1029-I1029</f>
        <v>22</v>
      </c>
      <c r="I1029" s="114">
        <f>Overview!$E$92</f>
        <v>0</v>
      </c>
      <c r="J1029" s="24">
        <f>I1029/F1029</f>
        <v>0</v>
      </c>
      <c r="K1029" s="116">
        <f>Overview!$H$92</f>
        <v>0</v>
      </c>
      <c r="L1029" s="51" t="e">
        <f>(K1029-J1029)/K1029</f>
        <v>#DIV/0!</v>
      </c>
      <c r="M1029" s="179"/>
      <c r="N1029" s="179" t="s">
        <v>976</v>
      </c>
      <c r="O1029" s="141">
        <f t="shared" si="323"/>
        <v>0</v>
      </c>
      <c r="P1029" s="181" t="b">
        <f>COUNTIF('Facility Data'!$A$1:$A$1500,"*"&amp;A1029&amp;"*")&gt;0</f>
        <v>1</v>
      </c>
      <c r="Q1029" s="181" t="b">
        <f>COUNTIF('Account Data'!$A$1:$A$1000,"*"&amp;A1029&amp;"*")&gt;0</f>
        <v>1</v>
      </c>
      <c r="R1029" s="182" t="b">
        <f t="shared" si="318"/>
        <v>1</v>
      </c>
      <c r="S1029" s="182" t="b">
        <f t="shared" si="319"/>
        <v>1</v>
      </c>
      <c r="T1029" s="181" t="b">
        <f>COUNTIF('New Items'!$A$1:$A$175,A1029)&gt;0</f>
        <v>0</v>
      </c>
      <c r="U1029" s="181" t="b">
        <f>COUNTIF(Discontinued!$A$1:$A$150,A1029)&gt;0</f>
        <v>0</v>
      </c>
    </row>
    <row r="1030" spans="1:21" s="8" customFormat="1" ht="11.25" x14ac:dyDescent="0.2">
      <c r="A1030" s="152">
        <v>10003025</v>
      </c>
      <c r="B1030" s="10" t="s">
        <v>378</v>
      </c>
      <c r="C1030" s="12" t="s">
        <v>379</v>
      </c>
      <c r="D1030" s="11" t="s">
        <v>691</v>
      </c>
      <c r="E1030" s="12" t="s">
        <v>778</v>
      </c>
      <c r="F1030" s="13">
        <v>12</v>
      </c>
      <c r="G1030" s="22">
        <f>Overview!$B$92</f>
        <v>22</v>
      </c>
      <c r="H1030" s="23">
        <f t="shared" si="320"/>
        <v>22</v>
      </c>
      <c r="I1030" s="114">
        <f>Overview!$E$92</f>
        <v>0</v>
      </c>
      <c r="J1030" s="24">
        <f t="shared" si="321"/>
        <v>0</v>
      </c>
      <c r="K1030" s="116">
        <f>Overview!$H$92</f>
        <v>0</v>
      </c>
      <c r="L1030" s="51" t="e">
        <f t="shared" si="322"/>
        <v>#DIV/0!</v>
      </c>
      <c r="M1030" s="179"/>
      <c r="N1030" s="179" t="s">
        <v>976</v>
      </c>
      <c r="O1030" s="141">
        <f t="shared" si="323"/>
        <v>0</v>
      </c>
      <c r="P1030" s="181" t="b">
        <f>COUNTIF('Facility Data'!$A$1:$A$1500,"*"&amp;A1030&amp;"*")&gt;0</f>
        <v>1</v>
      </c>
      <c r="Q1030" s="181" t="b">
        <f>COUNTIF('Account Data'!$A$1:$A$1000,"*"&amp;A1030&amp;"*")&gt;0</f>
        <v>1</v>
      </c>
      <c r="R1030" s="182" t="b">
        <f t="shared" si="318"/>
        <v>1</v>
      </c>
      <c r="S1030" s="182" t="b">
        <f t="shared" si="319"/>
        <v>1</v>
      </c>
      <c r="T1030" s="181" t="b">
        <f>COUNTIF('New Items'!$A$1:$A$175,A1030)&gt;0</f>
        <v>0</v>
      </c>
      <c r="U1030" s="181" t="b">
        <f>COUNTIF(Discontinued!$A$1:$A$150,A1030)&gt;0</f>
        <v>0</v>
      </c>
    </row>
    <row r="1031" spans="1:21" s="8" customFormat="1" ht="11.25" x14ac:dyDescent="0.2">
      <c r="A1031" s="152">
        <v>10003037</v>
      </c>
      <c r="B1031" s="10" t="s">
        <v>382</v>
      </c>
      <c r="C1031" s="12" t="s">
        <v>383</v>
      </c>
      <c r="D1031" s="11" t="s">
        <v>692</v>
      </c>
      <c r="E1031" s="12" t="s">
        <v>778</v>
      </c>
      <c r="F1031" s="13">
        <v>12</v>
      </c>
      <c r="G1031" s="22">
        <f>Overview!$B$92</f>
        <v>22</v>
      </c>
      <c r="H1031" s="23">
        <f t="shared" si="320"/>
        <v>22</v>
      </c>
      <c r="I1031" s="114">
        <f>Overview!$E$92</f>
        <v>0</v>
      </c>
      <c r="J1031" s="24">
        <f t="shared" si="321"/>
        <v>0</v>
      </c>
      <c r="K1031" s="116">
        <f>Overview!$H$92</f>
        <v>0</v>
      </c>
      <c r="L1031" s="51" t="e">
        <f t="shared" si="322"/>
        <v>#DIV/0!</v>
      </c>
      <c r="M1031" s="179"/>
      <c r="N1031" s="179" t="s">
        <v>976</v>
      </c>
      <c r="O1031" s="141">
        <f t="shared" si="323"/>
        <v>0</v>
      </c>
      <c r="P1031" s="181" t="b">
        <f>COUNTIF('Facility Data'!$A$1:$A$1500,"*"&amp;A1031&amp;"*")&gt;0</f>
        <v>1</v>
      </c>
      <c r="Q1031" s="181" t="b">
        <f>COUNTIF('Account Data'!$A$1:$A$1000,"*"&amp;A1031&amp;"*")&gt;0</f>
        <v>1</v>
      </c>
      <c r="R1031" s="182" t="b">
        <f t="shared" si="318"/>
        <v>1</v>
      </c>
      <c r="S1031" s="182" t="b">
        <f t="shared" si="319"/>
        <v>1</v>
      </c>
      <c r="T1031" s="181" t="b">
        <f>COUNTIF('New Items'!$A$1:$A$175,A1031)&gt;0</f>
        <v>0</v>
      </c>
      <c r="U1031" s="181" t="b">
        <f>COUNTIF(Discontinued!$A$1:$A$150,A1031)&gt;0</f>
        <v>0</v>
      </c>
    </row>
    <row r="1032" spans="1:21" s="8" customFormat="1" ht="11.25" x14ac:dyDescent="0.2">
      <c r="A1032" s="152">
        <v>10003038</v>
      </c>
      <c r="B1032" s="10" t="s">
        <v>384</v>
      </c>
      <c r="C1032" s="12" t="s">
        <v>385</v>
      </c>
      <c r="D1032" s="11" t="s">
        <v>693</v>
      </c>
      <c r="E1032" s="12" t="s">
        <v>778</v>
      </c>
      <c r="F1032" s="13">
        <v>12</v>
      </c>
      <c r="G1032" s="22">
        <f>Overview!$B$92</f>
        <v>22</v>
      </c>
      <c r="H1032" s="23">
        <f>G1032-I1032</f>
        <v>22</v>
      </c>
      <c r="I1032" s="114">
        <f>Overview!$E$92</f>
        <v>0</v>
      </c>
      <c r="J1032" s="24">
        <f>I1032/F1032</f>
        <v>0</v>
      </c>
      <c r="K1032" s="116">
        <f>Overview!$H$92</f>
        <v>0</v>
      </c>
      <c r="L1032" s="51" t="e">
        <f>(K1032-J1032)/K1032</f>
        <v>#DIV/0!</v>
      </c>
      <c r="M1032" s="179"/>
      <c r="N1032" s="179" t="s">
        <v>976</v>
      </c>
      <c r="O1032" s="141">
        <f>I1032</f>
        <v>0</v>
      </c>
      <c r="P1032" s="181" t="b">
        <f>COUNTIF('Facility Data'!$A$1:$A$1500,"*"&amp;A1032&amp;"*")&gt;0</f>
        <v>1</v>
      </c>
      <c r="Q1032" s="181" t="b">
        <f>COUNTIF('Account Data'!$A$1:$A$1000,"*"&amp;A1032&amp;"*")&gt;0</f>
        <v>1</v>
      </c>
      <c r="R1032" s="182" t="b">
        <f t="shared" si="318"/>
        <v>1</v>
      </c>
      <c r="S1032" s="182" t="b">
        <f t="shared" si="319"/>
        <v>1</v>
      </c>
      <c r="T1032" s="181" t="b">
        <f>COUNTIF('New Items'!$A$1:$A$175,A1032)&gt;0</f>
        <v>0</v>
      </c>
      <c r="U1032" s="181" t="b">
        <f>COUNTIF(Discontinued!$A$1:$A$150,A1032)&gt;0</f>
        <v>0</v>
      </c>
    </row>
    <row r="1033" spans="1:21" s="8" customFormat="1" ht="12" thickBot="1" x14ac:dyDescent="0.25">
      <c r="A1033" s="152">
        <v>10088249</v>
      </c>
      <c r="B1033" s="10" t="s">
        <v>380</v>
      </c>
      <c r="C1033" s="12" t="s">
        <v>381</v>
      </c>
      <c r="D1033" s="11" t="s">
        <v>690</v>
      </c>
      <c r="E1033" s="12" t="s">
        <v>778</v>
      </c>
      <c r="F1033" s="13">
        <v>12</v>
      </c>
      <c r="G1033" s="22">
        <f>Overview!$B$92</f>
        <v>22</v>
      </c>
      <c r="H1033" s="23">
        <f t="shared" si="320"/>
        <v>22</v>
      </c>
      <c r="I1033" s="114">
        <f>Overview!$E$92</f>
        <v>0</v>
      </c>
      <c r="J1033" s="24">
        <f t="shared" si="321"/>
        <v>0</v>
      </c>
      <c r="K1033" s="116">
        <f>Overview!$H$92</f>
        <v>0</v>
      </c>
      <c r="L1033" s="51" t="e">
        <f t="shared" si="322"/>
        <v>#DIV/0!</v>
      </c>
      <c r="M1033" s="179"/>
      <c r="N1033" s="179" t="s">
        <v>976</v>
      </c>
      <c r="O1033" s="141">
        <f t="shared" si="323"/>
        <v>0</v>
      </c>
      <c r="P1033" s="181" t="b">
        <f>COUNTIF('Facility Data'!$A$1:$A$1500,"*"&amp;A1033&amp;"*")&gt;0</f>
        <v>1</v>
      </c>
      <c r="Q1033" s="181" t="b">
        <f>COUNTIF('Account Data'!$A$1:$A$1000,"*"&amp;A1033&amp;"*")&gt;0</f>
        <v>1</v>
      </c>
      <c r="R1033" s="182" t="b">
        <f t="shared" si="318"/>
        <v>1</v>
      </c>
      <c r="S1033" s="182" t="b">
        <f t="shared" si="319"/>
        <v>1</v>
      </c>
      <c r="T1033" s="181" t="b">
        <f>COUNTIF('New Items'!$A$1:$A$175,A1033)&gt;0</f>
        <v>0</v>
      </c>
      <c r="U1033" s="181" t="b">
        <f>COUNTIF(Discontinued!$A$1:$A$150,A1033)&gt;0</f>
        <v>0</v>
      </c>
    </row>
    <row r="1034" spans="1:21" s="8" customFormat="1" ht="13.5" thickBot="1" x14ac:dyDescent="0.25">
      <c r="A1034" s="300" t="s">
        <v>419</v>
      </c>
      <c r="B1034" s="301"/>
      <c r="C1034" s="301"/>
      <c r="D1034" s="301"/>
      <c r="E1034" s="301"/>
      <c r="F1034" s="301"/>
      <c r="G1034" s="301"/>
      <c r="H1034" s="301"/>
      <c r="I1034" s="301"/>
      <c r="J1034" s="301"/>
      <c r="K1034" s="301"/>
      <c r="L1034" s="302"/>
      <c r="M1034" s="179" t="s">
        <v>4361</v>
      </c>
      <c r="N1034" s="179" t="s">
        <v>978</v>
      </c>
      <c r="O1034" s="141">
        <f>AVERAGE(O1035:O1048)</f>
        <v>0</v>
      </c>
      <c r="P1034" s="181" t="b">
        <f>COUNTIF(P1035:P1048,TRUE)&gt;0</f>
        <v>1</v>
      </c>
      <c r="Q1034" s="181" t="b">
        <f>COUNTIF(Q1035:Q1048,TRUE)&gt;0</f>
        <v>1</v>
      </c>
      <c r="R1034" s="181" t="b">
        <f>COUNTIF(R1035:R1048,TRUE)&gt;0</f>
        <v>1</v>
      </c>
      <c r="S1034" s="181" t="b">
        <f>COUNTIF(S1035:S1048,TRUE)&gt;0</f>
        <v>1</v>
      </c>
      <c r="T1034" s="181" t="b">
        <f>COUNTIF(T1035:T1048,TRUE)&gt;0</f>
        <v>0</v>
      </c>
      <c r="U1034" s="181"/>
    </row>
    <row r="1035" spans="1:21" s="8" customFormat="1" ht="11.25" x14ac:dyDescent="0.2">
      <c r="A1035" s="152">
        <v>10002907</v>
      </c>
      <c r="B1035" s="10" t="s">
        <v>1328</v>
      </c>
      <c r="C1035" s="12" t="s">
        <v>1329</v>
      </c>
      <c r="D1035" s="11" t="s">
        <v>1326</v>
      </c>
      <c r="E1035" s="12" t="s">
        <v>780</v>
      </c>
      <c r="F1035" s="13">
        <v>8</v>
      </c>
      <c r="G1035" s="22">
        <f>Overview!$B$93</f>
        <v>24</v>
      </c>
      <c r="H1035" s="23">
        <f>G1035-I1035</f>
        <v>24</v>
      </c>
      <c r="I1035" s="114">
        <f>Overview!$E$93</f>
        <v>0</v>
      </c>
      <c r="J1035" s="24">
        <f>I1035/F1035</f>
        <v>0</v>
      </c>
      <c r="K1035" s="116">
        <f>Overview!$H$93</f>
        <v>0</v>
      </c>
      <c r="L1035" s="51" t="e">
        <f>(K1035-J1035)/K1035</f>
        <v>#DIV/0!</v>
      </c>
      <c r="M1035" s="179"/>
      <c r="N1035" s="179" t="s">
        <v>978</v>
      </c>
      <c r="O1035" s="141">
        <f>I1035</f>
        <v>0</v>
      </c>
      <c r="P1035" s="181" t="b">
        <f>COUNTIF('Facility Data'!$A$1:$A$1500,"*"&amp;A1035&amp;"*")&gt;0</f>
        <v>1</v>
      </c>
      <c r="Q1035" s="181" t="b">
        <f>COUNTIF('Account Data'!$A$1:$A$1000,"*"&amp;A1035&amp;"*")&gt;0</f>
        <v>0</v>
      </c>
      <c r="R1035" s="182" t="b">
        <f t="shared" ref="R1035:R1048" si="324">IF(OR(P1035=TRUE,T1035=TRUE),TRUE,FALSE)</f>
        <v>1</v>
      </c>
      <c r="S1035" s="182" t="b">
        <f t="shared" ref="S1035:S1048" si="325">IF(OR(Q1035=TRUE,T1035=TRUE),TRUE,FALSE)</f>
        <v>0</v>
      </c>
      <c r="T1035" s="181" t="b">
        <f>COUNTIF('New Items'!$A$1:$A$175,A1035)&gt;0</f>
        <v>0</v>
      </c>
      <c r="U1035" s="181" t="b">
        <f>COUNTIF(Discontinued!$A$1:$A$150,A1035)&gt;0</f>
        <v>0</v>
      </c>
    </row>
    <row r="1036" spans="1:21" s="8" customFormat="1" ht="11.25" x14ac:dyDescent="0.2">
      <c r="A1036" s="152">
        <v>10002908</v>
      </c>
      <c r="B1036" s="10" t="s">
        <v>1330</v>
      </c>
      <c r="C1036" s="12" t="s">
        <v>1331</v>
      </c>
      <c r="D1036" s="11" t="s">
        <v>1327</v>
      </c>
      <c r="E1036" s="12" t="s">
        <v>780</v>
      </c>
      <c r="F1036" s="13">
        <v>8</v>
      </c>
      <c r="G1036" s="22">
        <f>Overview!$B$93</f>
        <v>24</v>
      </c>
      <c r="H1036" s="23">
        <f t="shared" ref="H1036:H1043" si="326">G1036-I1036</f>
        <v>24</v>
      </c>
      <c r="I1036" s="114">
        <f>Overview!$E$93</f>
        <v>0</v>
      </c>
      <c r="J1036" s="24">
        <f>I1036/F1036</f>
        <v>0</v>
      </c>
      <c r="K1036" s="116">
        <f>Overview!$H$93</f>
        <v>0</v>
      </c>
      <c r="L1036" s="51" t="e">
        <f>(K1036-J1036)/K1036</f>
        <v>#DIV/0!</v>
      </c>
      <c r="M1036" s="179"/>
      <c r="N1036" s="179" t="s">
        <v>978</v>
      </c>
      <c r="O1036" s="141">
        <f t="shared" ref="O1036:O1048" si="327">I1036</f>
        <v>0</v>
      </c>
      <c r="P1036" s="181" t="b">
        <f>COUNTIF('Facility Data'!$A$1:$A$1500,"*"&amp;A1036&amp;"*")&gt;0</f>
        <v>0</v>
      </c>
      <c r="Q1036" s="181" t="b">
        <f>COUNTIF('Account Data'!$A$1:$A$1000,"*"&amp;A1036&amp;"*")&gt;0</f>
        <v>0</v>
      </c>
      <c r="R1036" s="182" t="b">
        <f t="shared" si="324"/>
        <v>0</v>
      </c>
      <c r="S1036" s="182" t="b">
        <f t="shared" si="325"/>
        <v>0</v>
      </c>
      <c r="T1036" s="181" t="b">
        <f>COUNTIF('New Items'!$A$1:$A$175,A1036)&gt;0</f>
        <v>0</v>
      </c>
      <c r="U1036" s="181" t="b">
        <f>COUNTIF(Discontinued!$A$1:$A$150,A1036)&gt;0</f>
        <v>0</v>
      </c>
    </row>
    <row r="1037" spans="1:21" s="8" customFormat="1" ht="11.25" x14ac:dyDescent="0.2">
      <c r="A1037" s="152">
        <v>10002904</v>
      </c>
      <c r="B1037" s="10" t="s">
        <v>420</v>
      </c>
      <c r="C1037" s="12" t="s">
        <v>421</v>
      </c>
      <c r="D1037" s="11" t="s">
        <v>683</v>
      </c>
      <c r="E1037" s="12" t="s">
        <v>780</v>
      </c>
      <c r="F1037" s="13">
        <v>8</v>
      </c>
      <c r="G1037" s="22">
        <f>Overview!$B$93</f>
        <v>24</v>
      </c>
      <c r="H1037" s="23">
        <f t="shared" si="326"/>
        <v>24</v>
      </c>
      <c r="I1037" s="114">
        <f>Overview!$E$93</f>
        <v>0</v>
      </c>
      <c r="J1037" s="24">
        <f t="shared" ref="J1037:J1048" si="328">I1037/F1037</f>
        <v>0</v>
      </c>
      <c r="K1037" s="116">
        <f>Overview!$H$93</f>
        <v>0</v>
      </c>
      <c r="L1037" s="51" t="e">
        <f t="shared" ref="L1037:L1048" si="329">(K1037-J1037)/K1037</f>
        <v>#DIV/0!</v>
      </c>
      <c r="M1037" s="179"/>
      <c r="N1037" s="179" t="s">
        <v>978</v>
      </c>
      <c r="O1037" s="141">
        <f t="shared" si="327"/>
        <v>0</v>
      </c>
      <c r="P1037" s="181" t="b">
        <f>COUNTIF('Facility Data'!$A$1:$A$1500,"*"&amp;A1037&amp;"*")&gt;0</f>
        <v>1</v>
      </c>
      <c r="Q1037" s="181" t="b">
        <f>COUNTIF('Account Data'!$A$1:$A$1000,"*"&amp;A1037&amp;"*")&gt;0</f>
        <v>1</v>
      </c>
      <c r="R1037" s="182" t="b">
        <f t="shared" si="324"/>
        <v>1</v>
      </c>
      <c r="S1037" s="182" t="b">
        <f t="shared" si="325"/>
        <v>1</v>
      </c>
      <c r="T1037" s="181" t="b">
        <f>COUNTIF('New Items'!$A$1:$A$175,A1037)&gt;0</f>
        <v>0</v>
      </c>
      <c r="U1037" s="181" t="b">
        <f>COUNTIF(Discontinued!$A$1:$A$150,A1037)&gt;0</f>
        <v>0</v>
      </c>
    </row>
    <row r="1038" spans="1:21" s="8" customFormat="1" ht="11.25" x14ac:dyDescent="0.2">
      <c r="A1038" s="152">
        <v>10002905</v>
      </c>
      <c r="B1038" s="10" t="s">
        <v>422</v>
      </c>
      <c r="C1038" s="12" t="s">
        <v>423</v>
      </c>
      <c r="D1038" s="11" t="s">
        <v>684</v>
      </c>
      <c r="E1038" s="12" t="s">
        <v>780</v>
      </c>
      <c r="F1038" s="13">
        <v>8</v>
      </c>
      <c r="G1038" s="22">
        <f>Overview!$B$93</f>
        <v>24</v>
      </c>
      <c r="H1038" s="23">
        <f t="shared" si="326"/>
        <v>24</v>
      </c>
      <c r="I1038" s="114">
        <f>Overview!$E$93</f>
        <v>0</v>
      </c>
      <c r="J1038" s="24">
        <f t="shared" si="328"/>
        <v>0</v>
      </c>
      <c r="K1038" s="116">
        <f>Overview!$H$93</f>
        <v>0</v>
      </c>
      <c r="L1038" s="51" t="e">
        <f t="shared" si="329"/>
        <v>#DIV/0!</v>
      </c>
      <c r="M1038" s="179"/>
      <c r="N1038" s="179" t="s">
        <v>978</v>
      </c>
      <c r="O1038" s="141">
        <f t="shared" si="327"/>
        <v>0</v>
      </c>
      <c r="P1038" s="181" t="b">
        <f>COUNTIF('Facility Data'!$A$1:$A$1500,"*"&amp;A1038&amp;"*")&gt;0</f>
        <v>1</v>
      </c>
      <c r="Q1038" s="181" t="b">
        <f>COUNTIF('Account Data'!$A$1:$A$1000,"*"&amp;A1038&amp;"*")&gt;0</f>
        <v>0</v>
      </c>
      <c r="R1038" s="182" t="b">
        <f t="shared" si="324"/>
        <v>1</v>
      </c>
      <c r="S1038" s="182" t="b">
        <f t="shared" si="325"/>
        <v>0</v>
      </c>
      <c r="T1038" s="181" t="b">
        <f>COUNTIF('New Items'!$A$1:$A$175,A1038)&gt;0</f>
        <v>0</v>
      </c>
      <c r="U1038" s="181" t="b">
        <f>COUNTIF(Discontinued!$A$1:$A$150,A1038)&gt;0</f>
        <v>0</v>
      </c>
    </row>
    <row r="1039" spans="1:21" s="8" customFormat="1" ht="11.25" x14ac:dyDescent="0.2">
      <c r="A1039" s="154">
        <v>10109405</v>
      </c>
      <c r="B1039" s="10" t="s">
        <v>3292</v>
      </c>
      <c r="C1039" s="12" t="s">
        <v>871</v>
      </c>
      <c r="D1039" s="11" t="s">
        <v>687</v>
      </c>
      <c r="E1039" s="12" t="s">
        <v>780</v>
      </c>
      <c r="F1039" s="13">
        <v>8</v>
      </c>
      <c r="G1039" s="22">
        <f>Overview!$B$93</f>
        <v>24</v>
      </c>
      <c r="H1039" s="23">
        <f t="shared" si="326"/>
        <v>24</v>
      </c>
      <c r="I1039" s="114">
        <f>Overview!$E$93</f>
        <v>0</v>
      </c>
      <c r="J1039" s="24">
        <f t="shared" si="328"/>
        <v>0</v>
      </c>
      <c r="K1039" s="116">
        <f>Overview!$H$93</f>
        <v>0</v>
      </c>
      <c r="L1039" s="51" t="e">
        <f t="shared" si="329"/>
        <v>#DIV/0!</v>
      </c>
      <c r="M1039" s="179"/>
      <c r="N1039" s="179" t="s">
        <v>978</v>
      </c>
      <c r="O1039" s="141">
        <f t="shared" si="327"/>
        <v>0</v>
      </c>
      <c r="P1039" s="181" t="b">
        <f>COUNTIF('Facility Data'!$A$1:$A$1500,"*"&amp;A1039&amp;"*")&gt;0</f>
        <v>1</v>
      </c>
      <c r="Q1039" s="181" t="b">
        <f>COUNTIF('Account Data'!$A$1:$A$1000,"*"&amp;A1039&amp;"*")&gt;0</f>
        <v>0</v>
      </c>
      <c r="R1039" s="182" t="b">
        <f t="shared" si="324"/>
        <v>1</v>
      </c>
      <c r="S1039" s="182" t="b">
        <f t="shared" si="325"/>
        <v>0</v>
      </c>
      <c r="T1039" s="181" t="b">
        <f>COUNTIF('New Items'!$A$1:$A$175,A1039)&gt;0</f>
        <v>0</v>
      </c>
      <c r="U1039" s="181" t="b">
        <f>COUNTIF(Discontinued!$A$1:$A$150,A1039)&gt;0</f>
        <v>0</v>
      </c>
    </row>
    <row r="1040" spans="1:21" s="8" customFormat="1" ht="11.25" x14ac:dyDescent="0.2">
      <c r="A1040" s="160">
        <v>10064437</v>
      </c>
      <c r="B1040" s="231" t="s">
        <v>424</v>
      </c>
      <c r="C1040" s="12" t="s">
        <v>425</v>
      </c>
      <c r="D1040" s="11" t="s">
        <v>685</v>
      </c>
      <c r="E1040" s="12" t="s">
        <v>780</v>
      </c>
      <c r="F1040" s="13">
        <v>8</v>
      </c>
      <c r="G1040" s="22">
        <f>Overview!$B$93</f>
        <v>24</v>
      </c>
      <c r="H1040" s="23">
        <f t="shared" si="326"/>
        <v>24</v>
      </c>
      <c r="I1040" s="114">
        <f>Overview!$E$93</f>
        <v>0</v>
      </c>
      <c r="J1040" s="24">
        <f t="shared" si="328"/>
        <v>0</v>
      </c>
      <c r="K1040" s="116">
        <f>Overview!$H$93</f>
        <v>0</v>
      </c>
      <c r="L1040" s="51" t="e">
        <f t="shared" si="329"/>
        <v>#DIV/0!</v>
      </c>
      <c r="M1040" s="179"/>
      <c r="N1040" s="179" t="s">
        <v>978</v>
      </c>
      <c r="O1040" s="141">
        <f t="shared" si="327"/>
        <v>0</v>
      </c>
      <c r="P1040" s="181" t="b">
        <f>COUNTIF('Facility Data'!$A$1:$A$1500,"*"&amp;A1040&amp;"*")&gt;0</f>
        <v>0</v>
      </c>
      <c r="Q1040" s="181" t="b">
        <f>COUNTIF('Account Data'!$A$1:$A$1000,"*"&amp;A1040&amp;"*")&gt;0</f>
        <v>0</v>
      </c>
      <c r="R1040" s="182" t="b">
        <f t="shared" si="324"/>
        <v>0</v>
      </c>
      <c r="S1040" s="182" t="b">
        <f t="shared" si="325"/>
        <v>0</v>
      </c>
      <c r="T1040" s="181" t="b">
        <f>COUNTIF('New Items'!$A$1:$A$175,A1040)&gt;0</f>
        <v>0</v>
      </c>
      <c r="U1040" s="181" t="b">
        <f>COUNTIF(Discontinued!$A$1:$A$150,A1040)&gt;0</f>
        <v>0</v>
      </c>
    </row>
    <row r="1041" spans="1:21" s="8" customFormat="1" ht="11.25" x14ac:dyDescent="0.2">
      <c r="A1041" s="160">
        <v>10031908</v>
      </c>
      <c r="B1041" s="231" t="s">
        <v>432</v>
      </c>
      <c r="C1041" s="118" t="s">
        <v>433</v>
      </c>
      <c r="D1041" s="119" t="s">
        <v>688</v>
      </c>
      <c r="E1041" s="118" t="s">
        <v>780</v>
      </c>
      <c r="F1041" s="120">
        <v>8</v>
      </c>
      <c r="G1041" s="121">
        <f>Overview!$B$93</f>
        <v>24</v>
      </c>
      <c r="H1041" s="114">
        <f t="shared" si="326"/>
        <v>24</v>
      </c>
      <c r="I1041" s="114">
        <f>Overview!$E$93</f>
        <v>0</v>
      </c>
      <c r="J1041" s="115">
        <f>I1041/F1041</f>
        <v>0</v>
      </c>
      <c r="K1041" s="116">
        <f>Overview!$H$93</f>
        <v>0</v>
      </c>
      <c r="L1041" s="117" t="e">
        <f>(K1041-J1041)/K1041</f>
        <v>#DIV/0!</v>
      </c>
      <c r="M1041" s="179"/>
      <c r="N1041" s="179" t="s">
        <v>978</v>
      </c>
      <c r="O1041" s="141">
        <f t="shared" si="327"/>
        <v>0</v>
      </c>
      <c r="P1041" s="181" t="b">
        <f>COUNTIF('Facility Data'!$A$1:$A$1500,"*"&amp;A1041&amp;"*")&gt;0</f>
        <v>0</v>
      </c>
      <c r="Q1041" s="181" t="b">
        <f>COUNTIF('Account Data'!$A$1:$A$1000,"*"&amp;A1041&amp;"*")&gt;0</f>
        <v>0</v>
      </c>
      <c r="R1041" s="182" t="b">
        <f t="shared" si="324"/>
        <v>0</v>
      </c>
      <c r="S1041" s="182" t="b">
        <f t="shared" si="325"/>
        <v>0</v>
      </c>
      <c r="T1041" s="181" t="b">
        <f>COUNTIF('New Items'!$A$1:$A$175,A1041)&gt;0</f>
        <v>0</v>
      </c>
      <c r="U1041" s="181" t="b">
        <f>COUNTIF(Discontinued!$A$1:$A$150,A1041)&gt;0</f>
        <v>0</v>
      </c>
    </row>
    <row r="1042" spans="1:21" s="8" customFormat="1" ht="11.25" x14ac:dyDescent="0.2">
      <c r="A1042" s="160">
        <v>10014793</v>
      </c>
      <c r="B1042" s="231" t="s">
        <v>434</v>
      </c>
      <c r="C1042" s="118" t="s">
        <v>435</v>
      </c>
      <c r="D1042" s="119" t="s">
        <v>689</v>
      </c>
      <c r="E1042" s="118" t="s">
        <v>780</v>
      </c>
      <c r="F1042" s="120">
        <v>8</v>
      </c>
      <c r="G1042" s="121">
        <f>Overview!$B$93</f>
        <v>24</v>
      </c>
      <c r="H1042" s="114">
        <f t="shared" si="326"/>
        <v>24</v>
      </c>
      <c r="I1042" s="114">
        <f>Overview!$E$93</f>
        <v>0</v>
      </c>
      <c r="J1042" s="115">
        <f>I1042/F1042</f>
        <v>0</v>
      </c>
      <c r="K1042" s="116">
        <f>Overview!$H$93</f>
        <v>0</v>
      </c>
      <c r="L1042" s="117" t="e">
        <f>(K1042-J1042)/K1042</f>
        <v>#DIV/0!</v>
      </c>
      <c r="M1042" s="179"/>
      <c r="N1042" s="179" t="s">
        <v>978</v>
      </c>
      <c r="O1042" s="141">
        <f t="shared" si="327"/>
        <v>0</v>
      </c>
      <c r="P1042" s="181" t="b">
        <f>COUNTIF('Facility Data'!$A$1:$A$1500,"*"&amp;A1042&amp;"*")&gt;0</f>
        <v>1</v>
      </c>
      <c r="Q1042" s="181" t="b">
        <f>COUNTIF('Account Data'!$A$1:$A$1000,"*"&amp;A1042&amp;"*")&gt;0</f>
        <v>0</v>
      </c>
      <c r="R1042" s="182" t="b">
        <f t="shared" si="324"/>
        <v>1</v>
      </c>
      <c r="S1042" s="182" t="b">
        <f t="shared" si="325"/>
        <v>0</v>
      </c>
      <c r="T1042" s="181" t="b">
        <f>COUNTIF('New Items'!$A$1:$A$175,A1042)&gt;0</f>
        <v>0</v>
      </c>
      <c r="U1042" s="181" t="b">
        <f>COUNTIF(Discontinued!$A$1:$A$150,A1042)&gt;0</f>
        <v>0</v>
      </c>
    </row>
    <row r="1043" spans="1:21" s="8" customFormat="1" ht="11.25" x14ac:dyDescent="0.2">
      <c r="A1043" s="160">
        <v>10119612</v>
      </c>
      <c r="B1043" s="231" t="s">
        <v>3599</v>
      </c>
      <c r="C1043" s="118" t="s">
        <v>1116</v>
      </c>
      <c r="D1043" s="119" t="s">
        <v>725</v>
      </c>
      <c r="E1043" s="118" t="s">
        <v>780</v>
      </c>
      <c r="F1043" s="120">
        <v>8</v>
      </c>
      <c r="G1043" s="121">
        <f>Overview!$B$93</f>
        <v>24</v>
      </c>
      <c r="H1043" s="114">
        <f t="shared" si="326"/>
        <v>24</v>
      </c>
      <c r="I1043" s="114">
        <f>Overview!$E$93</f>
        <v>0</v>
      </c>
      <c r="J1043" s="115">
        <f>I1043/F1043</f>
        <v>0</v>
      </c>
      <c r="K1043" s="116">
        <f>Overview!$H$93</f>
        <v>0</v>
      </c>
      <c r="L1043" s="117" t="e">
        <f>(K1043-J1043)/K1043</f>
        <v>#DIV/0!</v>
      </c>
      <c r="M1043" s="179"/>
      <c r="N1043" s="179" t="s">
        <v>978</v>
      </c>
      <c r="O1043" s="141">
        <f t="shared" si="327"/>
        <v>0</v>
      </c>
      <c r="P1043" s="181" t="b">
        <f>COUNTIF('Facility Data'!$A$1:$A$1500,"*"&amp;A1043&amp;"*")&gt;0</f>
        <v>1</v>
      </c>
      <c r="Q1043" s="181" t="b">
        <f>COUNTIF('Account Data'!$A$1:$A$1000,"*"&amp;A1043&amp;"*")&gt;0</f>
        <v>0</v>
      </c>
      <c r="R1043" s="182" t="b">
        <f t="shared" si="324"/>
        <v>1</v>
      </c>
      <c r="S1043" s="182" t="b">
        <f t="shared" si="325"/>
        <v>0</v>
      </c>
      <c r="T1043" s="181" t="b">
        <f>COUNTIF('New Items'!$A$1:$A$175,A1043)&gt;0</f>
        <v>0</v>
      </c>
      <c r="U1043" s="181" t="b">
        <f>COUNTIF(Discontinued!$A$1:$A$150,A1043)&gt;0</f>
        <v>0</v>
      </c>
    </row>
    <row r="1044" spans="1:21" s="8" customFormat="1" ht="11.25" x14ac:dyDescent="0.2">
      <c r="A1044" s="160">
        <v>10002906</v>
      </c>
      <c r="B1044" s="231" t="s">
        <v>426</v>
      </c>
      <c r="C1044" s="118" t="s">
        <v>427</v>
      </c>
      <c r="D1044" s="119" t="s">
        <v>691</v>
      </c>
      <c r="E1044" s="118" t="s">
        <v>780</v>
      </c>
      <c r="F1044" s="120">
        <v>8</v>
      </c>
      <c r="G1044" s="121">
        <f>Overview!$B$93</f>
        <v>24</v>
      </c>
      <c r="H1044" s="114">
        <f>G1044-I1044</f>
        <v>24</v>
      </c>
      <c r="I1044" s="114">
        <f>Overview!$E$93</f>
        <v>0</v>
      </c>
      <c r="J1044" s="115">
        <f t="shared" si="328"/>
        <v>0</v>
      </c>
      <c r="K1044" s="116">
        <f>Overview!$H$93</f>
        <v>0</v>
      </c>
      <c r="L1044" s="117" t="e">
        <f t="shared" si="329"/>
        <v>#DIV/0!</v>
      </c>
      <c r="M1044" s="179"/>
      <c r="N1044" s="179" t="s">
        <v>978</v>
      </c>
      <c r="O1044" s="141">
        <f t="shared" si="327"/>
        <v>0</v>
      </c>
      <c r="P1044" s="181" t="b">
        <f>COUNTIF('Facility Data'!$A$1:$A$1500,"*"&amp;A1044&amp;"*")&gt;0</f>
        <v>1</v>
      </c>
      <c r="Q1044" s="181" t="b">
        <f>COUNTIF('Account Data'!$A$1:$A$1000,"*"&amp;A1044&amp;"*")&gt;0</f>
        <v>1</v>
      </c>
      <c r="R1044" s="182" t="b">
        <f t="shared" si="324"/>
        <v>1</v>
      </c>
      <c r="S1044" s="182" t="b">
        <f t="shared" si="325"/>
        <v>1</v>
      </c>
      <c r="T1044" s="181" t="b">
        <f>COUNTIF('New Items'!$A$1:$A$175,A1044)&gt;0</f>
        <v>0</v>
      </c>
      <c r="U1044" s="181" t="b">
        <f>COUNTIF(Discontinued!$A$1:$A$150,A1044)&gt;0</f>
        <v>0</v>
      </c>
    </row>
    <row r="1045" spans="1:21" s="8" customFormat="1" ht="11.25" x14ac:dyDescent="0.2">
      <c r="A1045" s="160">
        <v>10028682</v>
      </c>
      <c r="B1045" s="231" t="s">
        <v>428</v>
      </c>
      <c r="C1045" s="118" t="s">
        <v>429</v>
      </c>
      <c r="D1045" s="119" t="s">
        <v>692</v>
      </c>
      <c r="E1045" s="118" t="s">
        <v>780</v>
      </c>
      <c r="F1045" s="120">
        <v>8</v>
      </c>
      <c r="G1045" s="121">
        <f>Overview!$B$93</f>
        <v>24</v>
      </c>
      <c r="H1045" s="114">
        <f>G1045-I1045</f>
        <v>24</v>
      </c>
      <c r="I1045" s="114">
        <f>Overview!$E$93</f>
        <v>0</v>
      </c>
      <c r="J1045" s="115">
        <f t="shared" si="328"/>
        <v>0</v>
      </c>
      <c r="K1045" s="116">
        <f>Overview!$H$93</f>
        <v>0</v>
      </c>
      <c r="L1045" s="117" t="e">
        <f t="shared" si="329"/>
        <v>#DIV/0!</v>
      </c>
      <c r="M1045" s="179"/>
      <c r="N1045" s="179" t="s">
        <v>978</v>
      </c>
      <c r="O1045" s="141">
        <f t="shared" si="327"/>
        <v>0</v>
      </c>
      <c r="P1045" s="181" t="b">
        <f>COUNTIF('Facility Data'!$A$1:$A$1500,"*"&amp;A1045&amp;"*")&gt;0</f>
        <v>1</v>
      </c>
      <c r="Q1045" s="181" t="b">
        <f>COUNTIF('Account Data'!$A$1:$A$1000,"*"&amp;A1045&amp;"*")&gt;0</f>
        <v>1</v>
      </c>
      <c r="R1045" s="182" t="b">
        <f t="shared" si="324"/>
        <v>1</v>
      </c>
      <c r="S1045" s="182" t="b">
        <f t="shared" si="325"/>
        <v>1</v>
      </c>
      <c r="T1045" s="181" t="b">
        <f>COUNTIF('New Items'!$A$1:$A$175,A1045)&gt;0</f>
        <v>0</v>
      </c>
      <c r="U1045" s="181" t="b">
        <f>COUNTIF(Discontinued!$A$1:$A$150,A1045)&gt;0</f>
        <v>0</v>
      </c>
    </row>
    <row r="1046" spans="1:21" s="8" customFormat="1" ht="11.25" x14ac:dyDescent="0.2">
      <c r="A1046" s="160">
        <v>10064436</v>
      </c>
      <c r="B1046" s="231" t="s">
        <v>430</v>
      </c>
      <c r="C1046" s="118" t="s">
        <v>431</v>
      </c>
      <c r="D1046" s="119" t="s">
        <v>693</v>
      </c>
      <c r="E1046" s="118" t="s">
        <v>780</v>
      </c>
      <c r="F1046" s="120">
        <v>8</v>
      </c>
      <c r="G1046" s="121">
        <f>Overview!$B$93</f>
        <v>24</v>
      </c>
      <c r="H1046" s="114">
        <f>G1046-I1046</f>
        <v>24</v>
      </c>
      <c r="I1046" s="114">
        <f>Overview!$E$93</f>
        <v>0</v>
      </c>
      <c r="J1046" s="115">
        <f t="shared" si="328"/>
        <v>0</v>
      </c>
      <c r="K1046" s="116">
        <f>Overview!$H$93</f>
        <v>0</v>
      </c>
      <c r="L1046" s="117" t="e">
        <f t="shared" si="329"/>
        <v>#DIV/0!</v>
      </c>
      <c r="M1046" s="179"/>
      <c r="N1046" s="179" t="s">
        <v>978</v>
      </c>
      <c r="O1046" s="141">
        <f t="shared" si="327"/>
        <v>0</v>
      </c>
      <c r="P1046" s="181" t="b">
        <f>COUNTIF('Facility Data'!$A$1:$A$1500,"*"&amp;A1046&amp;"*")&gt;0</f>
        <v>1</v>
      </c>
      <c r="Q1046" s="181" t="b">
        <f>COUNTIF('Account Data'!$A$1:$A$1000,"*"&amp;A1046&amp;"*")&gt;0</f>
        <v>0</v>
      </c>
      <c r="R1046" s="182" t="b">
        <f t="shared" si="324"/>
        <v>1</v>
      </c>
      <c r="S1046" s="182" t="b">
        <f t="shared" si="325"/>
        <v>0</v>
      </c>
      <c r="T1046" s="181" t="b">
        <f>COUNTIF('New Items'!$A$1:$A$175,A1046)&gt;0</f>
        <v>0</v>
      </c>
      <c r="U1046" s="181" t="b">
        <f>COUNTIF(Discontinued!$A$1:$A$150,A1046)&gt;0</f>
        <v>0</v>
      </c>
    </row>
    <row r="1047" spans="1:21" s="8" customFormat="1" ht="11.25" x14ac:dyDescent="0.2">
      <c r="A1047" s="160">
        <v>10088248</v>
      </c>
      <c r="B1047" s="231" t="s">
        <v>1114</v>
      </c>
      <c r="C1047" s="225" t="s">
        <v>1115</v>
      </c>
      <c r="D1047" s="226" t="s">
        <v>690</v>
      </c>
      <c r="E1047" s="118" t="s">
        <v>780</v>
      </c>
      <c r="F1047" s="120">
        <v>8</v>
      </c>
      <c r="G1047" s="121">
        <f>Overview!$B$93</f>
        <v>24</v>
      </c>
      <c r="H1047" s="114">
        <f>G1047-I1047</f>
        <v>24</v>
      </c>
      <c r="I1047" s="114">
        <f>Overview!$E$93</f>
        <v>0</v>
      </c>
      <c r="J1047" s="115">
        <f>I1047/F1047</f>
        <v>0</v>
      </c>
      <c r="K1047" s="116">
        <f>Overview!$H$93</f>
        <v>0</v>
      </c>
      <c r="L1047" s="117" t="e">
        <f>(K1047-J1047)/K1047</f>
        <v>#DIV/0!</v>
      </c>
      <c r="M1047" s="179"/>
      <c r="N1047" s="179" t="s">
        <v>978</v>
      </c>
      <c r="O1047" s="141">
        <f>I1047</f>
        <v>0</v>
      </c>
      <c r="P1047" s="181" t="b">
        <f>COUNTIF('Facility Data'!$A$1:$A$1500,"*"&amp;A1047&amp;"*")&gt;0</f>
        <v>1</v>
      </c>
      <c r="Q1047" s="181" t="b">
        <f>COUNTIF('Account Data'!$A$1:$A$1000,"*"&amp;A1047&amp;"*")&gt;0</f>
        <v>0</v>
      </c>
      <c r="R1047" s="182" t="b">
        <f t="shared" si="324"/>
        <v>1</v>
      </c>
      <c r="S1047" s="182" t="b">
        <f t="shared" si="325"/>
        <v>0</v>
      </c>
      <c r="T1047" s="181" t="b">
        <f>COUNTIF('New Items'!$A$1:$A$175,A1047)&gt;0</f>
        <v>0</v>
      </c>
      <c r="U1047" s="181" t="b">
        <f>COUNTIF(Discontinued!$A$1:$A$150,A1047)&gt;0</f>
        <v>0</v>
      </c>
    </row>
    <row r="1048" spans="1:21" s="8" customFormat="1" ht="12" thickBot="1" x14ac:dyDescent="0.25">
      <c r="A1048" s="152">
        <v>10064435</v>
      </c>
      <c r="B1048" s="10" t="s">
        <v>1332</v>
      </c>
      <c r="C1048" s="12" t="s">
        <v>1333</v>
      </c>
      <c r="D1048" s="11" t="s">
        <v>1154</v>
      </c>
      <c r="E1048" s="12" t="s">
        <v>780</v>
      </c>
      <c r="F1048" s="13">
        <v>8</v>
      </c>
      <c r="G1048" s="22">
        <f>Overview!$B$93</f>
        <v>24</v>
      </c>
      <c r="H1048" s="23">
        <f>G1048-I1048</f>
        <v>24</v>
      </c>
      <c r="I1048" s="114">
        <f>Overview!$E$93</f>
        <v>0</v>
      </c>
      <c r="J1048" s="24">
        <f t="shared" si="328"/>
        <v>0</v>
      </c>
      <c r="K1048" s="116">
        <f>Overview!$H$93</f>
        <v>0</v>
      </c>
      <c r="L1048" s="51" t="e">
        <f t="shared" si="329"/>
        <v>#DIV/0!</v>
      </c>
      <c r="M1048" s="179"/>
      <c r="N1048" s="179" t="s">
        <v>978</v>
      </c>
      <c r="O1048" s="141">
        <f t="shared" si="327"/>
        <v>0</v>
      </c>
      <c r="P1048" s="181" t="b">
        <f>COUNTIF('Facility Data'!$A$1:$A$1500,"*"&amp;A1048&amp;"*")&gt;0</f>
        <v>0</v>
      </c>
      <c r="Q1048" s="181" t="b">
        <f>COUNTIF('Account Data'!$A$1:$A$1000,"*"&amp;A1048&amp;"*")&gt;0</f>
        <v>0</v>
      </c>
      <c r="R1048" s="182" t="b">
        <f t="shared" si="324"/>
        <v>0</v>
      </c>
      <c r="S1048" s="182" t="b">
        <f t="shared" si="325"/>
        <v>0</v>
      </c>
      <c r="T1048" s="181" t="b">
        <f>COUNTIF('New Items'!$A$1:$A$175,A1048)&gt;0</f>
        <v>0</v>
      </c>
      <c r="U1048" s="181" t="b">
        <f>COUNTIF(Discontinued!$A$1:$A$150,A1048)&gt;0</f>
        <v>0</v>
      </c>
    </row>
    <row r="1049" spans="1:21" s="8" customFormat="1" ht="13.5" thickBot="1" x14ac:dyDescent="0.25">
      <c r="A1049" s="300" t="s">
        <v>3306</v>
      </c>
      <c r="B1049" s="301"/>
      <c r="C1049" s="301"/>
      <c r="D1049" s="301"/>
      <c r="E1049" s="301"/>
      <c r="F1049" s="301"/>
      <c r="G1049" s="301"/>
      <c r="H1049" s="301"/>
      <c r="I1049" s="301"/>
      <c r="J1049" s="301"/>
      <c r="K1049" s="301"/>
      <c r="L1049" s="302"/>
      <c r="M1049" s="179" t="s">
        <v>4361</v>
      </c>
      <c r="N1049" s="179" t="s">
        <v>979</v>
      </c>
      <c r="O1049" s="141">
        <f>AVERAGE(O1050:O1059)</f>
        <v>0</v>
      </c>
      <c r="P1049" s="181" t="b">
        <f>COUNTIF(P1050:P1059,TRUE)&gt;0</f>
        <v>0</v>
      </c>
      <c r="Q1049" s="181" t="b">
        <f>COUNTIF(Q1050:Q1059,TRUE)&gt;0</f>
        <v>0</v>
      </c>
      <c r="R1049" s="181" t="b">
        <f>COUNTIF(R1050:R1059,TRUE)&gt;0</f>
        <v>0</v>
      </c>
      <c r="S1049" s="181" t="b">
        <f>COUNTIF(S1050:S1059,TRUE)&gt;0</f>
        <v>0</v>
      </c>
      <c r="T1049" s="181" t="b">
        <f>COUNTIF(T1050:T1059,TRUE)&gt;0</f>
        <v>0</v>
      </c>
      <c r="U1049" s="181"/>
    </row>
    <row r="1050" spans="1:21" s="8" customFormat="1" ht="11.25" x14ac:dyDescent="0.2">
      <c r="A1050" s="152">
        <v>20001378</v>
      </c>
      <c r="B1050" s="10" t="s">
        <v>436</v>
      </c>
      <c r="C1050" s="14" t="s">
        <v>437</v>
      </c>
      <c r="D1050" s="11" t="s">
        <v>698</v>
      </c>
      <c r="E1050" s="14" t="s">
        <v>781</v>
      </c>
      <c r="F1050" s="13">
        <v>24</v>
      </c>
      <c r="G1050" s="22">
        <f>Overview!$B$94</f>
        <v>21</v>
      </c>
      <c r="H1050" s="23">
        <f t="shared" ref="H1050:H1059" si="330">G1050-I1050</f>
        <v>21</v>
      </c>
      <c r="I1050" s="114">
        <f>Overview!$E$94</f>
        <v>0</v>
      </c>
      <c r="J1050" s="24">
        <f t="shared" ref="J1050:J1059" si="331">I1050/F1050</f>
        <v>0</v>
      </c>
      <c r="K1050" s="116">
        <f>Overview!$H$94</f>
        <v>0</v>
      </c>
      <c r="L1050" s="51" t="e">
        <f t="shared" ref="L1050:L1059" si="332">(K1050-J1050)/K1050</f>
        <v>#DIV/0!</v>
      </c>
      <c r="M1050" s="179"/>
      <c r="N1050" s="179" t="s">
        <v>979</v>
      </c>
      <c r="O1050" s="141">
        <f t="shared" ref="O1050:O1059" si="333">I1050</f>
        <v>0</v>
      </c>
      <c r="P1050" s="181" t="b">
        <f>COUNTIF('Facility Data'!$A$1:$A$1500,"*"&amp;A1050&amp;"*")&gt;0</f>
        <v>0</v>
      </c>
      <c r="Q1050" s="181" t="b">
        <f>COUNTIF('Account Data'!$A$1:$A$1000,"*"&amp;A1050&amp;"*")&gt;0</f>
        <v>0</v>
      </c>
      <c r="R1050" s="182" t="b">
        <f t="shared" ref="R1050:R1059" si="334">IF(OR(P1050=TRUE,T1050=TRUE),TRUE,FALSE)</f>
        <v>0</v>
      </c>
      <c r="S1050" s="182" t="b">
        <f>IF(OR(Q1050=TRUE,T1050=TRUE),TRUE,FALSE)</f>
        <v>0</v>
      </c>
      <c r="T1050" s="181" t="b">
        <f>COUNTIF('New Items'!$A$1:$A$175,A1050)&gt;0</f>
        <v>0</v>
      </c>
      <c r="U1050" s="181" t="b">
        <f>COUNTIF(Discontinued!$A$1:$A$150,A1050)&gt;0</f>
        <v>0</v>
      </c>
    </row>
    <row r="1051" spans="1:21" s="8" customFormat="1" ht="11.25" x14ac:dyDescent="0.2">
      <c r="A1051" s="152">
        <v>20001375</v>
      </c>
      <c r="B1051" s="10" t="s">
        <v>438</v>
      </c>
      <c r="C1051" s="14" t="s">
        <v>439</v>
      </c>
      <c r="D1051" s="11" t="s">
        <v>699</v>
      </c>
      <c r="E1051" s="14" t="s">
        <v>781</v>
      </c>
      <c r="F1051" s="13">
        <v>24</v>
      </c>
      <c r="G1051" s="22">
        <f>Overview!$B$94</f>
        <v>21</v>
      </c>
      <c r="H1051" s="23">
        <f t="shared" si="330"/>
        <v>21</v>
      </c>
      <c r="I1051" s="114">
        <f>Overview!$E$94</f>
        <v>0</v>
      </c>
      <c r="J1051" s="24">
        <f t="shared" si="331"/>
        <v>0</v>
      </c>
      <c r="K1051" s="116">
        <f>Overview!$H$94</f>
        <v>0</v>
      </c>
      <c r="L1051" s="51" t="e">
        <f t="shared" si="332"/>
        <v>#DIV/0!</v>
      </c>
      <c r="M1051" s="179"/>
      <c r="N1051" s="179" t="s">
        <v>979</v>
      </c>
      <c r="O1051" s="141">
        <f t="shared" si="333"/>
        <v>0</v>
      </c>
      <c r="P1051" s="181" t="b">
        <f>COUNTIF('Facility Data'!$A$1:$A$1500,"*"&amp;A1051&amp;"*")&gt;0</f>
        <v>0</v>
      </c>
      <c r="Q1051" s="181" t="b">
        <f>COUNTIF('Account Data'!$A$1:$A$1000,"*"&amp;A1051&amp;"*")&gt;0</f>
        <v>0</v>
      </c>
      <c r="R1051" s="182" t="b">
        <f t="shared" si="334"/>
        <v>0</v>
      </c>
      <c r="S1051" s="182" t="b">
        <f>IF(OR(Q1051=TRUE,T1051=TRUE),TRUE,FALSE)</f>
        <v>0</v>
      </c>
      <c r="T1051" s="181" t="b">
        <f>COUNTIF('New Items'!$A$1:$A$175,A1051)&gt;0</f>
        <v>0</v>
      </c>
      <c r="U1051" s="181" t="b">
        <f>COUNTIF(Discontinued!$A$1:$A$150,A1051)&gt;0</f>
        <v>0</v>
      </c>
    </row>
    <row r="1052" spans="1:21" s="8" customFormat="1" ht="11.25" x14ac:dyDescent="0.2">
      <c r="A1052" s="152">
        <v>20001392</v>
      </c>
      <c r="B1052" s="10" t="s">
        <v>440</v>
      </c>
      <c r="C1052" s="14" t="s">
        <v>441</v>
      </c>
      <c r="D1052" s="11" t="s">
        <v>679</v>
      </c>
      <c r="E1052" s="14" t="s">
        <v>781</v>
      </c>
      <c r="F1052" s="13">
        <v>24</v>
      </c>
      <c r="G1052" s="22">
        <f>Overview!$B$94</f>
        <v>21</v>
      </c>
      <c r="H1052" s="23">
        <f t="shared" si="330"/>
        <v>21</v>
      </c>
      <c r="I1052" s="114">
        <f>Overview!$E$94</f>
        <v>0</v>
      </c>
      <c r="J1052" s="24">
        <f t="shared" si="331"/>
        <v>0</v>
      </c>
      <c r="K1052" s="116">
        <f>Overview!$H$94</f>
        <v>0</v>
      </c>
      <c r="L1052" s="51" t="e">
        <f t="shared" si="332"/>
        <v>#DIV/0!</v>
      </c>
      <c r="M1052" s="179"/>
      <c r="N1052" s="179" t="s">
        <v>979</v>
      </c>
      <c r="O1052" s="141">
        <f t="shared" si="333"/>
        <v>0</v>
      </c>
      <c r="P1052" s="181" t="b">
        <f>COUNTIF('Facility Data'!$A$1:$A$1500,"*"&amp;A1052&amp;"*")&gt;0</f>
        <v>0</v>
      </c>
      <c r="Q1052" s="181" t="b">
        <f>COUNTIF('Account Data'!$A$1:$A$1000,"*"&amp;A1052&amp;"*")&gt;0</f>
        <v>0</v>
      </c>
      <c r="R1052" s="182" t="b">
        <f t="shared" si="334"/>
        <v>0</v>
      </c>
      <c r="S1052" s="182" t="b">
        <f>IF(OR(Q1052=TRUE,T1052=TRUE),TRUE,FALSE)</f>
        <v>0</v>
      </c>
      <c r="T1052" s="181" t="b">
        <f>COUNTIF('New Items'!$A$1:$A$175,A1052)&gt;0</f>
        <v>0</v>
      </c>
      <c r="U1052" s="181" t="b">
        <f>COUNTIF(Discontinued!$A$1:$A$150,A1052)&gt;0</f>
        <v>0</v>
      </c>
    </row>
    <row r="1053" spans="1:21" s="8" customFormat="1" ht="11.25" x14ac:dyDescent="0.2">
      <c r="A1053" s="152">
        <v>20001380</v>
      </c>
      <c r="B1053" s="10" t="s">
        <v>1450</v>
      </c>
      <c r="C1053" s="14" t="s">
        <v>1451</v>
      </c>
      <c r="D1053" s="11" t="s">
        <v>730</v>
      </c>
      <c r="E1053" s="14" t="s">
        <v>781</v>
      </c>
      <c r="F1053" s="13">
        <v>24</v>
      </c>
      <c r="G1053" s="22">
        <f>Overview!$B$94</f>
        <v>21</v>
      </c>
      <c r="H1053" s="23">
        <f t="shared" si="330"/>
        <v>21</v>
      </c>
      <c r="I1053" s="114">
        <f>Overview!$E$94</f>
        <v>0</v>
      </c>
      <c r="J1053" s="24">
        <f t="shared" si="331"/>
        <v>0</v>
      </c>
      <c r="K1053" s="116">
        <f>Overview!$H$94</f>
        <v>0</v>
      </c>
      <c r="L1053" s="51" t="e">
        <f t="shared" si="332"/>
        <v>#DIV/0!</v>
      </c>
      <c r="M1053" s="179"/>
      <c r="N1053" s="179" t="s">
        <v>979</v>
      </c>
      <c r="O1053" s="141">
        <f t="shared" si="333"/>
        <v>0</v>
      </c>
      <c r="P1053" s="181" t="b">
        <f>COUNTIF('Facility Data'!$A$1:$A$1500,"*"&amp;A1053&amp;"*")&gt;0</f>
        <v>0</v>
      </c>
      <c r="Q1053" s="181" t="b">
        <f>COUNTIF('Account Data'!$A$1:$A$1000,"*"&amp;A1053&amp;"*")&gt;0</f>
        <v>0</v>
      </c>
      <c r="R1053" s="182" t="b">
        <f t="shared" si="334"/>
        <v>0</v>
      </c>
      <c r="S1053" s="182" t="b">
        <f>IF(OR(Q1053=TRUE,T1053=TRUE),TRUE,FALSE)</f>
        <v>0</v>
      </c>
      <c r="T1053" s="181" t="b">
        <f>COUNTIF('New Items'!$A$1:$A$175,A1053)&gt;0</f>
        <v>0</v>
      </c>
      <c r="U1053" s="181" t="b">
        <f>COUNTIF(Discontinued!$A$1:$A$150,A1053)&gt;0</f>
        <v>0</v>
      </c>
    </row>
    <row r="1054" spans="1:21" s="8" customFormat="1" ht="11.25" x14ac:dyDescent="0.2">
      <c r="A1054" s="152">
        <v>20001374</v>
      </c>
      <c r="B1054" s="10" t="s">
        <v>1452</v>
      </c>
      <c r="C1054" s="14" t="s">
        <v>1453</v>
      </c>
      <c r="D1054" s="11" t="s">
        <v>691</v>
      </c>
      <c r="E1054" s="14" t="s">
        <v>781</v>
      </c>
      <c r="F1054" s="13">
        <v>24</v>
      </c>
      <c r="G1054" s="22">
        <f>Overview!$B$94</f>
        <v>21</v>
      </c>
      <c r="H1054" s="23">
        <f t="shared" si="330"/>
        <v>21</v>
      </c>
      <c r="I1054" s="114">
        <f>Overview!$E$94</f>
        <v>0</v>
      </c>
      <c r="J1054" s="24">
        <f t="shared" si="331"/>
        <v>0</v>
      </c>
      <c r="K1054" s="116">
        <f>Overview!$H$94</f>
        <v>0</v>
      </c>
      <c r="L1054" s="51" t="e">
        <f t="shared" si="332"/>
        <v>#DIV/0!</v>
      </c>
      <c r="M1054" s="179"/>
      <c r="N1054" s="179" t="s">
        <v>979</v>
      </c>
      <c r="O1054" s="141">
        <f t="shared" si="333"/>
        <v>0</v>
      </c>
      <c r="P1054" s="181" t="b">
        <f>COUNTIF('Facility Data'!$A$1:$A$1500,"*"&amp;A1054&amp;"*")&gt;0</f>
        <v>0</v>
      </c>
      <c r="Q1054" s="181" t="b">
        <f>COUNTIF('Account Data'!$A$1:$A$1000,"*"&amp;A1054&amp;"*")&gt;0</f>
        <v>0</v>
      </c>
      <c r="R1054" s="182" t="b">
        <f t="shared" si="334"/>
        <v>0</v>
      </c>
      <c r="S1054" s="182" t="b">
        <f t="shared" ref="S1054:S1108" si="335">IF(OR(Q1054=TRUE,T1054=TRUE),TRUE,FALSE)</f>
        <v>0</v>
      </c>
      <c r="T1054" s="181" t="b">
        <f>COUNTIF('New Items'!$A$1:$A$175,A1054)&gt;0</f>
        <v>0</v>
      </c>
      <c r="U1054" s="181" t="b">
        <f>COUNTIF(Discontinued!$A$1:$A$150,A1054)&gt;0</f>
        <v>0</v>
      </c>
    </row>
    <row r="1055" spans="1:21" s="8" customFormat="1" ht="11.25" x14ac:dyDescent="0.2">
      <c r="A1055" s="152">
        <v>20001385</v>
      </c>
      <c r="B1055" s="10" t="s">
        <v>442</v>
      </c>
      <c r="C1055" s="14" t="s">
        <v>443</v>
      </c>
      <c r="D1055" s="11" t="s">
        <v>693</v>
      </c>
      <c r="E1055" s="14" t="s">
        <v>781</v>
      </c>
      <c r="F1055" s="13">
        <v>24</v>
      </c>
      <c r="G1055" s="22">
        <f>Overview!$B$94</f>
        <v>21</v>
      </c>
      <c r="H1055" s="23">
        <f t="shared" si="330"/>
        <v>21</v>
      </c>
      <c r="I1055" s="114">
        <f>Overview!$E$94</f>
        <v>0</v>
      </c>
      <c r="J1055" s="24">
        <f t="shared" si="331"/>
        <v>0</v>
      </c>
      <c r="K1055" s="116">
        <f>Overview!$H$94</f>
        <v>0</v>
      </c>
      <c r="L1055" s="51" t="e">
        <f t="shared" si="332"/>
        <v>#DIV/0!</v>
      </c>
      <c r="M1055" s="179"/>
      <c r="N1055" s="179" t="s">
        <v>979</v>
      </c>
      <c r="O1055" s="141">
        <f t="shared" si="333"/>
        <v>0</v>
      </c>
      <c r="P1055" s="181" t="b">
        <f>COUNTIF('Facility Data'!$A$1:$A$1500,"*"&amp;A1055&amp;"*")&gt;0</f>
        <v>0</v>
      </c>
      <c r="Q1055" s="181" t="b">
        <f>COUNTIF('Account Data'!$A$1:$A$1000,"*"&amp;A1055&amp;"*")&gt;0</f>
        <v>0</v>
      </c>
      <c r="R1055" s="182" t="b">
        <f t="shared" si="334"/>
        <v>0</v>
      </c>
      <c r="S1055" s="182" t="b">
        <f t="shared" si="335"/>
        <v>0</v>
      </c>
      <c r="T1055" s="181" t="b">
        <f>COUNTIF('New Items'!$A$1:$A$175,A1055)&gt;0</f>
        <v>0</v>
      </c>
      <c r="U1055" s="181" t="b">
        <f>COUNTIF(Discontinued!$A$1:$A$150,A1055)&gt;0</f>
        <v>0</v>
      </c>
    </row>
    <row r="1056" spans="1:21" s="8" customFormat="1" ht="11.25" x14ac:dyDescent="0.2">
      <c r="A1056" s="152">
        <v>20001379</v>
      </c>
      <c r="B1056" s="10" t="s">
        <v>444</v>
      </c>
      <c r="C1056" s="14" t="s">
        <v>445</v>
      </c>
      <c r="D1056" s="11" t="s">
        <v>700</v>
      </c>
      <c r="E1056" s="14" t="s">
        <v>781</v>
      </c>
      <c r="F1056" s="13">
        <v>24</v>
      </c>
      <c r="G1056" s="22">
        <f>Overview!$B$94</f>
        <v>21</v>
      </c>
      <c r="H1056" s="23">
        <f t="shared" si="330"/>
        <v>21</v>
      </c>
      <c r="I1056" s="114">
        <f>Overview!$E$94</f>
        <v>0</v>
      </c>
      <c r="J1056" s="24">
        <f t="shared" si="331"/>
        <v>0</v>
      </c>
      <c r="K1056" s="116">
        <f>Overview!$H$94</f>
        <v>0</v>
      </c>
      <c r="L1056" s="51" t="e">
        <f t="shared" si="332"/>
        <v>#DIV/0!</v>
      </c>
      <c r="M1056" s="179"/>
      <c r="N1056" s="179" t="s">
        <v>979</v>
      </c>
      <c r="O1056" s="141">
        <f t="shared" si="333"/>
        <v>0</v>
      </c>
      <c r="P1056" s="181" t="b">
        <f>COUNTIF('Facility Data'!$A$1:$A$1500,"*"&amp;A1056&amp;"*")&gt;0</f>
        <v>0</v>
      </c>
      <c r="Q1056" s="181" t="b">
        <f>COUNTIF('Account Data'!$A$1:$A$1000,"*"&amp;A1056&amp;"*")&gt;0</f>
        <v>0</v>
      </c>
      <c r="R1056" s="182" t="b">
        <f t="shared" si="334"/>
        <v>0</v>
      </c>
      <c r="S1056" s="182" t="b">
        <f t="shared" si="335"/>
        <v>0</v>
      </c>
      <c r="T1056" s="181" t="b">
        <f>COUNTIF('New Items'!$A$1:$A$175,A1056)&gt;0</f>
        <v>0</v>
      </c>
      <c r="U1056" s="181" t="b">
        <f>COUNTIF(Discontinued!$A$1:$A$150,A1056)&gt;0</f>
        <v>0</v>
      </c>
    </row>
    <row r="1057" spans="1:21" s="8" customFormat="1" ht="11.25" x14ac:dyDescent="0.2">
      <c r="A1057" s="152">
        <v>20001377</v>
      </c>
      <c r="B1057" s="10" t="s">
        <v>1455</v>
      </c>
      <c r="C1057" s="14" t="s">
        <v>1456</v>
      </c>
      <c r="D1057" s="11" t="s">
        <v>1454</v>
      </c>
      <c r="E1057" s="14" t="s">
        <v>781</v>
      </c>
      <c r="F1057" s="13">
        <v>24</v>
      </c>
      <c r="G1057" s="22">
        <f>Overview!$B$94</f>
        <v>21</v>
      </c>
      <c r="H1057" s="23">
        <f t="shared" si="330"/>
        <v>21</v>
      </c>
      <c r="I1057" s="114">
        <f>Overview!$E$94</f>
        <v>0</v>
      </c>
      <c r="J1057" s="24">
        <f t="shared" si="331"/>
        <v>0</v>
      </c>
      <c r="K1057" s="116">
        <f>Overview!$H$94</f>
        <v>0</v>
      </c>
      <c r="L1057" s="51" t="e">
        <f t="shared" si="332"/>
        <v>#DIV/0!</v>
      </c>
      <c r="M1057" s="179"/>
      <c r="N1057" s="179" t="s">
        <v>979</v>
      </c>
      <c r="O1057" s="141">
        <f t="shared" si="333"/>
        <v>0</v>
      </c>
      <c r="P1057" s="181" t="b">
        <f>COUNTIF('Facility Data'!$A$1:$A$1500,"*"&amp;A1057&amp;"*")&gt;0</f>
        <v>0</v>
      </c>
      <c r="Q1057" s="181" t="b">
        <f>COUNTIF('Account Data'!$A$1:$A$1000,"*"&amp;A1057&amp;"*")&gt;0</f>
        <v>0</v>
      </c>
      <c r="R1057" s="182" t="b">
        <f t="shared" si="334"/>
        <v>0</v>
      </c>
      <c r="S1057" s="182" t="b">
        <f t="shared" si="335"/>
        <v>0</v>
      </c>
      <c r="T1057" s="181" t="b">
        <f>COUNTIF('New Items'!$A$1:$A$175,A1057)&gt;0</f>
        <v>0</v>
      </c>
      <c r="U1057" s="181" t="b">
        <f>COUNTIF(Discontinued!$A$1:$A$150,A1057)&gt;0</f>
        <v>0</v>
      </c>
    </row>
    <row r="1058" spans="1:21" s="8" customFormat="1" ht="11.25" x14ac:dyDescent="0.2">
      <c r="A1058" s="152">
        <v>20000449</v>
      </c>
      <c r="B1058" s="10" t="s">
        <v>2906</v>
      </c>
      <c r="C1058" s="14" t="s">
        <v>437</v>
      </c>
      <c r="D1058" s="11" t="s">
        <v>2910</v>
      </c>
      <c r="E1058" s="14" t="s">
        <v>781</v>
      </c>
      <c r="F1058" s="13">
        <v>24</v>
      </c>
      <c r="G1058" s="22">
        <f>Overview!$B$95</f>
        <v>21</v>
      </c>
      <c r="H1058" s="23">
        <f t="shared" si="330"/>
        <v>21</v>
      </c>
      <c r="I1058" s="114">
        <f>Overview!$E$95</f>
        <v>0</v>
      </c>
      <c r="J1058" s="24">
        <f t="shared" si="331"/>
        <v>0</v>
      </c>
      <c r="K1058" s="116">
        <f>Overview!$H$95</f>
        <v>0</v>
      </c>
      <c r="L1058" s="51" t="e">
        <f t="shared" si="332"/>
        <v>#DIV/0!</v>
      </c>
      <c r="M1058" s="179"/>
      <c r="N1058" s="179" t="s">
        <v>979</v>
      </c>
      <c r="O1058" s="141">
        <f t="shared" si="333"/>
        <v>0</v>
      </c>
      <c r="P1058" s="181" t="b">
        <f>COUNTIF('Facility Data'!$A$1:$A$1500,"*"&amp;A1058&amp;"*")&gt;0</f>
        <v>0</v>
      </c>
      <c r="Q1058" s="181" t="b">
        <f>COUNTIF('Account Data'!$A$1:$A$1000,"*"&amp;A1058&amp;"*")&gt;0</f>
        <v>0</v>
      </c>
      <c r="R1058" s="182" t="b">
        <f t="shared" si="334"/>
        <v>0</v>
      </c>
      <c r="S1058" s="182" t="b">
        <f t="shared" si="335"/>
        <v>0</v>
      </c>
      <c r="T1058" s="181" t="b">
        <f>COUNTIF('New Items'!$A$1:$A$175,A1058)&gt;0</f>
        <v>0</v>
      </c>
      <c r="U1058" s="181" t="b">
        <f>COUNTIF(Discontinued!$A$1:$A$150,A1058)&gt;0</f>
        <v>0</v>
      </c>
    </row>
    <row r="1059" spans="1:21" s="8" customFormat="1" ht="12" thickBot="1" x14ac:dyDescent="0.25">
      <c r="A1059" s="152">
        <v>20001632</v>
      </c>
      <c r="B1059" s="10" t="s">
        <v>2907</v>
      </c>
      <c r="C1059" s="14" t="s">
        <v>2908</v>
      </c>
      <c r="D1059" s="11" t="s">
        <v>2909</v>
      </c>
      <c r="E1059" s="14" t="s">
        <v>757</v>
      </c>
      <c r="F1059" s="13">
        <v>24</v>
      </c>
      <c r="G1059" s="22">
        <f>Overview!$B$96</f>
        <v>30</v>
      </c>
      <c r="H1059" s="23">
        <f t="shared" si="330"/>
        <v>30</v>
      </c>
      <c r="I1059" s="114">
        <f>Overview!$E$96</f>
        <v>0</v>
      </c>
      <c r="J1059" s="24">
        <f t="shared" si="331"/>
        <v>0</v>
      </c>
      <c r="K1059" s="116">
        <f>Overview!$H$96</f>
        <v>0</v>
      </c>
      <c r="L1059" s="51" t="e">
        <f t="shared" si="332"/>
        <v>#DIV/0!</v>
      </c>
      <c r="M1059" s="179"/>
      <c r="N1059" s="179" t="s">
        <v>979</v>
      </c>
      <c r="O1059" s="141">
        <f t="shared" si="333"/>
        <v>0</v>
      </c>
      <c r="P1059" s="181" t="b">
        <f>COUNTIF('Facility Data'!$A$1:$A$1500,"*"&amp;A1059&amp;"*")&gt;0</f>
        <v>0</v>
      </c>
      <c r="Q1059" s="181" t="b">
        <f>COUNTIF('Account Data'!$A$1:$A$1000,"*"&amp;A1059&amp;"*")&gt;0</f>
        <v>0</v>
      </c>
      <c r="R1059" s="182" t="b">
        <f t="shared" si="334"/>
        <v>0</v>
      </c>
      <c r="S1059" s="182" t="b">
        <f t="shared" si="335"/>
        <v>0</v>
      </c>
      <c r="T1059" s="181" t="b">
        <f>COUNTIF('New Items'!$A$1:$A$175,A1059)&gt;0</f>
        <v>0</v>
      </c>
      <c r="U1059" s="181" t="b">
        <f>COUNTIF(Discontinued!$A$1:$A$150,A1059)&gt;0</f>
        <v>0</v>
      </c>
    </row>
    <row r="1060" spans="1:21" s="8" customFormat="1" ht="13.5" thickBot="1" x14ac:dyDescent="0.25">
      <c r="A1060" s="300" t="s">
        <v>1457</v>
      </c>
      <c r="B1060" s="301"/>
      <c r="C1060" s="301"/>
      <c r="D1060" s="301"/>
      <c r="E1060" s="301"/>
      <c r="F1060" s="301"/>
      <c r="G1060" s="301"/>
      <c r="H1060" s="301"/>
      <c r="I1060" s="301"/>
      <c r="J1060" s="301"/>
      <c r="K1060" s="301"/>
      <c r="L1060" s="302"/>
      <c r="M1060" s="179" t="s">
        <v>4361</v>
      </c>
      <c r="N1060" s="179" t="s">
        <v>3144</v>
      </c>
      <c r="O1060" s="141">
        <f>AVERAGE(O1061:O1073)</f>
        <v>0</v>
      </c>
      <c r="P1060" s="181" t="b">
        <f>COUNTIF(P1061:P1073,TRUE)&gt;0</f>
        <v>0</v>
      </c>
      <c r="Q1060" s="181" t="b">
        <f>COUNTIF(Q1061:Q1073,TRUE)&gt;0</f>
        <v>0</v>
      </c>
      <c r="R1060" s="181" t="b">
        <f>COUNTIF(R1061:R1073,TRUE)&gt;0</f>
        <v>0</v>
      </c>
      <c r="S1060" s="181" t="b">
        <f>COUNTIF(S1061:S1073,TRUE)&gt;0</f>
        <v>0</v>
      </c>
      <c r="T1060" s="181" t="b">
        <f>COUNTIF(T1061:T1073,TRUE)&gt;0</f>
        <v>0</v>
      </c>
      <c r="U1060" s="181"/>
    </row>
    <row r="1061" spans="1:21" s="8" customFormat="1" ht="11.25" x14ac:dyDescent="0.2">
      <c r="A1061" s="152">
        <v>10003152</v>
      </c>
      <c r="B1061" s="10" t="s">
        <v>3307</v>
      </c>
      <c r="C1061" s="12" t="s">
        <v>1458</v>
      </c>
      <c r="D1061" s="11" t="s">
        <v>1471</v>
      </c>
      <c r="E1061" s="12" t="s">
        <v>772</v>
      </c>
      <c r="F1061" s="13">
        <v>12</v>
      </c>
      <c r="G1061" s="22">
        <f>Overview!$B$97</f>
        <v>30</v>
      </c>
      <c r="H1061" s="23">
        <f>G1061-I1061</f>
        <v>30</v>
      </c>
      <c r="I1061" s="114">
        <f>Overview!$E$97</f>
        <v>0</v>
      </c>
      <c r="J1061" s="24">
        <f>I1061/F1061</f>
        <v>0</v>
      </c>
      <c r="K1061" s="116">
        <f>Overview!$H$97</f>
        <v>0</v>
      </c>
      <c r="L1061" s="51" t="e">
        <f>(K1061-J1061)/K1061</f>
        <v>#DIV/0!</v>
      </c>
      <c r="M1061" s="179"/>
      <c r="N1061" s="179" t="s">
        <v>3144</v>
      </c>
      <c r="O1061" s="141">
        <f t="shared" ref="O1061:O1073" si="336">I1061</f>
        <v>0</v>
      </c>
      <c r="P1061" s="181" t="b">
        <f>COUNTIF('Facility Data'!$A$1:$A$1500,"*"&amp;A1061&amp;"*")&gt;0</f>
        <v>0</v>
      </c>
      <c r="Q1061" s="181" t="b">
        <f>COUNTIF('Account Data'!$A$1:$A$1000,"*"&amp;A1061&amp;"*")&gt;0</f>
        <v>0</v>
      </c>
      <c r="R1061" s="182" t="b">
        <f t="shared" ref="R1061:R1073" si="337">IF(OR(P1061=TRUE,T1061=TRUE),TRUE,FALSE)</f>
        <v>0</v>
      </c>
      <c r="S1061" s="182" t="b">
        <f t="shared" si="335"/>
        <v>0</v>
      </c>
      <c r="T1061" s="181" t="b">
        <f>COUNTIF('New Items'!$A$1:$A$175,A1061)&gt;0</f>
        <v>0</v>
      </c>
      <c r="U1061" s="181" t="b">
        <f>COUNTIF(Discontinued!$A$1:$A$150,A1061)&gt;0</f>
        <v>0</v>
      </c>
    </row>
    <row r="1062" spans="1:21" s="8" customFormat="1" ht="11.25" x14ac:dyDescent="0.2">
      <c r="A1062" s="152">
        <v>10003151</v>
      </c>
      <c r="B1062" s="10" t="s">
        <v>3308</v>
      </c>
      <c r="C1062" s="12" t="s">
        <v>1459</v>
      </c>
      <c r="D1062" s="11" t="s">
        <v>1472</v>
      </c>
      <c r="E1062" s="12" t="s">
        <v>772</v>
      </c>
      <c r="F1062" s="13">
        <v>12</v>
      </c>
      <c r="G1062" s="22">
        <f>Overview!$B$97</f>
        <v>30</v>
      </c>
      <c r="H1062" s="23">
        <f t="shared" ref="H1062:H1073" si="338">G1062-I1062</f>
        <v>30</v>
      </c>
      <c r="I1062" s="114">
        <f>Overview!$E$97</f>
        <v>0</v>
      </c>
      <c r="J1062" s="24">
        <f t="shared" ref="J1062:J1073" si="339">I1062/F1062</f>
        <v>0</v>
      </c>
      <c r="K1062" s="116">
        <f>Overview!$H$97</f>
        <v>0</v>
      </c>
      <c r="L1062" s="51" t="e">
        <f t="shared" ref="L1062:L1073" si="340">(K1062-J1062)/K1062</f>
        <v>#DIV/0!</v>
      </c>
      <c r="M1062" s="179"/>
      <c r="N1062" s="179" t="s">
        <v>3144</v>
      </c>
      <c r="O1062" s="141">
        <f t="shared" si="336"/>
        <v>0</v>
      </c>
      <c r="P1062" s="181" t="b">
        <f>COUNTIF('Facility Data'!$A$1:$A$1500,"*"&amp;A1062&amp;"*")&gt;0</f>
        <v>0</v>
      </c>
      <c r="Q1062" s="181" t="b">
        <f>COUNTIF('Account Data'!$A$1:$A$1000,"*"&amp;A1062&amp;"*")&gt;0</f>
        <v>0</v>
      </c>
      <c r="R1062" s="182" t="b">
        <f t="shared" si="337"/>
        <v>0</v>
      </c>
      <c r="S1062" s="182" t="b">
        <f t="shared" si="335"/>
        <v>0</v>
      </c>
      <c r="T1062" s="181" t="b">
        <f>COUNTIF('New Items'!$A$1:$A$175,A1062)&gt;0</f>
        <v>0</v>
      </c>
      <c r="U1062" s="181" t="b">
        <f>COUNTIF(Discontinued!$A$1:$A$150,A1062)&gt;0</f>
        <v>0</v>
      </c>
    </row>
    <row r="1063" spans="1:21" s="8" customFormat="1" ht="11.25" x14ac:dyDescent="0.2">
      <c r="A1063" s="152">
        <v>10003157</v>
      </c>
      <c r="B1063" s="10" t="s">
        <v>3310</v>
      </c>
      <c r="C1063" s="12" t="s">
        <v>1461</v>
      </c>
      <c r="D1063" s="11" t="s">
        <v>1474</v>
      </c>
      <c r="E1063" s="12" t="s">
        <v>772</v>
      </c>
      <c r="F1063" s="13">
        <v>12</v>
      </c>
      <c r="G1063" s="22">
        <f>Overview!$B$97</f>
        <v>30</v>
      </c>
      <c r="H1063" s="23">
        <f>G1063-I1063</f>
        <v>30</v>
      </c>
      <c r="I1063" s="114">
        <f>Overview!$E$97</f>
        <v>0</v>
      </c>
      <c r="J1063" s="24">
        <f>I1063/F1063</f>
        <v>0</v>
      </c>
      <c r="K1063" s="116">
        <f>Overview!$H$97</f>
        <v>0</v>
      </c>
      <c r="L1063" s="51" t="e">
        <f>(K1063-J1063)/K1063</f>
        <v>#DIV/0!</v>
      </c>
      <c r="M1063" s="179"/>
      <c r="N1063" s="179" t="s">
        <v>3144</v>
      </c>
      <c r="O1063" s="141">
        <f>I1063</f>
        <v>0</v>
      </c>
      <c r="P1063" s="181" t="b">
        <f>COUNTIF('Facility Data'!$A$1:$A$1500,"*"&amp;A1063&amp;"*")&gt;0</f>
        <v>0</v>
      </c>
      <c r="Q1063" s="181" t="b">
        <f>COUNTIF('Account Data'!$A$1:$A$1000,"*"&amp;A1063&amp;"*")&gt;0</f>
        <v>0</v>
      </c>
      <c r="R1063" s="182" t="b">
        <f t="shared" si="337"/>
        <v>0</v>
      </c>
      <c r="S1063" s="182" t="b">
        <f>IF(OR(Q1063=TRUE,T1063=TRUE),TRUE,FALSE)</f>
        <v>0</v>
      </c>
      <c r="T1063" s="181" t="b">
        <f>COUNTIF('New Items'!$A$1:$A$175,A1063)&gt;0</f>
        <v>0</v>
      </c>
      <c r="U1063" s="181" t="b">
        <f>COUNTIF(Discontinued!$A$1:$A$150,A1063)&gt;0</f>
        <v>0</v>
      </c>
    </row>
    <row r="1064" spans="1:21" s="8" customFormat="1" ht="11.25" x14ac:dyDescent="0.2">
      <c r="A1064" s="152">
        <v>10003154</v>
      </c>
      <c r="B1064" s="10" t="s">
        <v>3309</v>
      </c>
      <c r="C1064" s="12" t="s">
        <v>1460</v>
      </c>
      <c r="D1064" s="11" t="s">
        <v>1473</v>
      </c>
      <c r="E1064" s="12" t="s">
        <v>772</v>
      </c>
      <c r="F1064" s="13">
        <v>12</v>
      </c>
      <c r="G1064" s="22">
        <f>Overview!$B$97</f>
        <v>30</v>
      </c>
      <c r="H1064" s="23">
        <f t="shared" si="338"/>
        <v>30</v>
      </c>
      <c r="I1064" s="114">
        <f>Overview!$E$97</f>
        <v>0</v>
      </c>
      <c r="J1064" s="24">
        <f t="shared" si="339"/>
        <v>0</v>
      </c>
      <c r="K1064" s="116">
        <f>Overview!$H$97</f>
        <v>0</v>
      </c>
      <c r="L1064" s="51" t="e">
        <f t="shared" si="340"/>
        <v>#DIV/0!</v>
      </c>
      <c r="M1064" s="179"/>
      <c r="N1064" s="179" t="s">
        <v>3144</v>
      </c>
      <c r="O1064" s="141">
        <f t="shared" si="336"/>
        <v>0</v>
      </c>
      <c r="P1064" s="181" t="b">
        <f>COUNTIF('Facility Data'!$A$1:$A$1500,"*"&amp;A1064&amp;"*")&gt;0</f>
        <v>0</v>
      </c>
      <c r="Q1064" s="181" t="b">
        <f>COUNTIF('Account Data'!$A$1:$A$1000,"*"&amp;A1064&amp;"*")&gt;0</f>
        <v>0</v>
      </c>
      <c r="R1064" s="182" t="b">
        <f t="shared" si="337"/>
        <v>0</v>
      </c>
      <c r="S1064" s="182" t="b">
        <f t="shared" si="335"/>
        <v>0</v>
      </c>
      <c r="T1064" s="181" t="b">
        <f>COUNTIF('New Items'!$A$1:$A$175,A1064)&gt;0</f>
        <v>0</v>
      </c>
      <c r="U1064" s="181" t="b">
        <f>COUNTIF(Discontinued!$A$1:$A$150,A1064)&gt;0</f>
        <v>0</v>
      </c>
    </row>
    <row r="1065" spans="1:21" s="8" customFormat="1" ht="11.25" x14ac:dyDescent="0.2">
      <c r="A1065" s="152">
        <v>10002911</v>
      </c>
      <c r="B1065" s="10" t="s">
        <v>3312</v>
      </c>
      <c r="C1065" s="12" t="s">
        <v>1463</v>
      </c>
      <c r="D1065" s="11" t="s">
        <v>697</v>
      </c>
      <c r="E1065" s="12" t="s">
        <v>772</v>
      </c>
      <c r="F1065" s="13">
        <v>12</v>
      </c>
      <c r="G1065" s="22">
        <f>Overview!$B$97</f>
        <v>30</v>
      </c>
      <c r="H1065" s="23">
        <f>G1065-I1065</f>
        <v>30</v>
      </c>
      <c r="I1065" s="114">
        <f>Overview!$E$97</f>
        <v>0</v>
      </c>
      <c r="J1065" s="24">
        <f>I1065/F1065</f>
        <v>0</v>
      </c>
      <c r="K1065" s="116">
        <f>Overview!$H$97</f>
        <v>0</v>
      </c>
      <c r="L1065" s="51" t="e">
        <f>(K1065-J1065)/K1065</f>
        <v>#DIV/0!</v>
      </c>
      <c r="M1065" s="179"/>
      <c r="N1065" s="179" t="s">
        <v>3144</v>
      </c>
      <c r="O1065" s="141">
        <f>I1065</f>
        <v>0</v>
      </c>
      <c r="P1065" s="181" t="b">
        <f>COUNTIF('Facility Data'!$A$1:$A$1500,"*"&amp;A1065&amp;"*")&gt;0</f>
        <v>0</v>
      </c>
      <c r="Q1065" s="181" t="b">
        <f>COUNTIF('Account Data'!$A$1:$A$1000,"*"&amp;A1065&amp;"*")&gt;0</f>
        <v>0</v>
      </c>
      <c r="R1065" s="182" t="b">
        <f t="shared" si="337"/>
        <v>0</v>
      </c>
      <c r="S1065" s="182" t="b">
        <f>IF(OR(Q1065=TRUE,T1065=TRUE),TRUE,FALSE)</f>
        <v>0</v>
      </c>
      <c r="T1065" s="181" t="b">
        <f>COUNTIF('New Items'!$A$1:$A$175,A1065)&gt;0</f>
        <v>0</v>
      </c>
      <c r="U1065" s="181" t="b">
        <f>COUNTIF(Discontinued!$A$1:$A$150,A1065)&gt;0</f>
        <v>0</v>
      </c>
    </row>
    <row r="1066" spans="1:21" s="8" customFormat="1" ht="11.25" x14ac:dyDescent="0.2">
      <c r="A1066" s="152">
        <v>10003153</v>
      </c>
      <c r="B1066" s="10" t="s">
        <v>3311</v>
      </c>
      <c r="C1066" s="12" t="s">
        <v>1462</v>
      </c>
      <c r="D1066" s="11" t="s">
        <v>724</v>
      </c>
      <c r="E1066" s="12" t="s">
        <v>772</v>
      </c>
      <c r="F1066" s="13">
        <v>12</v>
      </c>
      <c r="G1066" s="22">
        <f>Overview!$B$97</f>
        <v>30</v>
      </c>
      <c r="H1066" s="23">
        <f t="shared" si="338"/>
        <v>30</v>
      </c>
      <c r="I1066" s="114">
        <f>Overview!$E$97</f>
        <v>0</v>
      </c>
      <c r="J1066" s="24">
        <f t="shared" si="339"/>
        <v>0</v>
      </c>
      <c r="K1066" s="116">
        <f>Overview!$H$97</f>
        <v>0</v>
      </c>
      <c r="L1066" s="51" t="e">
        <f t="shared" si="340"/>
        <v>#DIV/0!</v>
      </c>
      <c r="M1066" s="179"/>
      <c r="N1066" s="179" t="s">
        <v>3144</v>
      </c>
      <c r="O1066" s="141">
        <f t="shared" si="336"/>
        <v>0</v>
      </c>
      <c r="P1066" s="181" t="b">
        <f>COUNTIF('Facility Data'!$A$1:$A$1500,"*"&amp;A1066&amp;"*")&gt;0</f>
        <v>0</v>
      </c>
      <c r="Q1066" s="181" t="b">
        <f>COUNTIF('Account Data'!$A$1:$A$1000,"*"&amp;A1066&amp;"*")&gt;0</f>
        <v>0</v>
      </c>
      <c r="R1066" s="182" t="b">
        <f t="shared" si="337"/>
        <v>0</v>
      </c>
      <c r="S1066" s="182" t="b">
        <f t="shared" si="335"/>
        <v>0</v>
      </c>
      <c r="T1066" s="181" t="b">
        <f>COUNTIF('New Items'!$A$1:$A$175,A1066)&gt;0</f>
        <v>0</v>
      </c>
      <c r="U1066" s="181" t="b">
        <f>COUNTIF(Discontinued!$A$1:$A$150,A1066)&gt;0</f>
        <v>0</v>
      </c>
    </row>
    <row r="1067" spans="1:21" s="8" customFormat="1" ht="11.25" x14ac:dyDescent="0.2">
      <c r="A1067" s="152">
        <v>10003150</v>
      </c>
      <c r="B1067" s="10" t="s">
        <v>3313</v>
      </c>
      <c r="C1067" s="12" t="s">
        <v>1464</v>
      </c>
      <c r="D1067" s="11" t="s">
        <v>1475</v>
      </c>
      <c r="E1067" s="12" t="s">
        <v>772</v>
      </c>
      <c r="F1067" s="13">
        <v>12</v>
      </c>
      <c r="G1067" s="22">
        <f>Overview!$B$97</f>
        <v>30</v>
      </c>
      <c r="H1067" s="23">
        <f t="shared" si="338"/>
        <v>30</v>
      </c>
      <c r="I1067" s="114">
        <f>Overview!$E$97</f>
        <v>0</v>
      </c>
      <c r="J1067" s="24">
        <f t="shared" si="339"/>
        <v>0</v>
      </c>
      <c r="K1067" s="116">
        <f>Overview!$H$97</f>
        <v>0</v>
      </c>
      <c r="L1067" s="51" t="e">
        <f t="shared" si="340"/>
        <v>#DIV/0!</v>
      </c>
      <c r="M1067" s="179"/>
      <c r="N1067" s="179" t="s">
        <v>3144</v>
      </c>
      <c r="O1067" s="141">
        <f t="shared" si="336"/>
        <v>0</v>
      </c>
      <c r="P1067" s="181" t="b">
        <f>COUNTIF('Facility Data'!$A$1:$A$1500,"*"&amp;A1067&amp;"*")&gt;0</f>
        <v>0</v>
      </c>
      <c r="Q1067" s="181" t="b">
        <f>COUNTIF('Account Data'!$A$1:$A$1000,"*"&amp;A1067&amp;"*")&gt;0</f>
        <v>0</v>
      </c>
      <c r="R1067" s="182" t="b">
        <f t="shared" si="337"/>
        <v>0</v>
      </c>
      <c r="S1067" s="182" t="b">
        <f t="shared" si="335"/>
        <v>0</v>
      </c>
      <c r="T1067" s="181" t="b">
        <f>COUNTIF('New Items'!$A$1:$A$175,A1067)&gt;0</f>
        <v>0</v>
      </c>
      <c r="U1067" s="181" t="b">
        <f>COUNTIF(Discontinued!$A$1:$A$150,A1067)&gt;0</f>
        <v>0</v>
      </c>
    </row>
    <row r="1068" spans="1:21" s="8" customFormat="1" ht="11.25" x14ac:dyDescent="0.2">
      <c r="A1068" s="152">
        <v>10003158</v>
      </c>
      <c r="B1068" s="10" t="s">
        <v>3315</v>
      </c>
      <c r="C1068" s="12" t="s">
        <v>1466</v>
      </c>
      <c r="D1068" s="11" t="s">
        <v>691</v>
      </c>
      <c r="E1068" s="12" t="s">
        <v>772</v>
      </c>
      <c r="F1068" s="13">
        <v>12</v>
      </c>
      <c r="G1068" s="22">
        <f>Overview!$B$97</f>
        <v>30</v>
      </c>
      <c r="H1068" s="23">
        <f>G1068-I1068</f>
        <v>30</v>
      </c>
      <c r="I1068" s="114">
        <f>Overview!$E$97</f>
        <v>0</v>
      </c>
      <c r="J1068" s="24">
        <f>I1068/F1068</f>
        <v>0</v>
      </c>
      <c r="K1068" s="116">
        <f>Overview!$H$97</f>
        <v>0</v>
      </c>
      <c r="L1068" s="51" t="e">
        <f>(K1068-J1068)/K1068</f>
        <v>#DIV/0!</v>
      </c>
      <c r="M1068" s="179"/>
      <c r="N1068" s="179" t="s">
        <v>3144</v>
      </c>
      <c r="O1068" s="141">
        <f>I1068</f>
        <v>0</v>
      </c>
      <c r="P1068" s="181" t="b">
        <f>COUNTIF('Facility Data'!$A$1:$A$1500,"*"&amp;A1068&amp;"*")&gt;0</f>
        <v>0</v>
      </c>
      <c r="Q1068" s="181" t="b">
        <f>COUNTIF('Account Data'!$A$1:$A$1000,"*"&amp;A1068&amp;"*")&gt;0</f>
        <v>0</v>
      </c>
      <c r="R1068" s="182" t="b">
        <f t="shared" si="337"/>
        <v>0</v>
      </c>
      <c r="S1068" s="182" t="b">
        <f>IF(OR(Q1068=TRUE,T1068=TRUE),TRUE,FALSE)</f>
        <v>0</v>
      </c>
      <c r="T1068" s="181" t="b">
        <f>COUNTIF('New Items'!$A$1:$A$175,A1068)&gt;0</f>
        <v>0</v>
      </c>
      <c r="U1068" s="181" t="b">
        <f>COUNTIF(Discontinued!$A$1:$A$150,A1068)&gt;0</f>
        <v>0</v>
      </c>
    </row>
    <row r="1069" spans="1:21" s="8" customFormat="1" ht="11.25" x14ac:dyDescent="0.2">
      <c r="A1069" s="152">
        <v>10003155</v>
      </c>
      <c r="B1069" s="10" t="s">
        <v>3314</v>
      </c>
      <c r="C1069" s="12" t="s">
        <v>1465</v>
      </c>
      <c r="D1069" s="11" t="s">
        <v>1476</v>
      </c>
      <c r="E1069" s="12" t="s">
        <v>772</v>
      </c>
      <c r="F1069" s="13">
        <v>12</v>
      </c>
      <c r="G1069" s="22">
        <f>Overview!$B$97</f>
        <v>30</v>
      </c>
      <c r="H1069" s="23">
        <f t="shared" si="338"/>
        <v>30</v>
      </c>
      <c r="I1069" s="114">
        <f>Overview!$E$97</f>
        <v>0</v>
      </c>
      <c r="J1069" s="24">
        <f t="shared" si="339"/>
        <v>0</v>
      </c>
      <c r="K1069" s="116">
        <f>Overview!$H$97</f>
        <v>0</v>
      </c>
      <c r="L1069" s="51" t="e">
        <f t="shared" si="340"/>
        <v>#DIV/0!</v>
      </c>
      <c r="M1069" s="179"/>
      <c r="N1069" s="179" t="s">
        <v>3144</v>
      </c>
      <c r="O1069" s="141">
        <f t="shared" si="336"/>
        <v>0</v>
      </c>
      <c r="P1069" s="181" t="b">
        <f>COUNTIF('Facility Data'!$A$1:$A$1500,"*"&amp;A1069&amp;"*")&gt;0</f>
        <v>0</v>
      </c>
      <c r="Q1069" s="181" t="b">
        <f>COUNTIF('Account Data'!$A$1:$A$1000,"*"&amp;A1069&amp;"*")&gt;0</f>
        <v>0</v>
      </c>
      <c r="R1069" s="182" t="b">
        <f t="shared" si="337"/>
        <v>0</v>
      </c>
      <c r="S1069" s="182" t="b">
        <f t="shared" si="335"/>
        <v>0</v>
      </c>
      <c r="T1069" s="181" t="b">
        <f>COUNTIF('New Items'!$A$1:$A$175,A1069)&gt;0</f>
        <v>0</v>
      </c>
      <c r="U1069" s="181" t="b">
        <f>COUNTIF(Discontinued!$A$1:$A$150,A1069)&gt;0</f>
        <v>0</v>
      </c>
    </row>
    <row r="1070" spans="1:21" s="8" customFormat="1" ht="11.25" x14ac:dyDescent="0.2">
      <c r="A1070" s="152">
        <v>10003149</v>
      </c>
      <c r="B1070" s="10" t="s">
        <v>3316</v>
      </c>
      <c r="C1070" s="12" t="s">
        <v>1467</v>
      </c>
      <c r="D1070" s="11" t="s">
        <v>1477</v>
      </c>
      <c r="E1070" s="12" t="s">
        <v>772</v>
      </c>
      <c r="F1070" s="13">
        <v>12</v>
      </c>
      <c r="G1070" s="22">
        <f>Overview!$B$97</f>
        <v>30</v>
      </c>
      <c r="H1070" s="23">
        <f t="shared" si="338"/>
        <v>30</v>
      </c>
      <c r="I1070" s="114">
        <f>Overview!$E$97</f>
        <v>0</v>
      </c>
      <c r="J1070" s="24">
        <f t="shared" si="339"/>
        <v>0</v>
      </c>
      <c r="K1070" s="116">
        <f>Overview!$H$97</f>
        <v>0</v>
      </c>
      <c r="L1070" s="51" t="e">
        <f t="shared" si="340"/>
        <v>#DIV/0!</v>
      </c>
      <c r="M1070" s="179"/>
      <c r="N1070" s="179" t="s">
        <v>3144</v>
      </c>
      <c r="O1070" s="141">
        <f t="shared" si="336"/>
        <v>0</v>
      </c>
      <c r="P1070" s="181" t="b">
        <f>COUNTIF('Facility Data'!$A$1:$A$1500,"*"&amp;A1070&amp;"*")&gt;0</f>
        <v>0</v>
      </c>
      <c r="Q1070" s="181" t="b">
        <f>COUNTIF('Account Data'!$A$1:$A$1000,"*"&amp;A1070&amp;"*")&gt;0</f>
        <v>0</v>
      </c>
      <c r="R1070" s="182" t="b">
        <f t="shared" si="337"/>
        <v>0</v>
      </c>
      <c r="S1070" s="182" t="b">
        <f t="shared" si="335"/>
        <v>0</v>
      </c>
      <c r="T1070" s="181" t="b">
        <f>COUNTIF('New Items'!$A$1:$A$175,A1070)&gt;0</f>
        <v>0</v>
      </c>
      <c r="U1070" s="181" t="b">
        <f>COUNTIF(Discontinued!$A$1:$A$150,A1070)&gt;0</f>
        <v>0</v>
      </c>
    </row>
    <row r="1071" spans="1:21" s="8" customFormat="1" ht="11.25" x14ac:dyDescent="0.2">
      <c r="A1071" s="152">
        <v>10056913</v>
      </c>
      <c r="B1071" s="10" t="s">
        <v>3318</v>
      </c>
      <c r="C1071" s="12" t="s">
        <v>1469</v>
      </c>
      <c r="D1071" s="11" t="s">
        <v>1479</v>
      </c>
      <c r="E1071" s="12" t="s">
        <v>772</v>
      </c>
      <c r="F1071" s="13">
        <v>12</v>
      </c>
      <c r="G1071" s="22">
        <f>Overview!$B$97</f>
        <v>30</v>
      </c>
      <c r="H1071" s="23">
        <f>G1071-I1071</f>
        <v>30</v>
      </c>
      <c r="I1071" s="114">
        <f>Overview!$E$97</f>
        <v>0</v>
      </c>
      <c r="J1071" s="24">
        <f>I1071/F1071</f>
        <v>0</v>
      </c>
      <c r="K1071" s="116">
        <f>Overview!$H$97</f>
        <v>0</v>
      </c>
      <c r="L1071" s="51" t="e">
        <f>(K1071-J1071)/K1071</f>
        <v>#DIV/0!</v>
      </c>
      <c r="M1071" s="179"/>
      <c r="N1071" s="179" t="s">
        <v>3144</v>
      </c>
      <c r="O1071" s="141">
        <f>I1071</f>
        <v>0</v>
      </c>
      <c r="P1071" s="181" t="b">
        <f>COUNTIF('Facility Data'!$A$1:$A$1500,"*"&amp;A1071&amp;"*")&gt;0</f>
        <v>0</v>
      </c>
      <c r="Q1071" s="181" t="b">
        <f>COUNTIF('Account Data'!$A$1:$A$1000,"*"&amp;A1071&amp;"*")&gt;0</f>
        <v>0</v>
      </c>
      <c r="R1071" s="182" t="b">
        <f t="shared" si="337"/>
        <v>0</v>
      </c>
      <c r="S1071" s="182" t="b">
        <f>IF(OR(Q1071=TRUE,T1071=TRUE),TRUE,FALSE)</f>
        <v>0</v>
      </c>
      <c r="T1071" s="181" t="b">
        <f>COUNTIF('New Items'!$A$1:$A$175,A1071)&gt;0</f>
        <v>0</v>
      </c>
      <c r="U1071" s="181" t="b">
        <f>COUNTIF(Discontinued!$A$1:$A$150,A1071)&gt;0</f>
        <v>0</v>
      </c>
    </row>
    <row r="1072" spans="1:21" s="8" customFormat="1" ht="11.25" x14ac:dyDescent="0.2">
      <c r="A1072" s="152">
        <v>10056911</v>
      </c>
      <c r="B1072" s="10" t="s">
        <v>3319</v>
      </c>
      <c r="C1072" s="12" t="s">
        <v>1470</v>
      </c>
      <c r="D1072" s="11" t="s">
        <v>1480</v>
      </c>
      <c r="E1072" s="12" t="s">
        <v>772</v>
      </c>
      <c r="F1072" s="13">
        <v>12</v>
      </c>
      <c r="G1072" s="22">
        <f>Overview!$B$97</f>
        <v>30</v>
      </c>
      <c r="H1072" s="23">
        <f>G1072-I1072</f>
        <v>30</v>
      </c>
      <c r="I1072" s="114">
        <f>Overview!$E$97</f>
        <v>0</v>
      </c>
      <c r="J1072" s="24">
        <f>I1072/F1072</f>
        <v>0</v>
      </c>
      <c r="K1072" s="116">
        <f>Overview!$H$97</f>
        <v>0</v>
      </c>
      <c r="L1072" s="51" t="e">
        <f>(K1072-J1072)/K1072</f>
        <v>#DIV/0!</v>
      </c>
      <c r="M1072" s="179"/>
      <c r="N1072" s="179" t="s">
        <v>3144</v>
      </c>
      <c r="O1072" s="141">
        <f>I1072</f>
        <v>0</v>
      </c>
      <c r="P1072" s="181" t="b">
        <f>COUNTIF('Facility Data'!$A$1:$A$1500,"*"&amp;A1072&amp;"*")&gt;0</f>
        <v>0</v>
      </c>
      <c r="Q1072" s="181" t="b">
        <f>COUNTIF('Account Data'!$A$1:$A$1000,"*"&amp;A1072&amp;"*")&gt;0</f>
        <v>0</v>
      </c>
      <c r="R1072" s="182" t="b">
        <f t="shared" si="337"/>
        <v>0</v>
      </c>
      <c r="S1072" s="182" t="b">
        <f>IF(OR(Q1072=TRUE,T1072=TRUE),TRUE,FALSE)</f>
        <v>0</v>
      </c>
      <c r="T1072" s="181" t="b">
        <f>COUNTIF('New Items'!$A$1:$A$175,A1072)&gt;0</f>
        <v>0</v>
      </c>
      <c r="U1072" s="181" t="b">
        <f>COUNTIF(Discontinued!$A$1:$A$150,A1072)&gt;0</f>
        <v>0</v>
      </c>
    </row>
    <row r="1073" spans="1:21" s="8" customFormat="1" ht="12" thickBot="1" x14ac:dyDescent="0.25">
      <c r="A1073" s="152">
        <v>10003156</v>
      </c>
      <c r="B1073" s="10" t="s">
        <v>3317</v>
      </c>
      <c r="C1073" s="12" t="s">
        <v>1468</v>
      </c>
      <c r="D1073" s="11" t="s">
        <v>1478</v>
      </c>
      <c r="E1073" s="12" t="s">
        <v>772</v>
      </c>
      <c r="F1073" s="13">
        <v>12</v>
      </c>
      <c r="G1073" s="22">
        <f>Overview!$B$97</f>
        <v>30</v>
      </c>
      <c r="H1073" s="23">
        <f t="shared" si="338"/>
        <v>30</v>
      </c>
      <c r="I1073" s="114">
        <f>Overview!$E$97</f>
        <v>0</v>
      </c>
      <c r="J1073" s="24">
        <f t="shared" si="339"/>
        <v>0</v>
      </c>
      <c r="K1073" s="116">
        <f>Overview!$H$97</f>
        <v>0</v>
      </c>
      <c r="L1073" s="51" t="e">
        <f t="shared" si="340"/>
        <v>#DIV/0!</v>
      </c>
      <c r="M1073" s="179"/>
      <c r="N1073" s="179" t="s">
        <v>3144</v>
      </c>
      <c r="O1073" s="141">
        <f t="shared" si="336"/>
        <v>0</v>
      </c>
      <c r="P1073" s="181" t="b">
        <f>COUNTIF('Facility Data'!$A$1:$A$1500,"*"&amp;A1073&amp;"*")&gt;0</f>
        <v>0</v>
      </c>
      <c r="Q1073" s="181" t="b">
        <f>COUNTIF('Account Data'!$A$1:$A$1000,"*"&amp;A1073&amp;"*")&gt;0</f>
        <v>0</v>
      </c>
      <c r="R1073" s="182" t="b">
        <f t="shared" si="337"/>
        <v>0</v>
      </c>
      <c r="S1073" s="182" t="b">
        <f t="shared" si="335"/>
        <v>0</v>
      </c>
      <c r="T1073" s="181" t="b">
        <f>COUNTIF('New Items'!$A$1:$A$175,A1073)&gt;0</f>
        <v>0</v>
      </c>
      <c r="U1073" s="181" t="b">
        <f>COUNTIF(Discontinued!$A$1:$A$150,A1073)&gt;0</f>
        <v>0</v>
      </c>
    </row>
    <row r="1074" spans="1:21" s="8" customFormat="1" ht="13.5" thickBot="1" x14ac:dyDescent="0.25">
      <c r="A1074" s="300" t="s">
        <v>3027</v>
      </c>
      <c r="B1074" s="301"/>
      <c r="C1074" s="301"/>
      <c r="D1074" s="301"/>
      <c r="E1074" s="301"/>
      <c r="F1074" s="301"/>
      <c r="G1074" s="301"/>
      <c r="H1074" s="301"/>
      <c r="I1074" s="301"/>
      <c r="J1074" s="301"/>
      <c r="K1074" s="301"/>
      <c r="L1074" s="302"/>
      <c r="M1074" s="179" t="s">
        <v>4361</v>
      </c>
      <c r="N1074" s="179" t="s">
        <v>3145</v>
      </c>
      <c r="O1074" s="141">
        <f>AVERAGE(O1075:O1083)</f>
        <v>0</v>
      </c>
      <c r="P1074" s="181" t="b">
        <f>COUNTIF(P1075:P1083,TRUE)&gt;0</f>
        <v>0</v>
      </c>
      <c r="Q1074" s="181" t="b">
        <f>COUNTIF(Q1075:Q1083,TRUE)&gt;0</f>
        <v>0</v>
      </c>
      <c r="R1074" s="181" t="b">
        <f>COUNTIF(R1075:R1083,TRUE)&gt;0</f>
        <v>0</v>
      </c>
      <c r="S1074" s="181" t="b">
        <f>COUNTIF(S1075:S1083,TRUE)&gt;0</f>
        <v>0</v>
      </c>
      <c r="T1074" s="181" t="b">
        <f>COUNTIF(T1075:T1083,TRUE)&gt;0</f>
        <v>0</v>
      </c>
      <c r="U1074" s="181"/>
    </row>
    <row r="1075" spans="1:21" s="8" customFormat="1" ht="11.25" x14ac:dyDescent="0.2">
      <c r="A1075" s="152">
        <v>10002917</v>
      </c>
      <c r="B1075" s="10" t="s">
        <v>3320</v>
      </c>
      <c r="C1075" s="12" t="s">
        <v>1464</v>
      </c>
      <c r="D1075" s="11" t="s">
        <v>1475</v>
      </c>
      <c r="E1075" s="12" t="s">
        <v>772</v>
      </c>
      <c r="F1075" s="13">
        <v>24</v>
      </c>
      <c r="G1075" s="22">
        <f>Overview!$B$98</f>
        <v>30</v>
      </c>
      <c r="H1075" s="23">
        <f>G1075-I1075</f>
        <v>30</v>
      </c>
      <c r="I1075" s="114">
        <f>Overview!$E$98</f>
        <v>0</v>
      </c>
      <c r="J1075" s="24">
        <f>I1075/F1075</f>
        <v>0</v>
      </c>
      <c r="K1075" s="116">
        <f>Overview!$H$98</f>
        <v>0</v>
      </c>
      <c r="L1075" s="51" t="e">
        <f>(K1075-J1075)/K1075</f>
        <v>#DIV/0!</v>
      </c>
      <c r="M1075" s="179"/>
      <c r="N1075" s="179" t="s">
        <v>3145</v>
      </c>
      <c r="O1075" s="141">
        <f t="shared" ref="O1075:O1083" si="341">I1075</f>
        <v>0</v>
      </c>
      <c r="P1075" s="181" t="b">
        <f>COUNTIF('Facility Data'!$A$1:$A$1500,"*"&amp;A1075&amp;"*")&gt;0</f>
        <v>0</v>
      </c>
      <c r="Q1075" s="181" t="b">
        <f>COUNTIF('Account Data'!$A$1:$A$1000,"*"&amp;A1075&amp;"*")&gt;0</f>
        <v>0</v>
      </c>
      <c r="R1075" s="182" t="b">
        <f t="shared" ref="R1075:R1083" si="342">IF(OR(P1075=TRUE,T1075=TRUE),TRUE,FALSE)</f>
        <v>0</v>
      </c>
      <c r="S1075" s="182" t="b">
        <f t="shared" si="335"/>
        <v>0</v>
      </c>
      <c r="T1075" s="181" t="b">
        <f>COUNTIF('New Items'!$A$1:$A$175,A1075)&gt;0</f>
        <v>0</v>
      </c>
      <c r="U1075" s="181" t="b">
        <f>COUNTIF(Discontinued!$A$1:$A$150,A1075)&gt;0</f>
        <v>0</v>
      </c>
    </row>
    <row r="1076" spans="1:21" s="8" customFormat="1" ht="11.25" x14ac:dyDescent="0.2">
      <c r="A1076" s="152">
        <v>10002921</v>
      </c>
      <c r="B1076" s="10" t="s">
        <v>3322</v>
      </c>
      <c r="C1076" s="12" t="s">
        <v>1466</v>
      </c>
      <c r="D1076" s="11" t="s">
        <v>691</v>
      </c>
      <c r="E1076" s="12" t="s">
        <v>772</v>
      </c>
      <c r="F1076" s="13">
        <v>24</v>
      </c>
      <c r="G1076" s="22">
        <f>Overview!$B$98</f>
        <v>30</v>
      </c>
      <c r="H1076" s="23">
        <f>G1076-I1076</f>
        <v>30</v>
      </c>
      <c r="I1076" s="114">
        <f>Overview!$E$98</f>
        <v>0</v>
      </c>
      <c r="J1076" s="24">
        <f>I1076/F1076</f>
        <v>0</v>
      </c>
      <c r="K1076" s="116">
        <f>Overview!$H$98</f>
        <v>0</v>
      </c>
      <c r="L1076" s="51" t="e">
        <f>(K1076-J1076)/K1076</f>
        <v>#DIV/0!</v>
      </c>
      <c r="M1076" s="179"/>
      <c r="N1076" s="179" t="s">
        <v>3145</v>
      </c>
      <c r="O1076" s="141">
        <f>I1076</f>
        <v>0</v>
      </c>
      <c r="P1076" s="181" t="b">
        <f>COUNTIF('Facility Data'!$A$1:$A$1500,"*"&amp;A1076&amp;"*")&gt;0</f>
        <v>0</v>
      </c>
      <c r="Q1076" s="181" t="b">
        <f>COUNTIF('Account Data'!$A$1:$A$1000,"*"&amp;A1076&amp;"*")&gt;0</f>
        <v>0</v>
      </c>
      <c r="R1076" s="182" t="b">
        <f t="shared" si="342"/>
        <v>0</v>
      </c>
      <c r="S1076" s="182" t="b">
        <f>IF(OR(Q1076=TRUE,T1076=TRUE),TRUE,FALSE)</f>
        <v>0</v>
      </c>
      <c r="T1076" s="181" t="b">
        <f>COUNTIF('New Items'!$A$1:$A$175,A1076)&gt;0</f>
        <v>0</v>
      </c>
      <c r="U1076" s="181" t="b">
        <f>COUNTIF(Discontinued!$A$1:$A$150,A1076)&gt;0</f>
        <v>0</v>
      </c>
    </row>
    <row r="1077" spans="1:21" s="8" customFormat="1" ht="11.25" x14ac:dyDescent="0.2">
      <c r="A1077" s="152">
        <v>10002920</v>
      </c>
      <c r="B1077" s="10" t="s">
        <v>3321</v>
      </c>
      <c r="C1077" s="12" t="s">
        <v>1465</v>
      </c>
      <c r="D1077" s="11" t="s">
        <v>1476</v>
      </c>
      <c r="E1077" s="12" t="s">
        <v>772</v>
      </c>
      <c r="F1077" s="13">
        <v>24</v>
      </c>
      <c r="G1077" s="22">
        <f>Overview!$B$98</f>
        <v>30</v>
      </c>
      <c r="H1077" s="23">
        <f t="shared" ref="H1077:H1083" si="343">G1077-I1077</f>
        <v>30</v>
      </c>
      <c r="I1077" s="114">
        <f>Overview!$E$98</f>
        <v>0</v>
      </c>
      <c r="J1077" s="24">
        <f t="shared" ref="J1077:J1083" si="344">I1077/F1077</f>
        <v>0</v>
      </c>
      <c r="K1077" s="116">
        <f>Overview!$H$98</f>
        <v>0</v>
      </c>
      <c r="L1077" s="51" t="e">
        <f t="shared" ref="L1077:L1083" si="345">(K1077-J1077)/K1077</f>
        <v>#DIV/0!</v>
      </c>
      <c r="M1077" s="179"/>
      <c r="N1077" s="179" t="s">
        <v>3145</v>
      </c>
      <c r="O1077" s="141">
        <f t="shared" si="341"/>
        <v>0</v>
      </c>
      <c r="P1077" s="181" t="b">
        <f>COUNTIF('Facility Data'!$A$1:$A$1500,"*"&amp;A1077&amp;"*")&gt;0</f>
        <v>0</v>
      </c>
      <c r="Q1077" s="181" t="b">
        <f>COUNTIF('Account Data'!$A$1:$A$1000,"*"&amp;A1077&amp;"*")&gt;0</f>
        <v>0</v>
      </c>
      <c r="R1077" s="182" t="b">
        <f t="shared" si="342"/>
        <v>0</v>
      </c>
      <c r="S1077" s="182" t="b">
        <f t="shared" si="335"/>
        <v>0</v>
      </c>
      <c r="T1077" s="181" t="b">
        <f>COUNTIF('New Items'!$A$1:$A$175,A1077)&gt;0</f>
        <v>0</v>
      </c>
      <c r="U1077" s="181" t="b">
        <f>COUNTIF(Discontinued!$A$1:$A$150,A1077)&gt;0</f>
        <v>0</v>
      </c>
    </row>
    <row r="1078" spans="1:21" s="8" customFormat="1" ht="11.25" x14ac:dyDescent="0.2">
      <c r="A1078" s="152">
        <v>10002919</v>
      </c>
      <c r="B1078" s="10" t="s">
        <v>3323</v>
      </c>
      <c r="C1078" s="12" t="s">
        <v>1467</v>
      </c>
      <c r="D1078" s="11" t="s">
        <v>1477</v>
      </c>
      <c r="E1078" s="12" t="s">
        <v>772</v>
      </c>
      <c r="F1078" s="13">
        <v>24</v>
      </c>
      <c r="G1078" s="22">
        <f>Overview!$B$98</f>
        <v>30</v>
      </c>
      <c r="H1078" s="23">
        <f t="shared" si="343"/>
        <v>30</v>
      </c>
      <c r="I1078" s="114">
        <f>Overview!$E$98</f>
        <v>0</v>
      </c>
      <c r="J1078" s="24">
        <f t="shared" si="344"/>
        <v>0</v>
      </c>
      <c r="K1078" s="116">
        <f>Overview!$H$98</f>
        <v>0</v>
      </c>
      <c r="L1078" s="51" t="e">
        <f t="shared" si="345"/>
        <v>#DIV/0!</v>
      </c>
      <c r="M1078" s="179"/>
      <c r="N1078" s="179" t="s">
        <v>3145</v>
      </c>
      <c r="O1078" s="141">
        <f t="shared" si="341"/>
        <v>0</v>
      </c>
      <c r="P1078" s="181" t="b">
        <f>COUNTIF('Facility Data'!$A$1:$A$1500,"*"&amp;A1078&amp;"*")&gt;0</f>
        <v>0</v>
      </c>
      <c r="Q1078" s="181" t="b">
        <f>COUNTIF('Account Data'!$A$1:$A$1000,"*"&amp;A1078&amp;"*")&gt;0</f>
        <v>0</v>
      </c>
      <c r="R1078" s="182" t="b">
        <f t="shared" si="342"/>
        <v>0</v>
      </c>
      <c r="S1078" s="182" t="b">
        <f t="shared" si="335"/>
        <v>0</v>
      </c>
      <c r="T1078" s="181" t="b">
        <f>COUNTIF('New Items'!$A$1:$A$175,A1078)&gt;0</f>
        <v>0</v>
      </c>
      <c r="U1078" s="181" t="b">
        <f>COUNTIF(Discontinued!$A$1:$A$150,A1078)&gt;0</f>
        <v>0</v>
      </c>
    </row>
    <row r="1079" spans="1:21" s="8" customFormat="1" ht="11.25" x14ac:dyDescent="0.2">
      <c r="A1079" s="152">
        <v>10002925</v>
      </c>
      <c r="B1079" s="10" t="s">
        <v>3326</v>
      </c>
      <c r="C1079" s="12" t="s">
        <v>1469</v>
      </c>
      <c r="D1079" s="11" t="s">
        <v>1479</v>
      </c>
      <c r="E1079" s="12" t="s">
        <v>772</v>
      </c>
      <c r="F1079" s="13">
        <v>24</v>
      </c>
      <c r="G1079" s="22">
        <f>Overview!$B$98</f>
        <v>30</v>
      </c>
      <c r="H1079" s="23">
        <f>G1079-I1079</f>
        <v>30</v>
      </c>
      <c r="I1079" s="114">
        <f>Overview!$E$98</f>
        <v>0</v>
      </c>
      <c r="J1079" s="24">
        <f>I1079/F1079</f>
        <v>0</v>
      </c>
      <c r="K1079" s="116">
        <f>Overview!$H$98</f>
        <v>0</v>
      </c>
      <c r="L1079" s="51" t="e">
        <f>(K1079-J1079)/K1079</f>
        <v>#DIV/0!</v>
      </c>
      <c r="M1079" s="179"/>
      <c r="N1079" s="179" t="s">
        <v>3145</v>
      </c>
      <c r="O1079" s="141">
        <f>I1079</f>
        <v>0</v>
      </c>
      <c r="P1079" s="181" t="b">
        <f>COUNTIF('Facility Data'!$A$1:$A$1500,"*"&amp;A1079&amp;"*")&gt;0</f>
        <v>0</v>
      </c>
      <c r="Q1079" s="181" t="b">
        <f>COUNTIF('Account Data'!$A$1:$A$1000,"*"&amp;A1079&amp;"*")&gt;0</f>
        <v>0</v>
      </c>
      <c r="R1079" s="182" t="b">
        <f t="shared" si="342"/>
        <v>0</v>
      </c>
      <c r="S1079" s="182" t="b">
        <f>IF(OR(Q1079=TRUE,T1079=TRUE),TRUE,FALSE)</f>
        <v>0</v>
      </c>
      <c r="T1079" s="181" t="b">
        <f>COUNTIF('New Items'!$A$1:$A$175,A1079)&gt;0</f>
        <v>0</v>
      </c>
      <c r="U1079" s="181" t="b">
        <f>COUNTIF(Discontinued!$A$1:$A$150,A1079)&gt;0</f>
        <v>0</v>
      </c>
    </row>
    <row r="1080" spans="1:21" s="8" customFormat="1" ht="11.25" x14ac:dyDescent="0.2">
      <c r="A1080" s="152">
        <v>10002922</v>
      </c>
      <c r="B1080" s="10" t="s">
        <v>3327</v>
      </c>
      <c r="C1080" s="12" t="s">
        <v>1470</v>
      </c>
      <c r="D1080" s="11" t="s">
        <v>1480</v>
      </c>
      <c r="E1080" s="12" t="s">
        <v>772</v>
      </c>
      <c r="F1080" s="13">
        <v>24</v>
      </c>
      <c r="G1080" s="22">
        <f>Overview!$B$98</f>
        <v>30</v>
      </c>
      <c r="H1080" s="23">
        <f>G1080-I1080</f>
        <v>30</v>
      </c>
      <c r="I1080" s="114">
        <f>Overview!$E$98</f>
        <v>0</v>
      </c>
      <c r="J1080" s="24">
        <f>I1080/F1080</f>
        <v>0</v>
      </c>
      <c r="K1080" s="116">
        <f>Overview!$H$98</f>
        <v>0</v>
      </c>
      <c r="L1080" s="51" t="e">
        <f>(K1080-J1080)/K1080</f>
        <v>#DIV/0!</v>
      </c>
      <c r="M1080" s="179"/>
      <c r="N1080" s="179" t="s">
        <v>3145</v>
      </c>
      <c r="O1080" s="141">
        <f>I1080</f>
        <v>0</v>
      </c>
      <c r="P1080" s="181" t="b">
        <f>COUNTIF('Facility Data'!$A$1:$A$1500,"*"&amp;A1080&amp;"*")&gt;0</f>
        <v>0</v>
      </c>
      <c r="Q1080" s="181" t="b">
        <f>COUNTIF('Account Data'!$A$1:$A$1000,"*"&amp;A1080&amp;"*")&gt;0</f>
        <v>0</v>
      </c>
      <c r="R1080" s="182" t="b">
        <f t="shared" si="342"/>
        <v>0</v>
      </c>
      <c r="S1080" s="182" t="b">
        <f>IF(OR(Q1080=TRUE,T1080=TRUE),TRUE,FALSE)</f>
        <v>0</v>
      </c>
      <c r="T1080" s="181" t="b">
        <f>COUNTIF('New Items'!$A$1:$A$175,A1080)&gt;0</f>
        <v>0</v>
      </c>
      <c r="U1080" s="181" t="b">
        <f>COUNTIF(Discontinued!$A$1:$A$150,A1080)&gt;0</f>
        <v>0</v>
      </c>
    </row>
    <row r="1081" spans="1:21" s="8" customFormat="1" ht="11.25" x14ac:dyDescent="0.2">
      <c r="A1081" s="152">
        <v>10002924</v>
      </c>
      <c r="B1081" s="10" t="s">
        <v>3324</v>
      </c>
      <c r="C1081" s="12" t="s">
        <v>3028</v>
      </c>
      <c r="D1081" s="11" t="s">
        <v>3032</v>
      </c>
      <c r="E1081" s="12" t="s">
        <v>772</v>
      </c>
      <c r="F1081" s="13">
        <v>24</v>
      </c>
      <c r="G1081" s="22">
        <f>Overview!$B$98</f>
        <v>30</v>
      </c>
      <c r="H1081" s="23">
        <f t="shared" si="343"/>
        <v>30</v>
      </c>
      <c r="I1081" s="114">
        <f>Overview!$E$98</f>
        <v>0</v>
      </c>
      <c r="J1081" s="24">
        <f t="shared" si="344"/>
        <v>0</v>
      </c>
      <c r="K1081" s="116">
        <f>Overview!$H$98</f>
        <v>0</v>
      </c>
      <c r="L1081" s="51" t="e">
        <f t="shared" si="345"/>
        <v>#DIV/0!</v>
      </c>
      <c r="M1081" s="179"/>
      <c r="N1081" s="179" t="s">
        <v>3145</v>
      </c>
      <c r="O1081" s="141">
        <f t="shared" si="341"/>
        <v>0</v>
      </c>
      <c r="P1081" s="181" t="b">
        <f>COUNTIF('Facility Data'!$A$1:$A$1500,"*"&amp;A1081&amp;"*")&gt;0</f>
        <v>0</v>
      </c>
      <c r="Q1081" s="181" t="b">
        <f>COUNTIF('Account Data'!$A$1:$A$1000,"*"&amp;A1081&amp;"*")&gt;0</f>
        <v>0</v>
      </c>
      <c r="R1081" s="182" t="b">
        <f t="shared" si="342"/>
        <v>0</v>
      </c>
      <c r="S1081" s="182" t="b">
        <f t="shared" si="335"/>
        <v>0</v>
      </c>
      <c r="T1081" s="181" t="b">
        <f>COUNTIF('New Items'!$A$1:$A$175,A1081)&gt;0</f>
        <v>0</v>
      </c>
      <c r="U1081" s="181" t="b">
        <f>COUNTIF(Discontinued!$A$1:$A$150,A1081)&gt;0</f>
        <v>0</v>
      </c>
    </row>
    <row r="1082" spans="1:21" s="8" customFormat="1" ht="11.25" x14ac:dyDescent="0.2">
      <c r="A1082" s="152">
        <v>10002923</v>
      </c>
      <c r="B1082" s="10" t="s">
        <v>3325</v>
      </c>
      <c r="C1082" s="12" t="s">
        <v>3029</v>
      </c>
      <c r="D1082" s="11" t="s">
        <v>3031</v>
      </c>
      <c r="E1082" s="12" t="s">
        <v>772</v>
      </c>
      <c r="F1082" s="13">
        <v>24</v>
      </c>
      <c r="G1082" s="22">
        <f>Overview!$B$98</f>
        <v>30</v>
      </c>
      <c r="H1082" s="23">
        <f t="shared" si="343"/>
        <v>30</v>
      </c>
      <c r="I1082" s="114">
        <f>Overview!$E$98</f>
        <v>0</v>
      </c>
      <c r="J1082" s="24">
        <f t="shared" si="344"/>
        <v>0</v>
      </c>
      <c r="K1082" s="116">
        <f>Overview!$H$98</f>
        <v>0</v>
      </c>
      <c r="L1082" s="51" t="e">
        <f t="shared" si="345"/>
        <v>#DIV/0!</v>
      </c>
      <c r="M1082" s="179"/>
      <c r="N1082" s="179" t="s">
        <v>3145</v>
      </c>
      <c r="O1082" s="141">
        <f t="shared" si="341"/>
        <v>0</v>
      </c>
      <c r="P1082" s="181" t="b">
        <f>COUNTIF('Facility Data'!$A$1:$A$1500,"*"&amp;A1082&amp;"*")&gt;0</f>
        <v>0</v>
      </c>
      <c r="Q1082" s="181" t="b">
        <f>COUNTIF('Account Data'!$A$1:$A$1000,"*"&amp;A1082&amp;"*")&gt;0</f>
        <v>0</v>
      </c>
      <c r="R1082" s="182" t="b">
        <f t="shared" si="342"/>
        <v>0</v>
      </c>
      <c r="S1082" s="182" t="b">
        <f t="shared" si="335"/>
        <v>0</v>
      </c>
      <c r="T1082" s="181" t="b">
        <f>COUNTIF('New Items'!$A$1:$A$175,A1082)&gt;0</f>
        <v>0</v>
      </c>
      <c r="U1082" s="181" t="b">
        <f>COUNTIF(Discontinued!$A$1:$A$150,A1082)&gt;0</f>
        <v>0</v>
      </c>
    </row>
    <row r="1083" spans="1:21" s="8" customFormat="1" ht="12" thickBot="1" x14ac:dyDescent="0.25">
      <c r="A1083" s="152">
        <v>10002918</v>
      </c>
      <c r="B1083" s="10" t="s">
        <v>3328</v>
      </c>
      <c r="C1083" s="12" t="s">
        <v>3030</v>
      </c>
      <c r="D1083" s="11" t="s">
        <v>3033</v>
      </c>
      <c r="E1083" s="12" t="s">
        <v>772</v>
      </c>
      <c r="F1083" s="13">
        <v>24</v>
      </c>
      <c r="G1083" s="22">
        <f>Overview!$B$98</f>
        <v>30</v>
      </c>
      <c r="H1083" s="23">
        <f t="shared" si="343"/>
        <v>30</v>
      </c>
      <c r="I1083" s="114">
        <f>Overview!$E$98</f>
        <v>0</v>
      </c>
      <c r="J1083" s="24">
        <f t="shared" si="344"/>
        <v>0</v>
      </c>
      <c r="K1083" s="116">
        <f>Overview!$H$98</f>
        <v>0</v>
      </c>
      <c r="L1083" s="51" t="e">
        <f t="shared" si="345"/>
        <v>#DIV/0!</v>
      </c>
      <c r="M1083" s="179"/>
      <c r="N1083" s="179" t="s">
        <v>3145</v>
      </c>
      <c r="O1083" s="141">
        <f t="shared" si="341"/>
        <v>0</v>
      </c>
      <c r="P1083" s="181" t="b">
        <f>COUNTIF('Facility Data'!$A$1:$A$1500,"*"&amp;A1083&amp;"*")&gt;0</f>
        <v>0</v>
      </c>
      <c r="Q1083" s="181" t="b">
        <f>COUNTIF('Account Data'!$A$1:$A$1000,"*"&amp;A1083&amp;"*")&gt;0</f>
        <v>0</v>
      </c>
      <c r="R1083" s="182" t="b">
        <f t="shared" si="342"/>
        <v>0</v>
      </c>
      <c r="S1083" s="182" t="b">
        <f t="shared" si="335"/>
        <v>0</v>
      </c>
      <c r="T1083" s="181" t="b">
        <f>COUNTIF('New Items'!$A$1:$A$175,A1083)&gt;0</f>
        <v>0</v>
      </c>
      <c r="U1083" s="181" t="b">
        <f>COUNTIF(Discontinued!$A$1:$A$150,A1083)&gt;0</f>
        <v>0</v>
      </c>
    </row>
    <row r="1084" spans="1:21" s="8" customFormat="1" ht="13.5" thickBot="1" x14ac:dyDescent="0.25">
      <c r="A1084" s="300" t="s">
        <v>3034</v>
      </c>
      <c r="B1084" s="301"/>
      <c r="C1084" s="301"/>
      <c r="D1084" s="301"/>
      <c r="E1084" s="301"/>
      <c r="F1084" s="301"/>
      <c r="G1084" s="301"/>
      <c r="H1084" s="301"/>
      <c r="I1084" s="301"/>
      <c r="J1084" s="301"/>
      <c r="K1084" s="301"/>
      <c r="L1084" s="302"/>
      <c r="M1084" s="179" t="s">
        <v>4361</v>
      </c>
      <c r="N1084" s="179" t="s">
        <v>3146</v>
      </c>
      <c r="O1084" s="141">
        <f>AVERAGE(O1085:O1088)</f>
        <v>0</v>
      </c>
      <c r="P1084" s="181" t="b">
        <f>COUNTIF(P1085:P1088,TRUE)&gt;0</f>
        <v>0</v>
      </c>
      <c r="Q1084" s="181" t="b">
        <f>COUNTIF(Q1085:Q1088,TRUE)&gt;0</f>
        <v>0</v>
      </c>
      <c r="R1084" s="181" t="b">
        <f>COUNTIF(R1085:R1088,TRUE)&gt;0</f>
        <v>0</v>
      </c>
      <c r="S1084" s="181" t="b">
        <f>COUNTIF(S1085:S1088,TRUE)&gt;0</f>
        <v>0</v>
      </c>
      <c r="T1084" s="181" t="b">
        <f>COUNTIF(T1085:T1088,TRUE)&gt;0</f>
        <v>0</v>
      </c>
      <c r="U1084" s="181"/>
    </row>
    <row r="1085" spans="1:21" s="8" customFormat="1" ht="11.25" x14ac:dyDescent="0.2">
      <c r="A1085" s="152">
        <v>10002731</v>
      </c>
      <c r="B1085" s="10" t="s">
        <v>3038</v>
      </c>
      <c r="C1085" s="12" t="s">
        <v>3037</v>
      </c>
      <c r="D1085" s="11" t="s">
        <v>1471</v>
      </c>
      <c r="E1085" s="12" t="s">
        <v>780</v>
      </c>
      <c r="F1085" s="13">
        <v>8</v>
      </c>
      <c r="G1085" s="22">
        <f>Overview!$B$99</f>
        <v>24</v>
      </c>
      <c r="H1085" s="23">
        <f>G1085-I1085</f>
        <v>24</v>
      </c>
      <c r="I1085" s="114">
        <f>Overview!$E$99</f>
        <v>0</v>
      </c>
      <c r="J1085" s="24">
        <f>I1085/F1085</f>
        <v>0</v>
      </c>
      <c r="K1085" s="116">
        <f>Overview!$H$99</f>
        <v>0</v>
      </c>
      <c r="L1085" s="51" t="e">
        <f>(K1085-J1085)/K1085</f>
        <v>#DIV/0!</v>
      </c>
      <c r="M1085" s="179"/>
      <c r="N1085" s="179" t="s">
        <v>3146</v>
      </c>
      <c r="O1085" s="141">
        <f>I1085</f>
        <v>0</v>
      </c>
      <c r="P1085" s="181" t="b">
        <f>COUNTIF('Facility Data'!$A$1:$A$1500,"*"&amp;A1085&amp;"*")&gt;0</f>
        <v>0</v>
      </c>
      <c r="Q1085" s="181" t="b">
        <f>COUNTIF('Account Data'!$A$1:$A$1000,"*"&amp;A1085&amp;"*")&gt;0</f>
        <v>0</v>
      </c>
      <c r="R1085" s="182" t="b">
        <f>IF(OR(P1085=TRUE,T1085=TRUE),TRUE,FALSE)</f>
        <v>0</v>
      </c>
      <c r="S1085" s="182" t="b">
        <f>IF(OR(Q1085=TRUE,T1085=TRUE),TRUE,FALSE)</f>
        <v>0</v>
      </c>
      <c r="T1085" s="181" t="b">
        <f>COUNTIF('New Items'!$A$1:$A$175,A1085)&gt;0</f>
        <v>0</v>
      </c>
      <c r="U1085" s="181" t="b">
        <f>COUNTIF(Discontinued!$A$1:$A$150,A1085)&gt;0</f>
        <v>0</v>
      </c>
    </row>
    <row r="1086" spans="1:21" s="8" customFormat="1" ht="11.25" x14ac:dyDescent="0.2">
      <c r="A1086" s="152">
        <v>10002698</v>
      </c>
      <c r="B1086" s="10" t="s">
        <v>3039</v>
      </c>
      <c r="C1086" s="12" t="s">
        <v>3040</v>
      </c>
      <c r="D1086" s="11" t="s">
        <v>1472</v>
      </c>
      <c r="E1086" s="12" t="s">
        <v>780</v>
      </c>
      <c r="F1086" s="13">
        <v>8</v>
      </c>
      <c r="G1086" s="22">
        <f>Overview!$B$99</f>
        <v>24</v>
      </c>
      <c r="H1086" s="23">
        <f>G1086-I1086</f>
        <v>24</v>
      </c>
      <c r="I1086" s="114">
        <f>Overview!$E$99</f>
        <v>0</v>
      </c>
      <c r="J1086" s="24">
        <f>I1086/F1086</f>
        <v>0</v>
      </c>
      <c r="K1086" s="116">
        <f>Overview!$H$99</f>
        <v>0</v>
      </c>
      <c r="L1086" s="51" t="e">
        <f>(K1086-J1086)/K1086</f>
        <v>#DIV/0!</v>
      </c>
      <c r="M1086" s="179"/>
      <c r="N1086" s="179" t="s">
        <v>3146</v>
      </c>
      <c r="O1086" s="141">
        <f>I1086</f>
        <v>0</v>
      </c>
      <c r="P1086" s="181" t="b">
        <f>COUNTIF('Facility Data'!$A$1:$A$1500,"*"&amp;A1086&amp;"*")&gt;0</f>
        <v>0</v>
      </c>
      <c r="Q1086" s="181" t="b">
        <f>COUNTIF('Account Data'!$A$1:$A$1000,"*"&amp;A1086&amp;"*")&gt;0</f>
        <v>0</v>
      </c>
      <c r="R1086" s="182" t="b">
        <f>IF(OR(P1086=TRUE,T1086=TRUE),TRUE,FALSE)</f>
        <v>0</v>
      </c>
      <c r="S1086" s="182" t="b">
        <f>IF(OR(Q1086=TRUE,T1086=TRUE),TRUE,FALSE)</f>
        <v>0</v>
      </c>
      <c r="T1086" s="181" t="b">
        <f>COUNTIF('New Items'!$A$1:$A$175,A1086)&gt;0</f>
        <v>0</v>
      </c>
      <c r="U1086" s="181" t="b">
        <f>COUNTIF(Discontinued!$A$1:$A$150,A1086)&gt;0</f>
        <v>0</v>
      </c>
    </row>
    <row r="1087" spans="1:21" s="8" customFormat="1" ht="11.25" x14ac:dyDescent="0.2">
      <c r="A1087" s="152">
        <v>10002760</v>
      </c>
      <c r="B1087" s="10" t="s">
        <v>3041</v>
      </c>
      <c r="C1087" s="12" t="s">
        <v>3042</v>
      </c>
      <c r="D1087" s="11" t="s">
        <v>1473</v>
      </c>
      <c r="E1087" s="12" t="s">
        <v>780</v>
      </c>
      <c r="F1087" s="13">
        <v>8</v>
      </c>
      <c r="G1087" s="22">
        <f>Overview!$B$99</f>
        <v>24</v>
      </c>
      <c r="H1087" s="23">
        <f>G1087-I1087</f>
        <v>24</v>
      </c>
      <c r="I1087" s="114">
        <f>Overview!$E$99</f>
        <v>0</v>
      </c>
      <c r="J1087" s="24">
        <f>I1087/F1087</f>
        <v>0</v>
      </c>
      <c r="K1087" s="116">
        <f>Overview!$H$99</f>
        <v>0</v>
      </c>
      <c r="L1087" s="51" t="e">
        <f>(K1087-J1087)/K1087</f>
        <v>#DIV/0!</v>
      </c>
      <c r="M1087" s="179"/>
      <c r="N1087" s="179" t="s">
        <v>3146</v>
      </c>
      <c r="O1087" s="141">
        <f>I1087</f>
        <v>0</v>
      </c>
      <c r="P1087" s="181" t="b">
        <f>COUNTIF('Facility Data'!$A$1:$A$1500,"*"&amp;A1087&amp;"*")&gt;0</f>
        <v>0</v>
      </c>
      <c r="Q1087" s="181" t="b">
        <f>COUNTIF('Account Data'!$A$1:$A$1000,"*"&amp;A1087&amp;"*")&gt;0</f>
        <v>0</v>
      </c>
      <c r="R1087" s="182" t="b">
        <f>IF(OR(P1087=TRUE,T1087=TRUE),TRUE,FALSE)</f>
        <v>0</v>
      </c>
      <c r="S1087" s="182" t="b">
        <f>IF(OR(Q1087=TRUE,T1087=TRUE),TRUE,FALSE)</f>
        <v>0</v>
      </c>
      <c r="T1087" s="181" t="b">
        <f>COUNTIF('New Items'!$A$1:$A$175,A1087)&gt;0</f>
        <v>0</v>
      </c>
      <c r="U1087" s="181" t="b">
        <f>COUNTIF(Discontinued!$A$1:$A$150,A1087)&gt;0</f>
        <v>0</v>
      </c>
    </row>
    <row r="1088" spans="1:21" s="8" customFormat="1" ht="12" thickBot="1" x14ac:dyDescent="0.25">
      <c r="A1088" s="152">
        <v>10002752</v>
      </c>
      <c r="B1088" s="10" t="s">
        <v>3036</v>
      </c>
      <c r="C1088" s="12" t="s">
        <v>3037</v>
      </c>
      <c r="D1088" s="11" t="s">
        <v>3035</v>
      </c>
      <c r="E1088" s="12" t="s">
        <v>780</v>
      </c>
      <c r="F1088" s="13">
        <v>4</v>
      </c>
      <c r="G1088" s="22">
        <f>Overview!$B$100</f>
        <v>24</v>
      </c>
      <c r="H1088" s="23">
        <f>G1088-I1088</f>
        <v>24</v>
      </c>
      <c r="I1088" s="114">
        <f>Overview!$E$100</f>
        <v>0</v>
      </c>
      <c r="J1088" s="24">
        <f>I1088/F1088</f>
        <v>0</v>
      </c>
      <c r="K1088" s="116">
        <f>Overview!$H$100</f>
        <v>0</v>
      </c>
      <c r="L1088" s="51" t="e">
        <f>(K1088-J1088)/K1088</f>
        <v>#DIV/0!</v>
      </c>
      <c r="M1088" s="179"/>
      <c r="N1088" s="179" t="s">
        <v>3146</v>
      </c>
      <c r="O1088" s="141">
        <f>I1088</f>
        <v>0</v>
      </c>
      <c r="P1088" s="181" t="b">
        <f>COUNTIF('Facility Data'!$A$1:$A$1500,"*"&amp;A1088&amp;"*")&gt;0</f>
        <v>0</v>
      </c>
      <c r="Q1088" s="181" t="b">
        <f>COUNTIF('Account Data'!$A$1:$A$1000,"*"&amp;A1088&amp;"*")&gt;0</f>
        <v>0</v>
      </c>
      <c r="R1088" s="182" t="b">
        <f>IF(OR(P1088=TRUE,T1088=TRUE),TRUE,FALSE)</f>
        <v>0</v>
      </c>
      <c r="S1088" s="182" t="b">
        <f t="shared" si="335"/>
        <v>0</v>
      </c>
      <c r="T1088" s="181" t="b">
        <f>COUNTIF('New Items'!$A$1:$A$175,A1088)&gt;0</f>
        <v>0</v>
      </c>
      <c r="U1088" s="181" t="b">
        <f>COUNTIF(Discontinued!$A$1:$A$150,A1088)&gt;0</f>
        <v>0</v>
      </c>
    </row>
    <row r="1089" spans="1:21" s="8" customFormat="1" ht="13.5" thickBot="1" x14ac:dyDescent="0.25">
      <c r="A1089" s="300" t="s">
        <v>1481</v>
      </c>
      <c r="B1089" s="301"/>
      <c r="C1089" s="301"/>
      <c r="D1089" s="301"/>
      <c r="E1089" s="301"/>
      <c r="F1089" s="301"/>
      <c r="G1089" s="301"/>
      <c r="H1089" s="301"/>
      <c r="I1089" s="301"/>
      <c r="J1089" s="301"/>
      <c r="K1089" s="301"/>
      <c r="L1089" s="302"/>
      <c r="M1089" s="179" t="s">
        <v>4361</v>
      </c>
      <c r="N1089" s="179" t="s">
        <v>3147</v>
      </c>
      <c r="O1089" s="141">
        <f>AVERAGE(O1090:O1105)</f>
        <v>0</v>
      </c>
      <c r="P1089" s="181" t="b">
        <f>COUNTIF(P1090:P1105,TRUE)&gt;0</f>
        <v>0</v>
      </c>
      <c r="Q1089" s="181" t="b">
        <f>COUNTIF(Q1090:Q1105,TRUE)&gt;0</f>
        <v>0</v>
      </c>
      <c r="R1089" s="181" t="b">
        <f>COUNTIF(R1090:R1105,TRUE)&gt;0</f>
        <v>0</v>
      </c>
      <c r="S1089" s="181" t="b">
        <f>COUNTIF(S1090:S1105,TRUE)&gt;0</f>
        <v>0</v>
      </c>
      <c r="T1089" s="181" t="b">
        <f>COUNTIF(T1090:T1105,TRUE)&gt;0</f>
        <v>0</v>
      </c>
      <c r="U1089" s="181"/>
    </row>
    <row r="1090" spans="1:21" s="8" customFormat="1" ht="11.25" x14ac:dyDescent="0.2">
      <c r="A1090" s="152">
        <v>10081669</v>
      </c>
      <c r="B1090" s="10" t="s">
        <v>3331</v>
      </c>
      <c r="C1090" s="12" t="s">
        <v>1484</v>
      </c>
      <c r="D1090" s="11" t="s">
        <v>1504</v>
      </c>
      <c r="E1090" s="12" t="s">
        <v>772</v>
      </c>
      <c r="F1090" s="13">
        <v>12</v>
      </c>
      <c r="G1090" s="22">
        <f>Overview!$B$101</f>
        <v>36</v>
      </c>
      <c r="H1090" s="23">
        <f>G1090-I1090</f>
        <v>36</v>
      </c>
      <c r="I1090" s="114">
        <f>Overview!$E$101</f>
        <v>0</v>
      </c>
      <c r="J1090" s="24">
        <f>I1090/F1090</f>
        <v>0</v>
      </c>
      <c r="K1090" s="116">
        <f>Overview!$H$101</f>
        <v>0</v>
      </c>
      <c r="L1090" s="51" t="e">
        <f>(K1090-J1090)/K1090</f>
        <v>#DIV/0!</v>
      </c>
      <c r="M1090" s="179"/>
      <c r="N1090" s="179" t="s">
        <v>3147</v>
      </c>
      <c r="O1090" s="141">
        <f>I1090</f>
        <v>0</v>
      </c>
      <c r="P1090" s="181" t="b">
        <f>COUNTIF('Facility Data'!$A$1:$A$1500,"*"&amp;A1090&amp;"*")&gt;0</f>
        <v>0</v>
      </c>
      <c r="Q1090" s="181" t="b">
        <f>COUNTIF('Account Data'!$A$1:$A$1000,"*"&amp;A1090&amp;"*")&gt;0</f>
        <v>0</v>
      </c>
      <c r="R1090" s="182" t="b">
        <f t="shared" ref="R1090:R1105" si="346">IF(OR(P1090=TRUE,T1090=TRUE),TRUE,FALSE)</f>
        <v>0</v>
      </c>
      <c r="S1090" s="182" t="b">
        <f>IF(OR(Q1090=TRUE,T1090=TRUE),TRUE,FALSE)</f>
        <v>0</v>
      </c>
      <c r="T1090" s="181" t="b">
        <f>COUNTIF('New Items'!$A$1:$A$175,A1090)&gt;0</f>
        <v>0</v>
      </c>
      <c r="U1090" s="181" t="b">
        <f>COUNTIF(Discontinued!$A$1:$A$150,A1090)&gt;0</f>
        <v>0</v>
      </c>
    </row>
    <row r="1091" spans="1:21" s="8" customFormat="1" ht="11.25" x14ac:dyDescent="0.2">
      <c r="A1091" s="152">
        <v>10081665</v>
      </c>
      <c r="B1091" s="10" t="s">
        <v>3329</v>
      </c>
      <c r="C1091" s="12" t="s">
        <v>1482</v>
      </c>
      <c r="D1091" s="11" t="s">
        <v>1500</v>
      </c>
      <c r="E1091" s="12" t="s">
        <v>772</v>
      </c>
      <c r="F1091" s="13">
        <v>12</v>
      </c>
      <c r="G1091" s="22">
        <f>Overview!$B$101</f>
        <v>36</v>
      </c>
      <c r="H1091" s="23">
        <f>G1091-I1091</f>
        <v>36</v>
      </c>
      <c r="I1091" s="114">
        <f>Overview!$E$101</f>
        <v>0</v>
      </c>
      <c r="J1091" s="24">
        <f>I1091/F1091</f>
        <v>0</v>
      </c>
      <c r="K1091" s="116">
        <f>Overview!$H$101</f>
        <v>0</v>
      </c>
      <c r="L1091" s="51" t="e">
        <f>(K1091-J1091)/K1091</f>
        <v>#DIV/0!</v>
      </c>
      <c r="M1091" s="179"/>
      <c r="N1091" s="179" t="s">
        <v>3147</v>
      </c>
      <c r="O1091" s="141">
        <f t="shared" ref="O1091:O1105" si="347">I1091</f>
        <v>0</v>
      </c>
      <c r="P1091" s="181" t="b">
        <f>COUNTIF('Facility Data'!$A$1:$A$1500,"*"&amp;A1091&amp;"*")&gt;0</f>
        <v>0</v>
      </c>
      <c r="Q1091" s="181" t="b">
        <f>COUNTIF('Account Data'!$A$1:$A$1000,"*"&amp;A1091&amp;"*")&gt;0</f>
        <v>0</v>
      </c>
      <c r="R1091" s="182" t="b">
        <f t="shared" si="346"/>
        <v>0</v>
      </c>
      <c r="S1091" s="182" t="b">
        <f t="shared" si="335"/>
        <v>0</v>
      </c>
      <c r="T1091" s="181" t="b">
        <f>COUNTIF('New Items'!$A$1:$A$175,A1091)&gt;0</f>
        <v>0</v>
      </c>
      <c r="U1091" s="181" t="b">
        <f>COUNTIF(Discontinued!$A$1:$A$150,A1091)&gt;0</f>
        <v>0</v>
      </c>
    </row>
    <row r="1092" spans="1:21" s="8" customFormat="1" ht="11.25" x14ac:dyDescent="0.2">
      <c r="A1092" s="152">
        <v>10081629</v>
      </c>
      <c r="B1092" s="10" t="s">
        <v>3334</v>
      </c>
      <c r="C1092" s="12" t="s">
        <v>1487</v>
      </c>
      <c r="D1092" s="11" t="s">
        <v>1507</v>
      </c>
      <c r="E1092" s="12" t="s">
        <v>772</v>
      </c>
      <c r="F1092" s="13">
        <v>12</v>
      </c>
      <c r="G1092" s="22">
        <f>Overview!$B$101</f>
        <v>36</v>
      </c>
      <c r="H1092" s="23">
        <f>G1092-I1092</f>
        <v>36</v>
      </c>
      <c r="I1092" s="114">
        <f>Overview!$E$101</f>
        <v>0</v>
      </c>
      <c r="J1092" s="24">
        <f>I1092/F1092</f>
        <v>0</v>
      </c>
      <c r="K1092" s="116">
        <f>Overview!$H$101</f>
        <v>0</v>
      </c>
      <c r="L1092" s="51" t="e">
        <f>(K1092-J1092)/K1092</f>
        <v>#DIV/0!</v>
      </c>
      <c r="M1092" s="179"/>
      <c r="N1092" s="179" t="s">
        <v>3147</v>
      </c>
      <c r="O1092" s="141">
        <f>I1092</f>
        <v>0</v>
      </c>
      <c r="P1092" s="181" t="b">
        <f>COUNTIF('Facility Data'!$A$1:$A$1500,"*"&amp;A1092&amp;"*")&gt;0</f>
        <v>0</v>
      </c>
      <c r="Q1092" s="181" t="b">
        <f>COUNTIF('Account Data'!$A$1:$A$1000,"*"&amp;A1092&amp;"*")&gt;0</f>
        <v>0</v>
      </c>
      <c r="R1092" s="182" t="b">
        <f t="shared" si="346"/>
        <v>0</v>
      </c>
      <c r="S1092" s="182" t="b">
        <f>IF(OR(Q1092=TRUE,T1092=TRUE),TRUE,FALSE)</f>
        <v>0</v>
      </c>
      <c r="T1092" s="181" t="b">
        <f>COUNTIF('New Items'!$A$1:$A$175,A1092)&gt;0</f>
        <v>0</v>
      </c>
      <c r="U1092" s="181" t="b">
        <f>COUNTIF(Discontinued!$A$1:$A$150,A1092)&gt;0</f>
        <v>0</v>
      </c>
    </row>
    <row r="1093" spans="1:21" s="8" customFormat="1" ht="11.25" x14ac:dyDescent="0.2">
      <c r="A1093" s="152">
        <v>10081664</v>
      </c>
      <c r="B1093" s="10" t="s">
        <v>3338</v>
      </c>
      <c r="C1093" s="12" t="s">
        <v>1493</v>
      </c>
      <c r="D1093" s="11" t="s">
        <v>1505</v>
      </c>
      <c r="E1093" s="12" t="s">
        <v>772</v>
      </c>
      <c r="F1093" s="13">
        <v>12</v>
      </c>
      <c r="G1093" s="22">
        <f>Overview!$B$101</f>
        <v>36</v>
      </c>
      <c r="H1093" s="23">
        <f>G1093-I1093</f>
        <v>36</v>
      </c>
      <c r="I1093" s="114">
        <f>Overview!$E$101</f>
        <v>0</v>
      </c>
      <c r="J1093" s="24">
        <f>I1093/F1093</f>
        <v>0</v>
      </c>
      <c r="K1093" s="116">
        <f>Overview!$H$101</f>
        <v>0</v>
      </c>
      <c r="L1093" s="51" t="e">
        <f>(K1093-J1093)/K1093</f>
        <v>#DIV/0!</v>
      </c>
      <c r="M1093" s="179"/>
      <c r="N1093" s="179" t="s">
        <v>3147</v>
      </c>
      <c r="O1093" s="141">
        <f>I1093</f>
        <v>0</v>
      </c>
      <c r="P1093" s="181" t="b">
        <f>COUNTIF('Facility Data'!$A$1:$A$1500,"*"&amp;A1093&amp;"*")&gt;0</f>
        <v>0</v>
      </c>
      <c r="Q1093" s="181" t="b">
        <f>COUNTIF('Account Data'!$A$1:$A$1000,"*"&amp;A1093&amp;"*")&gt;0</f>
        <v>0</v>
      </c>
      <c r="R1093" s="182" t="b">
        <f t="shared" si="346"/>
        <v>0</v>
      </c>
      <c r="S1093" s="182" t="b">
        <f>IF(OR(Q1093=TRUE,T1093=TRUE),TRUE,FALSE)</f>
        <v>0</v>
      </c>
      <c r="T1093" s="181" t="b">
        <f>COUNTIF('New Items'!$A$1:$A$175,A1093)&gt;0</f>
        <v>0</v>
      </c>
      <c r="U1093" s="181" t="b">
        <f>COUNTIF(Discontinued!$A$1:$A$150,A1093)&gt;0</f>
        <v>0</v>
      </c>
    </row>
    <row r="1094" spans="1:21" s="8" customFormat="1" ht="11.25" x14ac:dyDescent="0.2">
      <c r="A1094" s="152">
        <v>10081663</v>
      </c>
      <c r="B1094" s="10" t="s">
        <v>3330</v>
      </c>
      <c r="C1094" s="12" t="s">
        <v>1483</v>
      </c>
      <c r="D1094" s="11" t="s">
        <v>697</v>
      </c>
      <c r="E1094" s="12" t="s">
        <v>772</v>
      </c>
      <c r="F1094" s="13">
        <v>12</v>
      </c>
      <c r="G1094" s="22">
        <f>Overview!$B$101</f>
        <v>36</v>
      </c>
      <c r="H1094" s="23">
        <f t="shared" ref="H1094:H1100" si="348">G1094-I1094</f>
        <v>36</v>
      </c>
      <c r="I1094" s="114">
        <f>Overview!$E$101</f>
        <v>0</v>
      </c>
      <c r="J1094" s="24">
        <f t="shared" ref="J1094:J1100" si="349">I1094/F1094</f>
        <v>0</v>
      </c>
      <c r="K1094" s="116">
        <f>Overview!$H$101</f>
        <v>0</v>
      </c>
      <c r="L1094" s="51" t="e">
        <f t="shared" ref="L1094:L1100" si="350">(K1094-J1094)/K1094</f>
        <v>#DIV/0!</v>
      </c>
      <c r="M1094" s="179"/>
      <c r="N1094" s="179" t="s">
        <v>3147</v>
      </c>
      <c r="O1094" s="141">
        <f t="shared" si="347"/>
        <v>0</v>
      </c>
      <c r="P1094" s="181" t="b">
        <f>COUNTIF('Facility Data'!$A$1:$A$1500,"*"&amp;A1094&amp;"*")&gt;0</f>
        <v>0</v>
      </c>
      <c r="Q1094" s="181" t="b">
        <f>COUNTIF('Account Data'!$A$1:$A$1000,"*"&amp;A1094&amp;"*")&gt;0</f>
        <v>0</v>
      </c>
      <c r="R1094" s="182" t="b">
        <f t="shared" si="346"/>
        <v>0</v>
      </c>
      <c r="S1094" s="182" t="b">
        <f t="shared" si="335"/>
        <v>0</v>
      </c>
      <c r="T1094" s="181" t="b">
        <f>COUNTIF('New Items'!$A$1:$A$175,A1094)&gt;0</f>
        <v>0</v>
      </c>
      <c r="U1094" s="181" t="b">
        <f>COUNTIF(Discontinued!$A$1:$A$150,A1094)&gt;0</f>
        <v>0</v>
      </c>
    </row>
    <row r="1095" spans="1:21" s="8" customFormat="1" ht="11.25" x14ac:dyDescent="0.2">
      <c r="A1095" s="152">
        <v>10081656</v>
      </c>
      <c r="B1095" s="10" t="s">
        <v>1490</v>
      </c>
      <c r="C1095" s="12" t="s">
        <v>1491</v>
      </c>
      <c r="D1095" s="11" t="s">
        <v>1506</v>
      </c>
      <c r="E1095" s="12" t="s">
        <v>772</v>
      </c>
      <c r="F1095" s="13">
        <v>12</v>
      </c>
      <c r="G1095" s="22">
        <f>Overview!$B$101</f>
        <v>36</v>
      </c>
      <c r="H1095" s="23">
        <f>G1095-I1095</f>
        <v>36</v>
      </c>
      <c r="I1095" s="114">
        <f>Overview!$E$101</f>
        <v>0</v>
      </c>
      <c r="J1095" s="24">
        <f>I1095/F1095</f>
        <v>0</v>
      </c>
      <c r="K1095" s="116">
        <f>Overview!$H$101</f>
        <v>0</v>
      </c>
      <c r="L1095" s="51" t="e">
        <f>(K1095-J1095)/K1095</f>
        <v>#DIV/0!</v>
      </c>
      <c r="M1095" s="179"/>
      <c r="N1095" s="179" t="s">
        <v>3147</v>
      </c>
      <c r="O1095" s="141">
        <f>I1095</f>
        <v>0</v>
      </c>
      <c r="P1095" s="181" t="b">
        <f>COUNTIF('Facility Data'!$A$1:$A$1500,"*"&amp;A1095&amp;"*")&gt;0</f>
        <v>0</v>
      </c>
      <c r="Q1095" s="181" t="b">
        <f>COUNTIF('Account Data'!$A$1:$A$1000,"*"&amp;A1095&amp;"*")&gt;0</f>
        <v>0</v>
      </c>
      <c r="R1095" s="182" t="b">
        <f t="shared" si="346"/>
        <v>0</v>
      </c>
      <c r="S1095" s="182" t="b">
        <f>IF(OR(Q1095=TRUE,T1095=TRUE),TRUE,FALSE)</f>
        <v>0</v>
      </c>
      <c r="T1095" s="181" t="b">
        <f>COUNTIF('New Items'!$A$1:$A$175,A1095)&gt;0</f>
        <v>0</v>
      </c>
      <c r="U1095" s="181" t="b">
        <f>COUNTIF(Discontinued!$A$1:$A$150,A1095)&gt;0</f>
        <v>0</v>
      </c>
    </row>
    <row r="1096" spans="1:21" s="8" customFormat="1" ht="11.25" x14ac:dyDescent="0.2">
      <c r="A1096" s="152">
        <v>10081666</v>
      </c>
      <c r="B1096" s="10" t="s">
        <v>3335</v>
      </c>
      <c r="C1096" s="12" t="s">
        <v>1488</v>
      </c>
      <c r="D1096" s="11" t="s">
        <v>1513</v>
      </c>
      <c r="E1096" s="12" t="s">
        <v>772</v>
      </c>
      <c r="F1096" s="13">
        <v>12</v>
      </c>
      <c r="G1096" s="22">
        <f>Overview!$B$101</f>
        <v>36</v>
      </c>
      <c r="H1096" s="23">
        <f>G1096-I1096</f>
        <v>36</v>
      </c>
      <c r="I1096" s="114">
        <f>Overview!$E$101</f>
        <v>0</v>
      </c>
      <c r="J1096" s="24">
        <f>I1096/F1096</f>
        <v>0</v>
      </c>
      <c r="K1096" s="116">
        <f>Overview!$H$101</f>
        <v>0</v>
      </c>
      <c r="L1096" s="51" t="e">
        <f>(K1096-J1096)/K1096</f>
        <v>#DIV/0!</v>
      </c>
      <c r="M1096" s="179"/>
      <c r="N1096" s="179" t="s">
        <v>3147</v>
      </c>
      <c r="O1096" s="141">
        <f>I1096</f>
        <v>0</v>
      </c>
      <c r="P1096" s="181" t="b">
        <f>COUNTIF('Facility Data'!$A$1:$A$1500,"*"&amp;A1096&amp;"*")&gt;0</f>
        <v>0</v>
      </c>
      <c r="Q1096" s="181" t="b">
        <f>COUNTIF('Account Data'!$A$1:$A$1000,"*"&amp;A1096&amp;"*")&gt;0</f>
        <v>0</v>
      </c>
      <c r="R1096" s="182" t="b">
        <f t="shared" si="346"/>
        <v>0</v>
      </c>
      <c r="S1096" s="182" t="b">
        <f>IF(OR(Q1096=TRUE,T1096=TRUE),TRUE,FALSE)</f>
        <v>0</v>
      </c>
      <c r="T1096" s="181" t="b">
        <f>COUNTIF('New Items'!$A$1:$A$175,A1096)&gt;0</f>
        <v>0</v>
      </c>
      <c r="U1096" s="181" t="b">
        <f>COUNTIF(Discontinued!$A$1:$A$150,A1096)&gt;0</f>
        <v>0</v>
      </c>
    </row>
    <row r="1097" spans="1:21" s="8" customFormat="1" ht="11.25" x14ac:dyDescent="0.2">
      <c r="A1097" s="152">
        <v>10081626</v>
      </c>
      <c r="B1097" s="10" t="s">
        <v>3337</v>
      </c>
      <c r="C1097" s="12" t="s">
        <v>1492</v>
      </c>
      <c r="D1097" s="11" t="s">
        <v>1512</v>
      </c>
      <c r="E1097" s="12" t="s">
        <v>772</v>
      </c>
      <c r="F1097" s="13">
        <v>12</v>
      </c>
      <c r="G1097" s="22">
        <f>Overview!$B$101</f>
        <v>36</v>
      </c>
      <c r="H1097" s="23">
        <f>G1097-I1097</f>
        <v>36</v>
      </c>
      <c r="I1097" s="114">
        <f>Overview!$E$101</f>
        <v>0</v>
      </c>
      <c r="J1097" s="24">
        <f>I1097/F1097</f>
        <v>0</v>
      </c>
      <c r="K1097" s="116">
        <f>Overview!$H$101</f>
        <v>0</v>
      </c>
      <c r="L1097" s="51" t="e">
        <f>(K1097-J1097)/K1097</f>
        <v>#DIV/0!</v>
      </c>
      <c r="M1097" s="179"/>
      <c r="N1097" s="179" t="s">
        <v>3147</v>
      </c>
      <c r="O1097" s="141">
        <f>I1097</f>
        <v>0</v>
      </c>
      <c r="P1097" s="181" t="b">
        <f>COUNTIF('Facility Data'!$A$1:$A$1500,"*"&amp;A1097&amp;"*")&gt;0</f>
        <v>0</v>
      </c>
      <c r="Q1097" s="181" t="b">
        <f>COUNTIF('Account Data'!$A$1:$A$1000,"*"&amp;A1097&amp;"*")&gt;0</f>
        <v>0</v>
      </c>
      <c r="R1097" s="182" t="b">
        <f t="shared" si="346"/>
        <v>0</v>
      </c>
      <c r="S1097" s="182" t="b">
        <f>IF(OR(Q1097=TRUE,T1097=TRUE),TRUE,FALSE)</f>
        <v>0</v>
      </c>
      <c r="T1097" s="181" t="b">
        <f>COUNTIF('New Items'!$A$1:$A$175,A1097)&gt;0</f>
        <v>0</v>
      </c>
      <c r="U1097" s="181" t="b">
        <f>COUNTIF(Discontinued!$A$1:$A$150,A1097)&gt;0</f>
        <v>0</v>
      </c>
    </row>
    <row r="1098" spans="1:21" s="8" customFormat="1" ht="11.25" x14ac:dyDescent="0.2">
      <c r="A1098" s="152">
        <v>10081667</v>
      </c>
      <c r="B1098" s="10" t="s">
        <v>3332</v>
      </c>
      <c r="C1098" s="12" t="s">
        <v>1485</v>
      </c>
      <c r="D1098" s="11" t="s">
        <v>1501</v>
      </c>
      <c r="E1098" s="12" t="s">
        <v>772</v>
      </c>
      <c r="F1098" s="13">
        <v>12</v>
      </c>
      <c r="G1098" s="22">
        <f>Overview!$B$101</f>
        <v>36</v>
      </c>
      <c r="H1098" s="23">
        <f t="shared" si="348"/>
        <v>36</v>
      </c>
      <c r="I1098" s="114">
        <f>Overview!$E$101</f>
        <v>0</v>
      </c>
      <c r="J1098" s="24">
        <f t="shared" si="349"/>
        <v>0</v>
      </c>
      <c r="K1098" s="116">
        <f>Overview!$H$101</f>
        <v>0</v>
      </c>
      <c r="L1098" s="51" t="e">
        <f t="shared" si="350"/>
        <v>#DIV/0!</v>
      </c>
      <c r="M1098" s="179"/>
      <c r="N1098" s="179" t="s">
        <v>3147</v>
      </c>
      <c r="O1098" s="141">
        <f t="shared" si="347"/>
        <v>0</v>
      </c>
      <c r="P1098" s="181" t="b">
        <f>COUNTIF('Facility Data'!$A$1:$A$1500,"*"&amp;A1098&amp;"*")&gt;0</f>
        <v>0</v>
      </c>
      <c r="Q1098" s="181" t="b">
        <f>COUNTIF('Account Data'!$A$1:$A$1000,"*"&amp;A1098&amp;"*")&gt;0</f>
        <v>0</v>
      </c>
      <c r="R1098" s="182" t="b">
        <f t="shared" si="346"/>
        <v>0</v>
      </c>
      <c r="S1098" s="182" t="b">
        <f t="shared" si="335"/>
        <v>0</v>
      </c>
      <c r="T1098" s="181" t="b">
        <f>COUNTIF('New Items'!$A$1:$A$175,A1098)&gt;0</f>
        <v>0</v>
      </c>
      <c r="U1098" s="181" t="b">
        <f>COUNTIF(Discontinued!$A$1:$A$150,A1098)&gt;0</f>
        <v>0</v>
      </c>
    </row>
    <row r="1099" spans="1:21" s="8" customFormat="1" ht="11.25" x14ac:dyDescent="0.2">
      <c r="A1099" s="152">
        <v>10081668</v>
      </c>
      <c r="B1099" s="10" t="s">
        <v>3341</v>
      </c>
      <c r="C1099" s="12" t="s">
        <v>1498</v>
      </c>
      <c r="D1099" s="11" t="s">
        <v>1514</v>
      </c>
      <c r="E1099" s="12" t="s">
        <v>772</v>
      </c>
      <c r="F1099" s="13">
        <v>12</v>
      </c>
      <c r="G1099" s="22">
        <f>Overview!$B$101</f>
        <v>36</v>
      </c>
      <c r="H1099" s="23">
        <f>G1099-I1099</f>
        <v>36</v>
      </c>
      <c r="I1099" s="114">
        <f>Overview!$E$101</f>
        <v>0</v>
      </c>
      <c r="J1099" s="24">
        <f>I1099/F1099</f>
        <v>0</v>
      </c>
      <c r="K1099" s="116">
        <f>Overview!$H$101</f>
        <v>0</v>
      </c>
      <c r="L1099" s="51" t="e">
        <f>(K1099-J1099)/K1099</f>
        <v>#DIV/0!</v>
      </c>
      <c r="M1099" s="179"/>
      <c r="N1099" s="179" t="s">
        <v>3147</v>
      </c>
      <c r="O1099" s="141">
        <f>I1099</f>
        <v>0</v>
      </c>
      <c r="P1099" s="181" t="b">
        <f>COUNTIF('Facility Data'!$A$1:$A$1500,"*"&amp;A1099&amp;"*")&gt;0</f>
        <v>0</v>
      </c>
      <c r="Q1099" s="181" t="b">
        <f>COUNTIF('Account Data'!$A$1:$A$1000,"*"&amp;A1099&amp;"*")&gt;0</f>
        <v>0</v>
      </c>
      <c r="R1099" s="182" t="b">
        <f t="shared" si="346"/>
        <v>0</v>
      </c>
      <c r="S1099" s="182" t="b">
        <f>IF(OR(Q1099=TRUE,T1099=TRUE),TRUE,FALSE)</f>
        <v>0</v>
      </c>
      <c r="T1099" s="181" t="b">
        <f>COUNTIF('New Items'!$A$1:$A$175,A1099)&gt;0</f>
        <v>0</v>
      </c>
      <c r="U1099" s="181" t="b">
        <f>COUNTIF(Discontinued!$A$1:$A$150,A1099)&gt;0</f>
        <v>0</v>
      </c>
    </row>
    <row r="1100" spans="1:21" s="8" customFormat="1" ht="11.25" x14ac:dyDescent="0.2">
      <c r="A1100" s="152">
        <v>10081625</v>
      </c>
      <c r="B1100" s="10" t="s">
        <v>3333</v>
      </c>
      <c r="C1100" s="12" t="s">
        <v>1486</v>
      </c>
      <c r="D1100" s="11" t="s">
        <v>1510</v>
      </c>
      <c r="E1100" s="12" t="s">
        <v>772</v>
      </c>
      <c r="F1100" s="13">
        <v>12</v>
      </c>
      <c r="G1100" s="22">
        <f>Overview!$B$101</f>
        <v>36</v>
      </c>
      <c r="H1100" s="23">
        <f t="shared" si="348"/>
        <v>36</v>
      </c>
      <c r="I1100" s="114">
        <f>Overview!$E$101</f>
        <v>0</v>
      </c>
      <c r="J1100" s="24">
        <f t="shared" si="349"/>
        <v>0</v>
      </c>
      <c r="K1100" s="116">
        <f>Overview!$H$101</f>
        <v>0</v>
      </c>
      <c r="L1100" s="51" t="e">
        <f t="shared" si="350"/>
        <v>#DIV/0!</v>
      </c>
      <c r="M1100" s="179"/>
      <c r="N1100" s="179" t="s">
        <v>3147</v>
      </c>
      <c r="O1100" s="141">
        <f t="shared" si="347"/>
        <v>0</v>
      </c>
      <c r="P1100" s="181" t="b">
        <f>COUNTIF('Facility Data'!$A$1:$A$1500,"*"&amp;A1100&amp;"*")&gt;0</f>
        <v>0</v>
      </c>
      <c r="Q1100" s="181" t="b">
        <f>COUNTIF('Account Data'!$A$1:$A$1000,"*"&amp;A1100&amp;"*")&gt;0</f>
        <v>0</v>
      </c>
      <c r="R1100" s="182" t="b">
        <f t="shared" si="346"/>
        <v>0</v>
      </c>
      <c r="S1100" s="182" t="b">
        <f t="shared" si="335"/>
        <v>0</v>
      </c>
      <c r="T1100" s="181" t="b">
        <f>COUNTIF('New Items'!$A$1:$A$175,A1100)&gt;0</f>
        <v>0</v>
      </c>
      <c r="U1100" s="181" t="b">
        <f>COUNTIF(Discontinued!$A$1:$A$150,A1100)&gt;0</f>
        <v>0</v>
      </c>
    </row>
    <row r="1101" spans="1:21" s="8" customFormat="1" ht="11.25" x14ac:dyDescent="0.2">
      <c r="A1101" s="152">
        <v>10081627</v>
      </c>
      <c r="B1101" s="10" t="s">
        <v>3336</v>
      </c>
      <c r="C1101" s="12" t="s">
        <v>1489</v>
      </c>
      <c r="D1101" s="11" t="s">
        <v>1509</v>
      </c>
      <c r="E1101" s="12" t="s">
        <v>772</v>
      </c>
      <c r="F1101" s="13">
        <v>12</v>
      </c>
      <c r="G1101" s="22">
        <f>Overview!$B$101</f>
        <v>36</v>
      </c>
      <c r="H1101" s="23">
        <f>G1101-I1101</f>
        <v>36</v>
      </c>
      <c r="I1101" s="114">
        <f>Overview!$E$101</f>
        <v>0</v>
      </c>
      <c r="J1101" s="24">
        <f>I1101/F1101</f>
        <v>0</v>
      </c>
      <c r="K1101" s="116">
        <f>Overview!$H$101</f>
        <v>0</v>
      </c>
      <c r="L1101" s="51" t="e">
        <f>(K1101-J1101)/K1101</f>
        <v>#DIV/0!</v>
      </c>
      <c r="M1101" s="179"/>
      <c r="N1101" s="179" t="s">
        <v>3147</v>
      </c>
      <c r="O1101" s="141">
        <f t="shared" si="347"/>
        <v>0</v>
      </c>
      <c r="P1101" s="181" t="b">
        <f>COUNTIF('Facility Data'!$A$1:$A$1500,"*"&amp;A1101&amp;"*")&gt;0</f>
        <v>0</v>
      </c>
      <c r="Q1101" s="181" t="b">
        <f>COUNTIF('Account Data'!$A$1:$A$1000,"*"&amp;A1101&amp;"*")&gt;0</f>
        <v>0</v>
      </c>
      <c r="R1101" s="182" t="b">
        <f t="shared" si="346"/>
        <v>0</v>
      </c>
      <c r="S1101" s="182" t="b">
        <f t="shared" si="335"/>
        <v>0</v>
      </c>
      <c r="T1101" s="181" t="b">
        <f>COUNTIF('New Items'!$A$1:$A$175,A1101)&gt;0</f>
        <v>0</v>
      </c>
      <c r="U1101" s="181" t="b">
        <f>COUNTIF(Discontinued!$A$1:$A$150,A1101)&gt;0</f>
        <v>0</v>
      </c>
    </row>
    <row r="1102" spans="1:21" s="8" customFormat="1" ht="11.25" x14ac:dyDescent="0.2">
      <c r="A1102" s="152">
        <v>10081670</v>
      </c>
      <c r="B1102" s="10" t="s">
        <v>3340</v>
      </c>
      <c r="C1102" s="12" t="s">
        <v>1497</v>
      </c>
      <c r="D1102" s="11" t="s">
        <v>1508</v>
      </c>
      <c r="E1102" s="12" t="s">
        <v>772</v>
      </c>
      <c r="F1102" s="13">
        <v>12</v>
      </c>
      <c r="G1102" s="22">
        <f>Overview!$B$101</f>
        <v>36</v>
      </c>
      <c r="H1102" s="23">
        <f>G1102-I1102</f>
        <v>36</v>
      </c>
      <c r="I1102" s="114">
        <f>Overview!$E$101</f>
        <v>0</v>
      </c>
      <c r="J1102" s="24">
        <f>I1102/F1102</f>
        <v>0</v>
      </c>
      <c r="K1102" s="116">
        <f>Overview!$H$101</f>
        <v>0</v>
      </c>
      <c r="L1102" s="51" t="e">
        <f>(K1102-J1102)/K1102</f>
        <v>#DIV/0!</v>
      </c>
      <c r="M1102" s="179"/>
      <c r="N1102" s="179" t="s">
        <v>3147</v>
      </c>
      <c r="O1102" s="141">
        <f>I1102</f>
        <v>0</v>
      </c>
      <c r="P1102" s="181" t="b">
        <f>COUNTIF('Facility Data'!$A$1:$A$1500,"*"&amp;A1102&amp;"*")&gt;0</f>
        <v>0</v>
      </c>
      <c r="Q1102" s="181" t="b">
        <f>COUNTIF('Account Data'!$A$1:$A$1000,"*"&amp;A1102&amp;"*")&gt;0</f>
        <v>0</v>
      </c>
      <c r="R1102" s="182" t="b">
        <f t="shared" si="346"/>
        <v>0</v>
      </c>
      <c r="S1102" s="182" t="b">
        <f>IF(OR(Q1102=TRUE,T1102=TRUE),TRUE,FALSE)</f>
        <v>0</v>
      </c>
      <c r="T1102" s="181" t="b">
        <f>COUNTIF('New Items'!$A$1:$A$175,A1102)&gt;0</f>
        <v>0</v>
      </c>
      <c r="U1102" s="181" t="b">
        <f>COUNTIF(Discontinued!$A$1:$A$150,A1102)&gt;0</f>
        <v>0</v>
      </c>
    </row>
    <row r="1103" spans="1:21" s="8" customFormat="1" ht="11.25" x14ac:dyDescent="0.2">
      <c r="A1103" s="152">
        <v>10112575</v>
      </c>
      <c r="B1103" s="10" t="s">
        <v>3339</v>
      </c>
      <c r="C1103" s="12" t="s">
        <v>1494</v>
      </c>
      <c r="D1103" s="11" t="s">
        <v>1503</v>
      </c>
      <c r="E1103" s="12" t="s">
        <v>772</v>
      </c>
      <c r="F1103" s="13">
        <v>12</v>
      </c>
      <c r="G1103" s="22">
        <f>Overview!$B$101</f>
        <v>36</v>
      </c>
      <c r="H1103" s="23">
        <f>G1103-I1103</f>
        <v>36</v>
      </c>
      <c r="I1103" s="114">
        <f>Overview!$E$101</f>
        <v>0</v>
      </c>
      <c r="J1103" s="24">
        <f>I1103/F1103</f>
        <v>0</v>
      </c>
      <c r="K1103" s="116">
        <f>Overview!$H$101</f>
        <v>0</v>
      </c>
      <c r="L1103" s="51" t="e">
        <f>(K1103-J1103)/K1103</f>
        <v>#DIV/0!</v>
      </c>
      <c r="M1103" s="179"/>
      <c r="N1103" s="179" t="s">
        <v>3147</v>
      </c>
      <c r="O1103" s="141">
        <f t="shared" si="347"/>
        <v>0</v>
      </c>
      <c r="P1103" s="181" t="b">
        <f>COUNTIF('Facility Data'!$A$1:$A$1500,"*"&amp;A1103&amp;"*")&gt;0</f>
        <v>0</v>
      </c>
      <c r="Q1103" s="181" t="b">
        <f>COUNTIF('Account Data'!$A$1:$A$1000,"*"&amp;A1103&amp;"*")&gt;0</f>
        <v>0</v>
      </c>
      <c r="R1103" s="182" t="b">
        <f t="shared" si="346"/>
        <v>0</v>
      </c>
      <c r="S1103" s="182" t="b">
        <f t="shared" si="335"/>
        <v>0</v>
      </c>
      <c r="T1103" s="181" t="b">
        <f>COUNTIF('New Items'!$A$1:$A$175,A1103)&gt;0</f>
        <v>0</v>
      </c>
      <c r="U1103" s="181" t="b">
        <f>COUNTIF(Discontinued!$A$1:$A$150,A1103)&gt;0</f>
        <v>0</v>
      </c>
    </row>
    <row r="1104" spans="1:21" s="8" customFormat="1" ht="11.25" x14ac:dyDescent="0.2">
      <c r="A1104" s="152">
        <v>10112574</v>
      </c>
      <c r="B1104" s="10" t="s">
        <v>1495</v>
      </c>
      <c r="C1104" s="12" t="s">
        <v>1496</v>
      </c>
      <c r="D1104" s="11" t="s">
        <v>1511</v>
      </c>
      <c r="E1104" s="12" t="s">
        <v>772</v>
      </c>
      <c r="F1104" s="13">
        <v>12</v>
      </c>
      <c r="G1104" s="22">
        <f>Overview!$B$101</f>
        <v>36</v>
      </c>
      <c r="H1104" s="23">
        <f>G1104-I1104</f>
        <v>36</v>
      </c>
      <c r="I1104" s="114">
        <f>Overview!$E$101</f>
        <v>0</v>
      </c>
      <c r="J1104" s="24">
        <f>I1104/F1104</f>
        <v>0</v>
      </c>
      <c r="K1104" s="116">
        <f>Overview!$H$101</f>
        <v>0</v>
      </c>
      <c r="L1104" s="51" t="e">
        <f>(K1104-J1104)/K1104</f>
        <v>#DIV/0!</v>
      </c>
      <c r="M1104" s="179"/>
      <c r="N1104" s="179" t="s">
        <v>3147</v>
      </c>
      <c r="O1104" s="141">
        <f t="shared" si="347"/>
        <v>0</v>
      </c>
      <c r="P1104" s="181" t="b">
        <f>COUNTIF('Facility Data'!$A$1:$A$1500,"*"&amp;A1104&amp;"*")&gt;0</f>
        <v>0</v>
      </c>
      <c r="Q1104" s="181" t="b">
        <f>COUNTIF('Account Data'!$A$1:$A$1000,"*"&amp;A1104&amp;"*")&gt;0</f>
        <v>0</v>
      </c>
      <c r="R1104" s="182" t="b">
        <f t="shared" si="346"/>
        <v>0</v>
      </c>
      <c r="S1104" s="182" t="b">
        <f t="shared" si="335"/>
        <v>0</v>
      </c>
      <c r="T1104" s="181" t="b">
        <f>COUNTIF('New Items'!$A$1:$A$175,A1104)&gt;0</f>
        <v>0</v>
      </c>
      <c r="U1104" s="181" t="b">
        <f>COUNTIF(Discontinued!$A$1:$A$150,A1104)&gt;0</f>
        <v>0</v>
      </c>
    </row>
    <row r="1105" spans="1:21" s="8" customFormat="1" ht="12" thickBot="1" x14ac:dyDescent="0.25">
      <c r="A1105" s="152">
        <v>10081672</v>
      </c>
      <c r="B1105" s="10" t="s">
        <v>3342</v>
      </c>
      <c r="C1105" s="12" t="s">
        <v>1499</v>
      </c>
      <c r="D1105" s="11" t="s">
        <v>1502</v>
      </c>
      <c r="E1105" s="12" t="s">
        <v>772</v>
      </c>
      <c r="F1105" s="13">
        <v>12</v>
      </c>
      <c r="G1105" s="22">
        <f>Overview!$B$101</f>
        <v>36</v>
      </c>
      <c r="H1105" s="23">
        <f>G1105-I1105</f>
        <v>36</v>
      </c>
      <c r="I1105" s="114">
        <f>Overview!$E$101</f>
        <v>0</v>
      </c>
      <c r="J1105" s="24">
        <f>I1105/F1105</f>
        <v>0</v>
      </c>
      <c r="K1105" s="116">
        <f>Overview!$H$101</f>
        <v>0</v>
      </c>
      <c r="L1105" s="51" t="e">
        <f>(K1105-J1105)/K1105</f>
        <v>#DIV/0!</v>
      </c>
      <c r="M1105" s="179"/>
      <c r="N1105" s="179" t="s">
        <v>3147</v>
      </c>
      <c r="O1105" s="141">
        <f t="shared" si="347"/>
        <v>0</v>
      </c>
      <c r="P1105" s="181" t="b">
        <f>COUNTIF('Facility Data'!$A$1:$A$1500,"*"&amp;A1105&amp;"*")&gt;0</f>
        <v>0</v>
      </c>
      <c r="Q1105" s="181" t="b">
        <f>COUNTIF('Account Data'!$A$1:$A$1000,"*"&amp;A1105&amp;"*")&gt;0</f>
        <v>0</v>
      </c>
      <c r="R1105" s="182" t="b">
        <f t="shared" si="346"/>
        <v>0</v>
      </c>
      <c r="S1105" s="182" t="b">
        <f t="shared" si="335"/>
        <v>0</v>
      </c>
      <c r="T1105" s="181" t="b">
        <f>COUNTIF('New Items'!$A$1:$A$175,A1105)&gt;0</f>
        <v>0</v>
      </c>
      <c r="U1105" s="181" t="b">
        <f>COUNTIF(Discontinued!$A$1:$A$150,A1105)&gt;0</f>
        <v>0</v>
      </c>
    </row>
    <row r="1106" spans="1:21" s="8" customFormat="1" ht="13.5" thickBot="1" x14ac:dyDescent="0.25">
      <c r="A1106" s="300" t="s">
        <v>3024</v>
      </c>
      <c r="B1106" s="301"/>
      <c r="C1106" s="301"/>
      <c r="D1106" s="301"/>
      <c r="E1106" s="301"/>
      <c r="F1106" s="301"/>
      <c r="G1106" s="301"/>
      <c r="H1106" s="301"/>
      <c r="I1106" s="301"/>
      <c r="J1106" s="301"/>
      <c r="K1106" s="301"/>
      <c r="L1106" s="302"/>
      <c r="M1106" s="179" t="s">
        <v>4361</v>
      </c>
      <c r="N1106" s="179" t="s">
        <v>3148</v>
      </c>
      <c r="O1106" s="141">
        <f>AVERAGE(O1107:O1108)</f>
        <v>0</v>
      </c>
      <c r="P1106" s="181" t="b">
        <f>COUNTIF(P1107:P1108,TRUE)&gt;0</f>
        <v>0</v>
      </c>
      <c r="Q1106" s="181" t="b">
        <f>COUNTIF(Q1107:Q1108,TRUE)&gt;0</f>
        <v>0</v>
      </c>
      <c r="R1106" s="181" t="b">
        <f>COUNTIF(R1107:R1108,TRUE)&gt;0</f>
        <v>0</v>
      </c>
      <c r="S1106" s="181" t="b">
        <f>COUNTIF(S1107:S1108,TRUE)&gt;0</f>
        <v>0</v>
      </c>
      <c r="T1106" s="181" t="b">
        <f>COUNTIF(T1107:T1108,TRUE)&gt;0</f>
        <v>0</v>
      </c>
      <c r="U1106" s="181"/>
    </row>
    <row r="1107" spans="1:21" s="8" customFormat="1" ht="11.25" x14ac:dyDescent="0.2">
      <c r="A1107" s="152">
        <v>10033520</v>
      </c>
      <c r="B1107" s="10" t="s">
        <v>3025</v>
      </c>
      <c r="C1107" s="12" t="s">
        <v>1482</v>
      </c>
      <c r="D1107" s="11" t="s">
        <v>1500</v>
      </c>
      <c r="E1107" s="12" t="s">
        <v>772</v>
      </c>
      <c r="F1107" s="13">
        <v>24</v>
      </c>
      <c r="G1107" s="22">
        <f>Overview!$B$102</f>
        <v>30</v>
      </c>
      <c r="H1107" s="23">
        <f>G1107-I1107</f>
        <v>30</v>
      </c>
      <c r="I1107" s="114">
        <f>Overview!$E$102</f>
        <v>0</v>
      </c>
      <c r="J1107" s="24">
        <f>I1107/F1107</f>
        <v>0</v>
      </c>
      <c r="K1107" s="116">
        <f>Overview!$H$102</f>
        <v>0</v>
      </c>
      <c r="L1107" s="51" t="e">
        <f>(K1107-J1107)/K1107</f>
        <v>#DIV/0!</v>
      </c>
      <c r="M1107" s="179"/>
      <c r="N1107" s="179" t="s">
        <v>3148</v>
      </c>
      <c r="O1107" s="141">
        <f>I1107</f>
        <v>0</v>
      </c>
      <c r="P1107" s="181" t="b">
        <f>COUNTIF('Facility Data'!$A$1:$A$1500,"*"&amp;A1107&amp;"*")&gt;0</f>
        <v>0</v>
      </c>
      <c r="Q1107" s="181" t="b">
        <f>COUNTIF('Account Data'!$A$1:$A$1000,"*"&amp;A1107&amp;"*")&gt;0</f>
        <v>0</v>
      </c>
      <c r="R1107" s="182" t="b">
        <f>IF(OR(P1107=TRUE,T1107=TRUE),TRUE,FALSE)</f>
        <v>0</v>
      </c>
      <c r="S1107" s="182" t="b">
        <f t="shared" si="335"/>
        <v>0</v>
      </c>
      <c r="T1107" s="181" t="b">
        <f>COUNTIF('New Items'!$A$1:$A$175,A1107)&gt;0</f>
        <v>0</v>
      </c>
      <c r="U1107" s="181" t="b">
        <f>COUNTIF(Discontinued!$A$1:$A$150,A1107)&gt;0</f>
        <v>0</v>
      </c>
    </row>
    <row r="1108" spans="1:21" s="8" customFormat="1" ht="12" thickBot="1" x14ac:dyDescent="0.25">
      <c r="A1108" s="152">
        <v>10033521</v>
      </c>
      <c r="B1108" s="10" t="s">
        <v>3026</v>
      </c>
      <c r="C1108" s="12" t="s">
        <v>1483</v>
      </c>
      <c r="D1108" s="11" t="s">
        <v>697</v>
      </c>
      <c r="E1108" s="12" t="s">
        <v>772</v>
      </c>
      <c r="F1108" s="13">
        <v>24</v>
      </c>
      <c r="G1108" s="22">
        <f>Overview!$B$102</f>
        <v>30</v>
      </c>
      <c r="H1108" s="23">
        <f>G1108-I1108</f>
        <v>30</v>
      </c>
      <c r="I1108" s="114">
        <f>Overview!$E$102</f>
        <v>0</v>
      </c>
      <c r="J1108" s="24">
        <f>I1108/F1108</f>
        <v>0</v>
      </c>
      <c r="K1108" s="116">
        <f>Overview!$H$102</f>
        <v>0</v>
      </c>
      <c r="L1108" s="51" t="e">
        <f>(K1108-J1108)/K1108</f>
        <v>#DIV/0!</v>
      </c>
      <c r="M1108" s="179"/>
      <c r="N1108" s="179" t="s">
        <v>3148</v>
      </c>
      <c r="O1108" s="141">
        <f>I1108</f>
        <v>0</v>
      </c>
      <c r="P1108" s="181" t="b">
        <f>COUNTIF('Facility Data'!$A$1:$A$1500,"*"&amp;A1108&amp;"*")&gt;0</f>
        <v>0</v>
      </c>
      <c r="Q1108" s="181" t="b">
        <f>COUNTIF('Account Data'!$A$1:$A$1000,"*"&amp;A1108&amp;"*")&gt;0</f>
        <v>0</v>
      </c>
      <c r="R1108" s="182" t="b">
        <f>IF(OR(P1108=TRUE,T1108=TRUE),TRUE,FALSE)</f>
        <v>0</v>
      </c>
      <c r="S1108" s="182" t="b">
        <f t="shared" si="335"/>
        <v>0</v>
      </c>
      <c r="T1108" s="181" t="b">
        <f>COUNTIF('New Items'!$A$1:$A$175,A1108)&gt;0</f>
        <v>0</v>
      </c>
      <c r="U1108" s="181" t="b">
        <f>COUNTIF(Discontinued!$A$1:$A$150,A1108)&gt;0</f>
        <v>0</v>
      </c>
    </row>
    <row r="1109" spans="1:21" s="8" customFormat="1" ht="13.5" thickBot="1" x14ac:dyDescent="0.25">
      <c r="A1109" s="300" t="s">
        <v>498</v>
      </c>
      <c r="B1109" s="301"/>
      <c r="C1109" s="301"/>
      <c r="D1109" s="301"/>
      <c r="E1109" s="301"/>
      <c r="F1109" s="301"/>
      <c r="G1109" s="301"/>
      <c r="H1109" s="301"/>
      <c r="I1109" s="301"/>
      <c r="J1109" s="301"/>
      <c r="K1109" s="301"/>
      <c r="L1109" s="302"/>
      <c r="M1109" s="179" t="s">
        <v>4361</v>
      </c>
      <c r="N1109" s="179" t="s">
        <v>985</v>
      </c>
      <c r="O1109" s="141">
        <f>AVERAGE(O1110:O1119)</f>
        <v>0</v>
      </c>
      <c r="P1109" s="181" t="b">
        <f>COUNTIF(P1110:P1119,TRUE)&gt;0</f>
        <v>1</v>
      </c>
      <c r="Q1109" s="181" t="b">
        <f>COUNTIF(Q1110:Q1119,TRUE)&gt;0</f>
        <v>1</v>
      </c>
      <c r="R1109" s="181" t="b">
        <f>COUNTIF(R1110:R1119,TRUE)&gt;0</f>
        <v>1</v>
      </c>
      <c r="S1109" s="181" t="b">
        <f>COUNTIF(S1110:S1119,TRUE)&gt;0</f>
        <v>1</v>
      </c>
      <c r="T1109" s="181" t="b">
        <f>COUNTIF(T1110:T1119,TRUE)&gt;0</f>
        <v>0</v>
      </c>
      <c r="U1109" s="181"/>
    </row>
    <row r="1110" spans="1:21" s="8" customFormat="1" ht="11.25" x14ac:dyDescent="0.2">
      <c r="A1110" s="152">
        <v>20000951</v>
      </c>
      <c r="B1110" s="10" t="s">
        <v>569</v>
      </c>
      <c r="C1110" s="12" t="s">
        <v>499</v>
      </c>
      <c r="D1110" s="11" t="s">
        <v>728</v>
      </c>
      <c r="E1110" s="12" t="s">
        <v>772</v>
      </c>
      <c r="F1110" s="13">
        <v>12</v>
      </c>
      <c r="G1110" s="22">
        <f>Overview!$B$103</f>
        <v>16</v>
      </c>
      <c r="H1110" s="23">
        <f>G1110-I1110</f>
        <v>16</v>
      </c>
      <c r="I1110" s="114">
        <f>Overview!$E$103</f>
        <v>0</v>
      </c>
      <c r="J1110" s="24">
        <f>I1110/F1110</f>
        <v>0</v>
      </c>
      <c r="K1110" s="116">
        <f>Overview!$H$103</f>
        <v>0</v>
      </c>
      <c r="L1110" s="51" t="e">
        <f>(K1110-J1110)/K1110</f>
        <v>#DIV/0!</v>
      </c>
      <c r="M1110" s="179"/>
      <c r="N1110" s="179" t="s">
        <v>985</v>
      </c>
      <c r="O1110" s="141">
        <f>I1110</f>
        <v>0</v>
      </c>
      <c r="P1110" s="181" t="b">
        <f>COUNTIF('Facility Data'!$A$1:$A$1500,"*"&amp;A1110&amp;"*")&gt;0</f>
        <v>1</v>
      </c>
      <c r="Q1110" s="181" t="b">
        <f>COUNTIF('Account Data'!$A$1:$A$1000,"*"&amp;A1110&amp;"*")&gt;0</f>
        <v>1</v>
      </c>
      <c r="R1110" s="182" t="b">
        <f t="shared" ref="R1110:R1119" si="351">IF(OR(P1110=TRUE,T1110=TRUE),TRUE,FALSE)</f>
        <v>1</v>
      </c>
      <c r="S1110" s="182" t="b">
        <f t="shared" ref="S1110:S1178" si="352">IF(OR(Q1110=TRUE,T1110=TRUE),TRUE,FALSE)</f>
        <v>1</v>
      </c>
      <c r="T1110" s="181" t="b">
        <f>COUNTIF('New Items'!$A$1:$A$175,A1110)&gt;0</f>
        <v>0</v>
      </c>
      <c r="U1110" s="181" t="b">
        <f>COUNTIF(Discontinued!$A$1:$A$150,A1110)&gt;0</f>
        <v>0</v>
      </c>
    </row>
    <row r="1111" spans="1:21" s="8" customFormat="1" ht="11.25" x14ac:dyDescent="0.2">
      <c r="A1111" s="152">
        <v>20025548</v>
      </c>
      <c r="B1111" s="10" t="s">
        <v>570</v>
      </c>
      <c r="C1111" s="12" t="s">
        <v>500</v>
      </c>
      <c r="D1111" s="11" t="s">
        <v>949</v>
      </c>
      <c r="E1111" s="12" t="s">
        <v>772</v>
      </c>
      <c r="F1111" s="13">
        <v>12</v>
      </c>
      <c r="G1111" s="22">
        <f>Overview!$B$103</f>
        <v>16</v>
      </c>
      <c r="H1111" s="23">
        <f t="shared" ref="H1111:H1136" si="353">G1111-I1111</f>
        <v>16</v>
      </c>
      <c r="I1111" s="114">
        <f>Overview!$E$103</f>
        <v>0</v>
      </c>
      <c r="J1111" s="24">
        <f t="shared" ref="J1111:J1119" si="354">I1111/F1111</f>
        <v>0</v>
      </c>
      <c r="K1111" s="116">
        <f>Overview!$H$103</f>
        <v>0</v>
      </c>
      <c r="L1111" s="51" t="e">
        <f t="shared" ref="L1111:L1119" si="355">(K1111-J1111)/K1111</f>
        <v>#DIV/0!</v>
      </c>
      <c r="M1111" s="179"/>
      <c r="N1111" s="179" t="s">
        <v>985</v>
      </c>
      <c r="O1111" s="141">
        <f t="shared" ref="O1111:O1119" si="356">I1111</f>
        <v>0</v>
      </c>
      <c r="P1111" s="181" t="b">
        <f>COUNTIF('Facility Data'!$A$1:$A$1500,"*"&amp;A1111&amp;"*")&gt;0</f>
        <v>0</v>
      </c>
      <c r="Q1111" s="181" t="b">
        <f>COUNTIF('Account Data'!$A$1:$A$1000,"*"&amp;A1111&amp;"*")&gt;0</f>
        <v>1</v>
      </c>
      <c r="R1111" s="182" t="b">
        <f t="shared" si="351"/>
        <v>0</v>
      </c>
      <c r="S1111" s="182" t="b">
        <f t="shared" si="352"/>
        <v>1</v>
      </c>
      <c r="T1111" s="181" t="b">
        <f>COUNTIF('New Items'!$A$1:$A$175,A1111)&gt;0</f>
        <v>0</v>
      </c>
      <c r="U1111" s="181" t="b">
        <f>COUNTIF(Discontinued!$A$1:$A$150,A1111)&gt;0</f>
        <v>0</v>
      </c>
    </row>
    <row r="1112" spans="1:21" s="8" customFormat="1" ht="11.25" x14ac:dyDescent="0.2">
      <c r="A1112" s="152">
        <v>20000948</v>
      </c>
      <c r="B1112" s="10" t="s">
        <v>501</v>
      </c>
      <c r="C1112" s="12" t="s">
        <v>502</v>
      </c>
      <c r="D1112" s="11" t="s">
        <v>729</v>
      </c>
      <c r="E1112" s="12" t="s">
        <v>772</v>
      </c>
      <c r="F1112" s="13">
        <v>12</v>
      </c>
      <c r="G1112" s="22">
        <f>Overview!$B$103</f>
        <v>16</v>
      </c>
      <c r="H1112" s="23">
        <f t="shared" si="353"/>
        <v>16</v>
      </c>
      <c r="I1112" s="114">
        <f>Overview!$E$103</f>
        <v>0</v>
      </c>
      <c r="J1112" s="24">
        <f t="shared" si="354"/>
        <v>0</v>
      </c>
      <c r="K1112" s="116">
        <f>Overview!$H$103</f>
        <v>0</v>
      </c>
      <c r="L1112" s="51" t="e">
        <f t="shared" si="355"/>
        <v>#DIV/0!</v>
      </c>
      <c r="M1112" s="179"/>
      <c r="N1112" s="179" t="s">
        <v>985</v>
      </c>
      <c r="O1112" s="141">
        <f t="shared" si="356"/>
        <v>0</v>
      </c>
      <c r="P1112" s="181" t="b">
        <f>COUNTIF('Facility Data'!$A$1:$A$1500,"*"&amp;A1112&amp;"*")&gt;0</f>
        <v>1</v>
      </c>
      <c r="Q1112" s="181" t="b">
        <f>COUNTIF('Account Data'!$A$1:$A$1000,"*"&amp;A1112&amp;"*")&gt;0</f>
        <v>1</v>
      </c>
      <c r="R1112" s="182" t="b">
        <f t="shared" si="351"/>
        <v>1</v>
      </c>
      <c r="S1112" s="182" t="b">
        <f t="shared" si="352"/>
        <v>1</v>
      </c>
      <c r="T1112" s="181" t="b">
        <f>COUNTIF('New Items'!$A$1:$A$175,A1112)&gt;0</f>
        <v>0</v>
      </c>
      <c r="U1112" s="181" t="b">
        <f>COUNTIF(Discontinued!$A$1:$A$150,A1112)&gt;0</f>
        <v>0</v>
      </c>
    </row>
    <row r="1113" spans="1:21" s="8" customFormat="1" ht="11.25" x14ac:dyDescent="0.2">
      <c r="A1113" s="152">
        <v>20000949</v>
      </c>
      <c r="B1113" s="10" t="s">
        <v>503</v>
      </c>
      <c r="C1113" s="12" t="s">
        <v>504</v>
      </c>
      <c r="D1113" s="11" t="s">
        <v>697</v>
      </c>
      <c r="E1113" s="12" t="s">
        <v>772</v>
      </c>
      <c r="F1113" s="13">
        <v>12</v>
      </c>
      <c r="G1113" s="22">
        <f>Overview!$B$103</f>
        <v>16</v>
      </c>
      <c r="H1113" s="23">
        <f t="shared" si="353"/>
        <v>16</v>
      </c>
      <c r="I1113" s="114">
        <f>Overview!$E$103</f>
        <v>0</v>
      </c>
      <c r="J1113" s="24">
        <f t="shared" si="354"/>
        <v>0</v>
      </c>
      <c r="K1113" s="116">
        <f>Overview!$H$103</f>
        <v>0</v>
      </c>
      <c r="L1113" s="51" t="e">
        <f t="shared" si="355"/>
        <v>#DIV/0!</v>
      </c>
      <c r="M1113" s="179"/>
      <c r="N1113" s="179" t="s">
        <v>985</v>
      </c>
      <c r="O1113" s="141">
        <f t="shared" si="356"/>
        <v>0</v>
      </c>
      <c r="P1113" s="181" t="b">
        <f>COUNTIF('Facility Data'!$A$1:$A$1500,"*"&amp;A1113&amp;"*")&gt;0</f>
        <v>1</v>
      </c>
      <c r="Q1113" s="181" t="b">
        <f>COUNTIF('Account Data'!$A$1:$A$1000,"*"&amp;A1113&amp;"*")&gt;0</f>
        <v>1</v>
      </c>
      <c r="R1113" s="182" t="b">
        <f t="shared" si="351"/>
        <v>1</v>
      </c>
      <c r="S1113" s="182" t="b">
        <f t="shared" si="352"/>
        <v>1</v>
      </c>
      <c r="T1113" s="181" t="b">
        <f>COUNTIF('New Items'!$A$1:$A$175,A1113)&gt;0</f>
        <v>0</v>
      </c>
      <c r="U1113" s="181" t="b">
        <f>COUNTIF(Discontinued!$A$1:$A$150,A1113)&gt;0</f>
        <v>0</v>
      </c>
    </row>
    <row r="1114" spans="1:21" s="8" customFormat="1" ht="11.25" x14ac:dyDescent="0.2">
      <c r="A1114" s="152">
        <v>20025547</v>
      </c>
      <c r="B1114" s="10" t="s">
        <v>568</v>
      </c>
      <c r="C1114" s="12" t="s">
        <v>505</v>
      </c>
      <c r="D1114" s="11" t="s">
        <v>730</v>
      </c>
      <c r="E1114" s="12" t="s">
        <v>772</v>
      </c>
      <c r="F1114" s="13">
        <v>12</v>
      </c>
      <c r="G1114" s="22">
        <f>Overview!$B$103</f>
        <v>16</v>
      </c>
      <c r="H1114" s="23">
        <f t="shared" si="353"/>
        <v>16</v>
      </c>
      <c r="I1114" s="114">
        <f>Overview!$E$103</f>
        <v>0</v>
      </c>
      <c r="J1114" s="24">
        <f t="shared" si="354"/>
        <v>0</v>
      </c>
      <c r="K1114" s="116">
        <f>Overview!$H$103</f>
        <v>0</v>
      </c>
      <c r="L1114" s="51" t="e">
        <f t="shared" si="355"/>
        <v>#DIV/0!</v>
      </c>
      <c r="M1114" s="179"/>
      <c r="N1114" s="179" t="s">
        <v>985</v>
      </c>
      <c r="O1114" s="141">
        <f t="shared" si="356"/>
        <v>0</v>
      </c>
      <c r="P1114" s="181" t="b">
        <f>COUNTIF('Facility Data'!$A$1:$A$1500,"*"&amp;A1114&amp;"*")&gt;0</f>
        <v>0</v>
      </c>
      <c r="Q1114" s="181" t="b">
        <f>COUNTIF('Account Data'!$A$1:$A$1000,"*"&amp;A1114&amp;"*")&gt;0</f>
        <v>1</v>
      </c>
      <c r="R1114" s="182" t="b">
        <f t="shared" si="351"/>
        <v>0</v>
      </c>
      <c r="S1114" s="182" t="b">
        <f t="shared" si="352"/>
        <v>1</v>
      </c>
      <c r="T1114" s="181" t="b">
        <f>COUNTIF('New Items'!$A$1:$A$175,A1114)&gt;0</f>
        <v>0</v>
      </c>
      <c r="U1114" s="181" t="b">
        <f>COUNTIF(Discontinued!$A$1:$A$150,A1114)&gt;0</f>
        <v>0</v>
      </c>
    </row>
    <row r="1115" spans="1:21" s="8" customFormat="1" ht="11.25" x14ac:dyDescent="0.2">
      <c r="A1115" s="152">
        <v>20019320</v>
      </c>
      <c r="B1115" s="10" t="s">
        <v>506</v>
      </c>
      <c r="C1115" s="12" t="s">
        <v>507</v>
      </c>
      <c r="D1115" s="11" t="s">
        <v>731</v>
      </c>
      <c r="E1115" s="12" t="s">
        <v>772</v>
      </c>
      <c r="F1115" s="13">
        <v>12</v>
      </c>
      <c r="G1115" s="22">
        <f>Overview!$B$103</f>
        <v>16</v>
      </c>
      <c r="H1115" s="23">
        <f t="shared" si="353"/>
        <v>16</v>
      </c>
      <c r="I1115" s="114">
        <f>Overview!$E$103</f>
        <v>0</v>
      </c>
      <c r="J1115" s="24">
        <f t="shared" si="354"/>
        <v>0</v>
      </c>
      <c r="K1115" s="116">
        <f>Overview!$H$103</f>
        <v>0</v>
      </c>
      <c r="L1115" s="51" t="e">
        <f t="shared" si="355"/>
        <v>#DIV/0!</v>
      </c>
      <c r="M1115" s="179"/>
      <c r="N1115" s="179" t="s">
        <v>985</v>
      </c>
      <c r="O1115" s="141">
        <f t="shared" si="356"/>
        <v>0</v>
      </c>
      <c r="P1115" s="181" t="b">
        <f>COUNTIF('Facility Data'!$A$1:$A$1500,"*"&amp;A1115&amp;"*")&gt;0</f>
        <v>0</v>
      </c>
      <c r="Q1115" s="181" t="b">
        <f>COUNTIF('Account Data'!$A$1:$A$1000,"*"&amp;A1115&amp;"*")&gt;0</f>
        <v>1</v>
      </c>
      <c r="R1115" s="182" t="b">
        <f t="shared" si="351"/>
        <v>0</v>
      </c>
      <c r="S1115" s="182" t="b">
        <f t="shared" si="352"/>
        <v>1</v>
      </c>
      <c r="T1115" s="181" t="b">
        <f>COUNTIF('New Items'!$A$1:$A$175,A1115)&gt;0</f>
        <v>0</v>
      </c>
      <c r="U1115" s="181" t="b">
        <f>COUNTIF(Discontinued!$A$1:$A$150,A1115)&gt;0</f>
        <v>0</v>
      </c>
    </row>
    <row r="1116" spans="1:21" s="8" customFormat="1" ht="11.25" x14ac:dyDescent="0.2">
      <c r="A1116" s="152">
        <v>20022637</v>
      </c>
      <c r="B1116" s="10" t="s">
        <v>508</v>
      </c>
      <c r="C1116" s="12" t="s">
        <v>509</v>
      </c>
      <c r="D1116" s="11" t="s">
        <v>695</v>
      </c>
      <c r="E1116" s="12" t="s">
        <v>772</v>
      </c>
      <c r="F1116" s="13">
        <v>12</v>
      </c>
      <c r="G1116" s="22">
        <f>Overview!$B$103</f>
        <v>16</v>
      </c>
      <c r="H1116" s="23">
        <f>G1116-I1116</f>
        <v>16</v>
      </c>
      <c r="I1116" s="114">
        <f>Overview!$E$103</f>
        <v>0</v>
      </c>
      <c r="J1116" s="24">
        <f>I1116/F1116</f>
        <v>0</v>
      </c>
      <c r="K1116" s="116">
        <f>Overview!$H$103</f>
        <v>0</v>
      </c>
      <c r="L1116" s="51" t="e">
        <f>(K1116-J1116)/K1116</f>
        <v>#DIV/0!</v>
      </c>
      <c r="M1116" s="179"/>
      <c r="N1116" s="179" t="s">
        <v>985</v>
      </c>
      <c r="O1116" s="141">
        <f>I1116</f>
        <v>0</v>
      </c>
      <c r="P1116" s="181" t="b">
        <f>COUNTIF('Facility Data'!$A$1:$A$1500,"*"&amp;A1116&amp;"*")&gt;0</f>
        <v>0</v>
      </c>
      <c r="Q1116" s="181" t="b">
        <f>COUNTIF('Account Data'!$A$1:$A$1000,"*"&amp;A1116&amp;"*")&gt;0</f>
        <v>1</v>
      </c>
      <c r="R1116" s="182" t="b">
        <f t="shared" si="351"/>
        <v>0</v>
      </c>
      <c r="S1116" s="182" t="b">
        <f>IF(OR(Q1116=TRUE,T1116=TRUE),TRUE,FALSE)</f>
        <v>1</v>
      </c>
      <c r="T1116" s="181" t="b">
        <f>COUNTIF('New Items'!$A$1:$A$175,A1116)&gt;0</f>
        <v>0</v>
      </c>
      <c r="U1116" s="181" t="b">
        <f>COUNTIF(Discontinued!$A$1:$A$150,A1116)&gt;0</f>
        <v>0</v>
      </c>
    </row>
    <row r="1117" spans="1:21" s="8" customFormat="1" ht="11.25" x14ac:dyDescent="0.2">
      <c r="A1117" s="152">
        <v>20000947</v>
      </c>
      <c r="B1117" s="10" t="s">
        <v>510</v>
      </c>
      <c r="C1117" s="12" t="s">
        <v>511</v>
      </c>
      <c r="D1117" s="11" t="s">
        <v>693</v>
      </c>
      <c r="E1117" s="12" t="s">
        <v>772</v>
      </c>
      <c r="F1117" s="13">
        <v>12</v>
      </c>
      <c r="G1117" s="22">
        <f>Overview!$B$103</f>
        <v>16</v>
      </c>
      <c r="H1117" s="23">
        <f>G1117-I1117</f>
        <v>16</v>
      </c>
      <c r="I1117" s="114">
        <f>Overview!$E$103</f>
        <v>0</v>
      </c>
      <c r="J1117" s="24">
        <f>I1117/F1117</f>
        <v>0</v>
      </c>
      <c r="K1117" s="116">
        <f>Overview!$H$103</f>
        <v>0</v>
      </c>
      <c r="L1117" s="51" t="e">
        <f>(K1117-J1117)/K1117</f>
        <v>#DIV/0!</v>
      </c>
      <c r="M1117" s="179"/>
      <c r="N1117" s="179" t="s">
        <v>985</v>
      </c>
      <c r="O1117" s="141">
        <f>I1117</f>
        <v>0</v>
      </c>
      <c r="P1117" s="181" t="b">
        <f>COUNTIF('Facility Data'!$A$1:$A$1500,"*"&amp;A1117&amp;"*")&gt;0</f>
        <v>0</v>
      </c>
      <c r="Q1117" s="181" t="b">
        <f>COUNTIF('Account Data'!$A$1:$A$1000,"*"&amp;A1117&amp;"*")&gt;0</f>
        <v>1</v>
      </c>
      <c r="R1117" s="182" t="b">
        <f t="shared" si="351"/>
        <v>0</v>
      </c>
      <c r="S1117" s="182" t="b">
        <f>IF(OR(Q1117=TRUE,T1117=TRUE),TRUE,FALSE)</f>
        <v>1</v>
      </c>
      <c r="T1117" s="181" t="b">
        <f>COUNTIF('New Items'!$A$1:$A$175,A1117)&gt;0</f>
        <v>0</v>
      </c>
      <c r="U1117" s="181" t="b">
        <f>COUNTIF(Discontinued!$A$1:$A$150,A1117)&gt;0</f>
        <v>0</v>
      </c>
    </row>
    <row r="1118" spans="1:21" s="8" customFormat="1" ht="11.25" x14ac:dyDescent="0.2">
      <c r="A1118" s="152">
        <v>20001900</v>
      </c>
      <c r="B1118" s="10" t="s">
        <v>3779</v>
      </c>
      <c r="C1118" s="12" t="s">
        <v>3781</v>
      </c>
      <c r="D1118" s="11" t="s">
        <v>3780</v>
      </c>
      <c r="E1118" s="12" t="s">
        <v>772</v>
      </c>
      <c r="F1118" s="13">
        <v>12</v>
      </c>
      <c r="G1118" s="22">
        <f>Overview!$B$103</f>
        <v>16</v>
      </c>
      <c r="H1118" s="23">
        <f>G1118-I1118</f>
        <v>16</v>
      </c>
      <c r="I1118" s="114">
        <f>Overview!$E$103</f>
        <v>0</v>
      </c>
      <c r="J1118" s="24">
        <f>I1118/F1118</f>
        <v>0</v>
      </c>
      <c r="K1118" s="116">
        <f>Overview!$H$103</f>
        <v>0</v>
      </c>
      <c r="L1118" s="51" t="e">
        <f>(K1118-J1118)/K1118</f>
        <v>#DIV/0!</v>
      </c>
      <c r="M1118" s="179"/>
      <c r="N1118" s="179" t="s">
        <v>985</v>
      </c>
      <c r="O1118" s="141">
        <f>I1118</f>
        <v>0</v>
      </c>
      <c r="P1118" s="181" t="b">
        <f>COUNTIF('Facility Data'!$A$1:$A$1500,"*"&amp;A1118&amp;"*")&gt;0</f>
        <v>0</v>
      </c>
      <c r="Q1118" s="181" t="b">
        <f>COUNTIF('Account Data'!$A$1:$A$1000,"*"&amp;A1118&amp;"*")&gt;0</f>
        <v>0</v>
      </c>
      <c r="R1118" s="182" t="b">
        <f t="shared" si="351"/>
        <v>0</v>
      </c>
      <c r="S1118" s="182" t="b">
        <f>IF(OR(Q1118=TRUE,T1118=TRUE),TRUE,FALSE)</f>
        <v>0</v>
      </c>
      <c r="T1118" s="181" t="b">
        <f>COUNTIF('New Items'!$A$1:$A$175,A1118)&gt;0</f>
        <v>0</v>
      </c>
      <c r="U1118" s="181" t="b">
        <f>COUNTIF(Discontinued!$A$1:$A$150,A1118)&gt;0</f>
        <v>0</v>
      </c>
    </row>
    <row r="1119" spans="1:21" s="8" customFormat="1" ht="12" thickBot="1" x14ac:dyDescent="0.25">
      <c r="A1119" s="152">
        <v>20009692</v>
      </c>
      <c r="B1119" s="10" t="s">
        <v>3776</v>
      </c>
      <c r="C1119" s="12" t="s">
        <v>3778</v>
      </c>
      <c r="D1119" s="11" t="s">
        <v>3777</v>
      </c>
      <c r="E1119" s="12" t="s">
        <v>772</v>
      </c>
      <c r="F1119" s="13">
        <v>12</v>
      </c>
      <c r="G1119" s="22">
        <f>Overview!$B$103</f>
        <v>16</v>
      </c>
      <c r="H1119" s="23">
        <f t="shared" si="353"/>
        <v>16</v>
      </c>
      <c r="I1119" s="114">
        <f>Overview!$E$103</f>
        <v>0</v>
      </c>
      <c r="J1119" s="24">
        <f t="shared" si="354"/>
        <v>0</v>
      </c>
      <c r="K1119" s="116">
        <f>Overview!$H$103</f>
        <v>0</v>
      </c>
      <c r="L1119" s="51" t="e">
        <f t="shared" si="355"/>
        <v>#DIV/0!</v>
      </c>
      <c r="M1119" s="179"/>
      <c r="N1119" s="179" t="s">
        <v>985</v>
      </c>
      <c r="O1119" s="141">
        <f t="shared" si="356"/>
        <v>0</v>
      </c>
      <c r="P1119" s="181" t="b">
        <f>COUNTIF('Facility Data'!$A$1:$A$1500,"*"&amp;A1119&amp;"*")&gt;0</f>
        <v>0</v>
      </c>
      <c r="Q1119" s="181" t="b">
        <f>COUNTIF('Account Data'!$A$1:$A$1000,"*"&amp;A1119&amp;"*")&gt;0</f>
        <v>0</v>
      </c>
      <c r="R1119" s="182" t="b">
        <f t="shared" si="351"/>
        <v>0</v>
      </c>
      <c r="S1119" s="182" t="b">
        <f t="shared" si="352"/>
        <v>0</v>
      </c>
      <c r="T1119" s="181" t="b">
        <f>COUNTIF('New Items'!$A$1:$A$175,A1119)&gt;0</f>
        <v>0</v>
      </c>
      <c r="U1119" s="181" t="b">
        <f>COUNTIF(Discontinued!$A$1:$A$150,A1119)&gt;0</f>
        <v>0</v>
      </c>
    </row>
    <row r="1120" spans="1:21" s="8" customFormat="1" ht="13.5" thickBot="1" x14ac:dyDescent="0.25">
      <c r="A1120" s="300" t="s">
        <v>2881</v>
      </c>
      <c r="B1120" s="301"/>
      <c r="C1120" s="301"/>
      <c r="D1120" s="301"/>
      <c r="E1120" s="301"/>
      <c r="F1120" s="301"/>
      <c r="G1120" s="301"/>
      <c r="H1120" s="301"/>
      <c r="I1120" s="301"/>
      <c r="J1120" s="301"/>
      <c r="K1120" s="301"/>
      <c r="L1120" s="302"/>
      <c r="M1120" s="179" t="s">
        <v>4361</v>
      </c>
      <c r="N1120" s="179" t="s">
        <v>2881</v>
      </c>
      <c r="O1120" s="141">
        <f>AVERAGE(O1121:O1131)</f>
        <v>0</v>
      </c>
      <c r="P1120" s="181" t="b">
        <f>COUNTIF(P1121:P1131,TRUE)&gt;0</f>
        <v>0</v>
      </c>
      <c r="Q1120" s="181" t="b">
        <f>COUNTIF(Q1121:Q1131,TRUE)&gt;0</f>
        <v>0</v>
      </c>
      <c r="R1120" s="181" t="b">
        <f>COUNTIF(R1121:R1131,TRUE)&gt;0</f>
        <v>0</v>
      </c>
      <c r="S1120" s="181" t="b">
        <f>COUNTIF(S1121:S1131,TRUE)&gt;0</f>
        <v>0</v>
      </c>
      <c r="T1120" s="181" t="b">
        <f>COUNTIF(T1121:T1131,TRUE)&gt;0</f>
        <v>0</v>
      </c>
      <c r="U1120" s="181"/>
    </row>
    <row r="1121" spans="1:21" s="8" customFormat="1" ht="11.25" x14ac:dyDescent="0.2">
      <c r="A1121" s="152">
        <v>20009279</v>
      </c>
      <c r="B1121" s="10" t="s">
        <v>2882</v>
      </c>
      <c r="C1121" s="12" t="s">
        <v>2883</v>
      </c>
      <c r="D1121" s="11" t="s">
        <v>2898</v>
      </c>
      <c r="E1121" s="12" t="s">
        <v>786</v>
      </c>
      <c r="F1121" s="13">
        <v>24</v>
      </c>
      <c r="G1121" s="98">
        <f>Overview!$B$104</f>
        <v>14</v>
      </c>
      <c r="H1121" s="99">
        <f>G1121-I1121</f>
        <v>14</v>
      </c>
      <c r="I1121" s="169">
        <f>Overview!$E$104</f>
        <v>0</v>
      </c>
      <c r="J1121" s="100">
        <f>I1121/F1121</f>
        <v>0</v>
      </c>
      <c r="K1121" s="171">
        <f>Overview!$H$104</f>
        <v>0</v>
      </c>
      <c r="L1121" s="102" t="e">
        <f>(K1121-J1121)/K1121</f>
        <v>#DIV/0!</v>
      </c>
      <c r="M1121" s="179"/>
      <c r="N1121" s="179" t="s">
        <v>2881</v>
      </c>
      <c r="O1121" s="141">
        <f>I1121</f>
        <v>0</v>
      </c>
      <c r="P1121" s="181" t="b">
        <f>COUNTIF('Facility Data'!$A$1:$A$1500,"*"&amp;A1121&amp;"*")&gt;0</f>
        <v>0</v>
      </c>
      <c r="Q1121" s="181" t="b">
        <f>COUNTIF('Account Data'!$A$1:$A$1000,"*"&amp;A1121&amp;"*")&gt;0</f>
        <v>0</v>
      </c>
      <c r="R1121" s="182" t="b">
        <f t="shared" ref="R1121:R1131" si="357">IF(OR(P1121=TRUE,T1121=TRUE),TRUE,FALSE)</f>
        <v>0</v>
      </c>
      <c r="S1121" s="182" t="b">
        <f t="shared" si="352"/>
        <v>0</v>
      </c>
      <c r="T1121" s="181" t="b">
        <f>COUNTIF('New Items'!$A$1:$A$175,A1121)&gt;0</f>
        <v>0</v>
      </c>
      <c r="U1121" s="181" t="b">
        <f>COUNTIF(Discontinued!$A$1:$A$150,A1121)&gt;0</f>
        <v>0</v>
      </c>
    </row>
    <row r="1122" spans="1:21" s="8" customFormat="1" ht="11.25" x14ac:dyDescent="0.2">
      <c r="A1122" s="152">
        <v>20009280</v>
      </c>
      <c r="B1122" s="10" t="s">
        <v>2884</v>
      </c>
      <c r="C1122" s="12" t="s">
        <v>2885</v>
      </c>
      <c r="D1122" s="11" t="s">
        <v>2899</v>
      </c>
      <c r="E1122" s="12" t="s">
        <v>786</v>
      </c>
      <c r="F1122" s="13">
        <v>24</v>
      </c>
      <c r="G1122" s="98">
        <f>Overview!$B$104</f>
        <v>14</v>
      </c>
      <c r="H1122" s="99">
        <f t="shared" si="353"/>
        <v>14</v>
      </c>
      <c r="I1122" s="169">
        <f>Overview!$E$104</f>
        <v>0</v>
      </c>
      <c r="J1122" s="100">
        <f t="shared" ref="J1122:J1131" si="358">I1122/F1122</f>
        <v>0</v>
      </c>
      <c r="K1122" s="171">
        <f>Overview!$H$104</f>
        <v>0</v>
      </c>
      <c r="L1122" s="102" t="e">
        <f t="shared" ref="L1122:L1131" si="359">(K1122-J1122)/K1122</f>
        <v>#DIV/0!</v>
      </c>
      <c r="M1122" s="179"/>
      <c r="N1122" s="179" t="s">
        <v>2881</v>
      </c>
      <c r="O1122" s="141">
        <f t="shared" ref="O1122:O1131" si="360">I1122</f>
        <v>0</v>
      </c>
      <c r="P1122" s="181" t="b">
        <f>COUNTIF('Facility Data'!$A$1:$A$1500,"*"&amp;A1122&amp;"*")&gt;0</f>
        <v>0</v>
      </c>
      <c r="Q1122" s="181" t="b">
        <f>COUNTIF('Account Data'!$A$1:$A$1000,"*"&amp;A1122&amp;"*")&gt;0</f>
        <v>0</v>
      </c>
      <c r="R1122" s="182" t="b">
        <f t="shared" si="357"/>
        <v>0</v>
      </c>
      <c r="S1122" s="182" t="b">
        <f t="shared" si="352"/>
        <v>0</v>
      </c>
      <c r="T1122" s="181" t="b">
        <f>COUNTIF('New Items'!$A$1:$A$175,A1122)&gt;0</f>
        <v>0</v>
      </c>
      <c r="U1122" s="181" t="b">
        <f>COUNTIF(Discontinued!$A$1:$A$150,A1122)&gt;0</f>
        <v>0</v>
      </c>
    </row>
    <row r="1123" spans="1:21" s="8" customFormat="1" ht="11.25" x14ac:dyDescent="0.2">
      <c r="A1123" s="152">
        <v>20009281</v>
      </c>
      <c r="B1123" s="10" t="s">
        <v>2886</v>
      </c>
      <c r="C1123" s="12" t="s">
        <v>2887</v>
      </c>
      <c r="D1123" s="11" t="s">
        <v>2900</v>
      </c>
      <c r="E1123" s="12" t="s">
        <v>786</v>
      </c>
      <c r="F1123" s="13">
        <v>24</v>
      </c>
      <c r="G1123" s="98">
        <f>Overview!$B$104</f>
        <v>14</v>
      </c>
      <c r="H1123" s="99">
        <f t="shared" si="353"/>
        <v>14</v>
      </c>
      <c r="I1123" s="169">
        <f>Overview!$E$104</f>
        <v>0</v>
      </c>
      <c r="J1123" s="100">
        <f t="shared" si="358"/>
        <v>0</v>
      </c>
      <c r="K1123" s="171">
        <f>Overview!$H$104</f>
        <v>0</v>
      </c>
      <c r="L1123" s="102" t="e">
        <f t="shared" si="359"/>
        <v>#DIV/0!</v>
      </c>
      <c r="M1123" s="179"/>
      <c r="N1123" s="179" t="s">
        <v>2881</v>
      </c>
      <c r="O1123" s="141">
        <f t="shared" si="360"/>
        <v>0</v>
      </c>
      <c r="P1123" s="181" t="b">
        <f>COUNTIF('Facility Data'!$A$1:$A$1500,"*"&amp;A1123&amp;"*")&gt;0</f>
        <v>0</v>
      </c>
      <c r="Q1123" s="181" t="b">
        <f>COUNTIF('Account Data'!$A$1:$A$1000,"*"&amp;A1123&amp;"*")&gt;0</f>
        <v>0</v>
      </c>
      <c r="R1123" s="182" t="b">
        <f t="shared" si="357"/>
        <v>0</v>
      </c>
      <c r="S1123" s="182" t="b">
        <f t="shared" si="352"/>
        <v>0</v>
      </c>
      <c r="T1123" s="181" t="b">
        <f>COUNTIF('New Items'!$A$1:$A$175,A1123)&gt;0</f>
        <v>0</v>
      </c>
      <c r="U1123" s="181" t="b">
        <f>COUNTIF(Discontinued!$A$1:$A$150,A1123)&gt;0</f>
        <v>0</v>
      </c>
    </row>
    <row r="1124" spans="1:21" s="8" customFormat="1" ht="11.25" x14ac:dyDescent="0.2">
      <c r="A1124" s="152">
        <v>20029816</v>
      </c>
      <c r="B1124" s="10" t="s">
        <v>3703</v>
      </c>
      <c r="C1124" s="12" t="s">
        <v>3706</v>
      </c>
      <c r="D1124" s="11" t="s">
        <v>4159</v>
      </c>
      <c r="E1124" s="12" t="s">
        <v>769</v>
      </c>
      <c r="F1124" s="13">
        <v>15</v>
      </c>
      <c r="G1124" s="98">
        <f>Overview!$B$105</f>
        <v>24</v>
      </c>
      <c r="H1124" s="99">
        <f>G1124-I1124</f>
        <v>24</v>
      </c>
      <c r="I1124" s="169">
        <f>Overview!$E$105</f>
        <v>0</v>
      </c>
      <c r="J1124" s="100">
        <f>I1124/F1124</f>
        <v>0</v>
      </c>
      <c r="K1124" s="171">
        <f>Overview!$H$105</f>
        <v>0</v>
      </c>
      <c r="L1124" s="102" t="e">
        <f>(K1124-J1124)/K1124</f>
        <v>#DIV/0!</v>
      </c>
      <c r="M1124" s="179"/>
      <c r="N1124" s="179" t="s">
        <v>2881</v>
      </c>
      <c r="O1124" s="141">
        <f>I1124</f>
        <v>0</v>
      </c>
      <c r="P1124" s="181" t="b">
        <f>COUNTIF('Facility Data'!$A$1:$A$1500,"*"&amp;A1124&amp;"*")&gt;0</f>
        <v>0</v>
      </c>
      <c r="Q1124" s="181" t="b">
        <f>COUNTIF('Account Data'!$A$1:$A$1000,"*"&amp;A1124&amp;"*")&gt;0</f>
        <v>0</v>
      </c>
      <c r="R1124" s="182" t="b">
        <f t="shared" si="357"/>
        <v>0</v>
      </c>
      <c r="S1124" s="182" t="b">
        <f>IF(OR(Q1124=TRUE,T1124=TRUE),TRUE,FALSE)</f>
        <v>0</v>
      </c>
      <c r="T1124" s="181" t="b">
        <f>COUNTIF('New Items'!$A$1:$A$175,A1124)&gt;0</f>
        <v>0</v>
      </c>
      <c r="U1124" s="181" t="b">
        <f>COUNTIF(Discontinued!$A$1:$A$150,A1124)&gt;0</f>
        <v>0</v>
      </c>
    </row>
    <row r="1125" spans="1:21" s="8" customFormat="1" ht="11.25" x14ac:dyDescent="0.2">
      <c r="A1125" s="152">
        <v>20029818</v>
      </c>
      <c r="B1125" s="10" t="s">
        <v>3704</v>
      </c>
      <c r="C1125" s="12" t="s">
        <v>3707</v>
      </c>
      <c r="D1125" s="11" t="s">
        <v>4160</v>
      </c>
      <c r="E1125" s="12" t="s">
        <v>769</v>
      </c>
      <c r="F1125" s="13">
        <v>15</v>
      </c>
      <c r="G1125" s="98">
        <f>Overview!$B$105</f>
        <v>24</v>
      </c>
      <c r="H1125" s="99">
        <f>G1125-I1125</f>
        <v>24</v>
      </c>
      <c r="I1125" s="169">
        <f>Overview!$E$105</f>
        <v>0</v>
      </c>
      <c r="J1125" s="100">
        <f>I1125/F1125</f>
        <v>0</v>
      </c>
      <c r="K1125" s="171">
        <f>Overview!$H$105</f>
        <v>0</v>
      </c>
      <c r="L1125" s="102" t="e">
        <f>(K1125-J1125)/K1125</f>
        <v>#DIV/0!</v>
      </c>
      <c r="M1125" s="179"/>
      <c r="N1125" s="179" t="s">
        <v>2881</v>
      </c>
      <c r="O1125" s="141">
        <f>I1125</f>
        <v>0</v>
      </c>
      <c r="P1125" s="181" t="b">
        <f>COUNTIF('Facility Data'!$A$1:$A$1500,"*"&amp;A1125&amp;"*")&gt;0</f>
        <v>0</v>
      </c>
      <c r="Q1125" s="181" t="b">
        <f>COUNTIF('Account Data'!$A$1:$A$1000,"*"&amp;A1125&amp;"*")&gt;0</f>
        <v>0</v>
      </c>
      <c r="R1125" s="182" t="b">
        <f t="shared" si="357"/>
        <v>0</v>
      </c>
      <c r="S1125" s="182" t="b">
        <f>IF(OR(Q1125=TRUE,T1125=TRUE),TRUE,FALSE)</f>
        <v>0</v>
      </c>
      <c r="T1125" s="181" t="b">
        <f>COUNTIF('New Items'!$A$1:$A$175,A1125)&gt;0</f>
        <v>0</v>
      </c>
      <c r="U1125" s="181" t="b">
        <f>COUNTIF(Discontinued!$A$1:$A$150,A1125)&gt;0</f>
        <v>0</v>
      </c>
    </row>
    <row r="1126" spans="1:21" s="8" customFormat="1" ht="11.25" x14ac:dyDescent="0.2">
      <c r="A1126" s="152">
        <v>20029817</v>
      </c>
      <c r="B1126" s="10" t="s">
        <v>3705</v>
      </c>
      <c r="C1126" s="12" t="s">
        <v>3708</v>
      </c>
      <c r="D1126" s="11" t="s">
        <v>4161</v>
      </c>
      <c r="E1126" s="12" t="s">
        <v>769</v>
      </c>
      <c r="F1126" s="13">
        <v>15</v>
      </c>
      <c r="G1126" s="98">
        <f>Overview!$B$105</f>
        <v>24</v>
      </c>
      <c r="H1126" s="99">
        <f>G1126-I1126</f>
        <v>24</v>
      </c>
      <c r="I1126" s="169">
        <f>Overview!$E$105</f>
        <v>0</v>
      </c>
      <c r="J1126" s="100">
        <f>I1126/F1126</f>
        <v>0</v>
      </c>
      <c r="K1126" s="171">
        <f>Overview!$H$105</f>
        <v>0</v>
      </c>
      <c r="L1126" s="102" t="e">
        <f>(K1126-J1126)/K1126</f>
        <v>#DIV/0!</v>
      </c>
      <c r="M1126" s="179"/>
      <c r="N1126" s="179" t="s">
        <v>2881</v>
      </c>
      <c r="O1126" s="141">
        <f>I1126</f>
        <v>0</v>
      </c>
      <c r="P1126" s="181" t="b">
        <f>COUNTIF('Facility Data'!$A$1:$A$1500,"*"&amp;A1126&amp;"*")&gt;0</f>
        <v>0</v>
      </c>
      <c r="Q1126" s="181" t="b">
        <f>COUNTIF('Account Data'!$A$1:$A$1000,"*"&amp;A1126&amp;"*")&gt;0</f>
        <v>0</v>
      </c>
      <c r="R1126" s="182" t="b">
        <f t="shared" si="357"/>
        <v>0</v>
      </c>
      <c r="S1126" s="182" t="b">
        <f>IF(OR(Q1126=TRUE,T1126=TRUE),TRUE,FALSE)</f>
        <v>0</v>
      </c>
      <c r="T1126" s="181" t="b">
        <f>COUNTIF('New Items'!$A$1:$A$175,A1126)&gt;0</f>
        <v>0</v>
      </c>
      <c r="U1126" s="181" t="b">
        <f>COUNTIF(Discontinued!$A$1:$A$150,A1126)&gt;0</f>
        <v>0</v>
      </c>
    </row>
    <row r="1127" spans="1:21" s="8" customFormat="1" ht="11.25" x14ac:dyDescent="0.2">
      <c r="A1127" s="152">
        <v>20004149</v>
      </c>
      <c r="B1127" s="10" t="s">
        <v>2888</v>
      </c>
      <c r="C1127" s="12" t="s">
        <v>2889</v>
      </c>
      <c r="D1127" s="11" t="s">
        <v>2901</v>
      </c>
      <c r="E1127" s="12" t="s">
        <v>772</v>
      </c>
      <c r="F1127" s="13">
        <v>12</v>
      </c>
      <c r="G1127" s="98">
        <f>Overview!$B$106</f>
        <v>36</v>
      </c>
      <c r="H1127" s="99">
        <f t="shared" si="353"/>
        <v>36</v>
      </c>
      <c r="I1127" s="169">
        <f>Overview!$E$106</f>
        <v>0</v>
      </c>
      <c r="J1127" s="100">
        <f t="shared" si="358"/>
        <v>0</v>
      </c>
      <c r="K1127" s="171">
        <f>Overview!$H$106</f>
        <v>0</v>
      </c>
      <c r="L1127" s="102" t="e">
        <f t="shared" si="359"/>
        <v>#DIV/0!</v>
      </c>
      <c r="M1127" s="179"/>
      <c r="N1127" s="179" t="s">
        <v>2881</v>
      </c>
      <c r="O1127" s="141">
        <f t="shared" si="360"/>
        <v>0</v>
      </c>
      <c r="P1127" s="181" t="b">
        <f>COUNTIF('Facility Data'!$A$1:$A$1500,"*"&amp;A1127&amp;"*")&gt;0</f>
        <v>0</v>
      </c>
      <c r="Q1127" s="181" t="b">
        <f>COUNTIF('Account Data'!$A$1:$A$1000,"*"&amp;A1127&amp;"*")&gt;0</f>
        <v>0</v>
      </c>
      <c r="R1127" s="182" t="b">
        <f t="shared" si="357"/>
        <v>0</v>
      </c>
      <c r="S1127" s="182" t="b">
        <f t="shared" si="352"/>
        <v>0</v>
      </c>
      <c r="T1127" s="181" t="b">
        <f>COUNTIF('New Items'!$A$1:$A$175,A1127)&gt;0</f>
        <v>0</v>
      </c>
      <c r="U1127" s="181" t="b">
        <f>COUNTIF(Discontinued!$A$1:$A$150,A1127)&gt;0</f>
        <v>0</v>
      </c>
    </row>
    <row r="1128" spans="1:21" s="8" customFormat="1" ht="11.25" x14ac:dyDescent="0.2">
      <c r="A1128" s="152">
        <v>20004155</v>
      </c>
      <c r="B1128" s="10" t="s">
        <v>2890</v>
      </c>
      <c r="C1128" s="12" t="s">
        <v>2891</v>
      </c>
      <c r="D1128" s="11" t="s">
        <v>2902</v>
      </c>
      <c r="E1128" s="12" t="s">
        <v>772</v>
      </c>
      <c r="F1128" s="13">
        <v>12</v>
      </c>
      <c r="G1128" s="98">
        <f>Overview!$B$106</f>
        <v>36</v>
      </c>
      <c r="H1128" s="99">
        <f t="shared" si="353"/>
        <v>36</v>
      </c>
      <c r="I1128" s="169">
        <f>Overview!$E$106</f>
        <v>0</v>
      </c>
      <c r="J1128" s="100">
        <f t="shared" si="358"/>
        <v>0</v>
      </c>
      <c r="K1128" s="171">
        <f>Overview!$H$106</f>
        <v>0</v>
      </c>
      <c r="L1128" s="102" t="e">
        <f t="shared" si="359"/>
        <v>#DIV/0!</v>
      </c>
      <c r="M1128" s="179"/>
      <c r="N1128" s="179" t="s">
        <v>2881</v>
      </c>
      <c r="O1128" s="141">
        <f t="shared" si="360"/>
        <v>0</v>
      </c>
      <c r="P1128" s="181" t="b">
        <f>COUNTIF('Facility Data'!$A$1:$A$1500,"*"&amp;A1128&amp;"*")&gt;0</f>
        <v>0</v>
      </c>
      <c r="Q1128" s="181" t="b">
        <f>COUNTIF('Account Data'!$A$1:$A$1000,"*"&amp;A1128&amp;"*")&gt;0</f>
        <v>0</v>
      </c>
      <c r="R1128" s="182" t="b">
        <f t="shared" si="357"/>
        <v>0</v>
      </c>
      <c r="S1128" s="182" t="b">
        <f t="shared" si="352"/>
        <v>0</v>
      </c>
      <c r="T1128" s="181" t="b">
        <f>COUNTIF('New Items'!$A$1:$A$175,A1128)&gt;0</f>
        <v>0</v>
      </c>
      <c r="U1128" s="181" t="b">
        <f>COUNTIF(Discontinued!$A$1:$A$150,A1128)&gt;0</f>
        <v>0</v>
      </c>
    </row>
    <row r="1129" spans="1:21" s="8" customFormat="1" ht="11.25" x14ac:dyDescent="0.2">
      <c r="A1129" s="152">
        <v>20004151</v>
      </c>
      <c r="B1129" s="10" t="s">
        <v>2892</v>
      </c>
      <c r="C1129" s="12" t="s">
        <v>2893</v>
      </c>
      <c r="D1129" s="11" t="s">
        <v>2903</v>
      </c>
      <c r="E1129" s="12" t="s">
        <v>772</v>
      </c>
      <c r="F1129" s="13">
        <v>12</v>
      </c>
      <c r="G1129" s="98">
        <f>Overview!$B$106</f>
        <v>36</v>
      </c>
      <c r="H1129" s="99">
        <f t="shared" si="353"/>
        <v>36</v>
      </c>
      <c r="I1129" s="169">
        <f>Overview!$E$106</f>
        <v>0</v>
      </c>
      <c r="J1129" s="100">
        <f t="shared" si="358"/>
        <v>0</v>
      </c>
      <c r="K1129" s="171">
        <f>Overview!$H$106</f>
        <v>0</v>
      </c>
      <c r="L1129" s="102" t="e">
        <f t="shared" si="359"/>
        <v>#DIV/0!</v>
      </c>
      <c r="M1129" s="179"/>
      <c r="N1129" s="179" t="s">
        <v>2881</v>
      </c>
      <c r="O1129" s="141">
        <f t="shared" si="360"/>
        <v>0</v>
      </c>
      <c r="P1129" s="181" t="b">
        <f>COUNTIF('Facility Data'!$A$1:$A$1500,"*"&amp;A1129&amp;"*")&gt;0</f>
        <v>0</v>
      </c>
      <c r="Q1129" s="181" t="b">
        <f>COUNTIF('Account Data'!$A$1:$A$1000,"*"&amp;A1129&amp;"*")&gt;0</f>
        <v>0</v>
      </c>
      <c r="R1129" s="182" t="b">
        <f t="shared" si="357"/>
        <v>0</v>
      </c>
      <c r="S1129" s="182" t="b">
        <f t="shared" si="352"/>
        <v>0</v>
      </c>
      <c r="T1129" s="181" t="b">
        <f>COUNTIF('New Items'!$A$1:$A$175,A1129)&gt;0</f>
        <v>0</v>
      </c>
      <c r="U1129" s="181" t="b">
        <f>COUNTIF(Discontinued!$A$1:$A$150,A1129)&gt;0</f>
        <v>0</v>
      </c>
    </row>
    <row r="1130" spans="1:21" s="8" customFormat="1" ht="11.25" x14ac:dyDescent="0.2">
      <c r="A1130" s="152">
        <v>20008087</v>
      </c>
      <c r="B1130" s="10" t="s">
        <v>2894</v>
      </c>
      <c r="C1130" s="12" t="s">
        <v>2895</v>
      </c>
      <c r="D1130" s="11" t="s">
        <v>2904</v>
      </c>
      <c r="E1130" s="12" t="s">
        <v>772</v>
      </c>
      <c r="F1130" s="13">
        <v>12</v>
      </c>
      <c r="G1130" s="98">
        <f>Overview!$B$106</f>
        <v>36</v>
      </c>
      <c r="H1130" s="99">
        <f t="shared" si="353"/>
        <v>36</v>
      </c>
      <c r="I1130" s="169">
        <f>Overview!$E$106</f>
        <v>0</v>
      </c>
      <c r="J1130" s="100">
        <f t="shared" si="358"/>
        <v>0</v>
      </c>
      <c r="K1130" s="171">
        <f>Overview!$H$106</f>
        <v>0</v>
      </c>
      <c r="L1130" s="102" t="e">
        <f t="shared" si="359"/>
        <v>#DIV/0!</v>
      </c>
      <c r="M1130" s="179"/>
      <c r="N1130" s="179" t="s">
        <v>2881</v>
      </c>
      <c r="O1130" s="141">
        <f t="shared" si="360"/>
        <v>0</v>
      </c>
      <c r="P1130" s="181" t="b">
        <f>COUNTIF('Facility Data'!$A$1:$A$1500,"*"&amp;A1130&amp;"*")&gt;0</f>
        <v>0</v>
      </c>
      <c r="Q1130" s="181" t="b">
        <f>COUNTIF('Account Data'!$A$1:$A$1000,"*"&amp;A1130&amp;"*")&gt;0</f>
        <v>0</v>
      </c>
      <c r="R1130" s="182" t="b">
        <f t="shared" si="357"/>
        <v>0</v>
      </c>
      <c r="S1130" s="182" t="b">
        <f t="shared" si="352"/>
        <v>0</v>
      </c>
      <c r="T1130" s="181" t="b">
        <f>COUNTIF('New Items'!$A$1:$A$175,A1130)&gt;0</f>
        <v>0</v>
      </c>
      <c r="U1130" s="181" t="b">
        <f>COUNTIF(Discontinued!$A$1:$A$150,A1130)&gt;0</f>
        <v>0</v>
      </c>
    </row>
    <row r="1131" spans="1:21" s="8" customFormat="1" ht="12" thickBot="1" x14ac:dyDescent="0.25">
      <c r="A1131" s="152">
        <v>20026254</v>
      </c>
      <c r="B1131" s="10" t="s">
        <v>2896</v>
      </c>
      <c r="C1131" s="12" t="s">
        <v>2897</v>
      </c>
      <c r="D1131" s="11" t="s">
        <v>2905</v>
      </c>
      <c r="E1131" s="12" t="s">
        <v>772</v>
      </c>
      <c r="F1131" s="13">
        <v>12</v>
      </c>
      <c r="G1131" s="98">
        <f>Overview!$B$106</f>
        <v>36</v>
      </c>
      <c r="H1131" s="99">
        <f t="shared" si="353"/>
        <v>36</v>
      </c>
      <c r="I1131" s="169">
        <f>Overview!$E$106</f>
        <v>0</v>
      </c>
      <c r="J1131" s="100">
        <f t="shared" si="358"/>
        <v>0</v>
      </c>
      <c r="K1131" s="171">
        <f>Overview!$H$106</f>
        <v>0</v>
      </c>
      <c r="L1131" s="102" t="e">
        <f t="shared" si="359"/>
        <v>#DIV/0!</v>
      </c>
      <c r="M1131" s="179"/>
      <c r="N1131" s="179" t="s">
        <v>2881</v>
      </c>
      <c r="O1131" s="141">
        <f t="shared" si="360"/>
        <v>0</v>
      </c>
      <c r="P1131" s="181" t="b">
        <f>COUNTIF('Facility Data'!$A$1:$A$1500,"*"&amp;A1131&amp;"*")&gt;0</f>
        <v>0</v>
      </c>
      <c r="Q1131" s="181" t="b">
        <f>COUNTIF('Account Data'!$A$1:$A$1000,"*"&amp;A1131&amp;"*")&gt;0</f>
        <v>0</v>
      </c>
      <c r="R1131" s="182" t="b">
        <f t="shared" si="357"/>
        <v>0</v>
      </c>
      <c r="S1131" s="182" t="b">
        <f t="shared" si="352"/>
        <v>0</v>
      </c>
      <c r="T1131" s="181" t="b">
        <f>COUNTIF('New Items'!$A$1:$A$175,A1131)&gt;0</f>
        <v>0</v>
      </c>
      <c r="U1131" s="181" t="b">
        <f>COUNTIF(Discontinued!$A$1:$A$150,A1131)&gt;0</f>
        <v>0</v>
      </c>
    </row>
    <row r="1132" spans="1:21" s="8" customFormat="1" ht="13.5" thickBot="1" x14ac:dyDescent="0.25">
      <c r="A1132" s="300" t="s">
        <v>2966</v>
      </c>
      <c r="B1132" s="301"/>
      <c r="C1132" s="301"/>
      <c r="D1132" s="301"/>
      <c r="E1132" s="301"/>
      <c r="F1132" s="301"/>
      <c r="G1132" s="301"/>
      <c r="H1132" s="301"/>
      <c r="I1132" s="301"/>
      <c r="J1132" s="301"/>
      <c r="K1132" s="301"/>
      <c r="L1132" s="302"/>
      <c r="M1132" s="179" t="s">
        <v>4361</v>
      </c>
      <c r="N1132" s="179" t="s">
        <v>2966</v>
      </c>
      <c r="O1132" s="141">
        <f>AVERAGE(O1133:O1137)</f>
        <v>0</v>
      </c>
      <c r="P1132" s="181" t="b">
        <f>COUNTIF(P1133:P1137,TRUE)&gt;0</f>
        <v>0</v>
      </c>
      <c r="Q1132" s="181" t="b">
        <f>COUNTIF(Q1133:Q1137,TRUE)&gt;0</f>
        <v>0</v>
      </c>
      <c r="R1132" s="181" t="b">
        <f>COUNTIF(R1133:R1137,TRUE)&gt;0</f>
        <v>0</v>
      </c>
      <c r="S1132" s="181" t="b">
        <f>COUNTIF(S1133:S1137,TRUE)&gt;0</f>
        <v>0</v>
      </c>
      <c r="T1132" s="181" t="b">
        <f>COUNTIF(T1133:T1137,TRUE)&gt;0</f>
        <v>0</v>
      </c>
      <c r="U1132" s="181"/>
    </row>
    <row r="1133" spans="1:21" s="8" customFormat="1" ht="11.25" x14ac:dyDescent="0.2">
      <c r="A1133" s="152">
        <v>10085234</v>
      </c>
      <c r="B1133" s="10" t="s">
        <v>2971</v>
      </c>
      <c r="C1133" s="12" t="s">
        <v>2972</v>
      </c>
      <c r="D1133" s="11" t="s">
        <v>2975</v>
      </c>
      <c r="E1133" s="12" t="s">
        <v>776</v>
      </c>
      <c r="F1133" s="13">
        <v>6</v>
      </c>
      <c r="G1133" s="98">
        <f>Overview!$B$107</f>
        <v>24</v>
      </c>
      <c r="H1133" s="99">
        <f>G1133-I1133</f>
        <v>24</v>
      </c>
      <c r="I1133" s="169">
        <f>Overview!$E$107</f>
        <v>0</v>
      </c>
      <c r="J1133" s="100">
        <f>I1133/F1133</f>
        <v>0</v>
      </c>
      <c r="K1133" s="171">
        <f>Overview!$H$107</f>
        <v>0</v>
      </c>
      <c r="L1133" s="102" t="e">
        <f>(K1133-J1133)/K1133</f>
        <v>#DIV/0!</v>
      </c>
      <c r="M1133" s="179"/>
      <c r="N1133" s="179" t="s">
        <v>2966</v>
      </c>
      <c r="O1133" s="141">
        <f>I1133</f>
        <v>0</v>
      </c>
      <c r="P1133" s="181" t="b">
        <f>COUNTIF('Facility Data'!$A$1:$A$1500,"*"&amp;A1133&amp;"*")&gt;0</f>
        <v>0</v>
      </c>
      <c r="Q1133" s="181" t="b">
        <f>COUNTIF('Account Data'!$A$1:$A$1000,"*"&amp;A1133&amp;"*")&gt;0</f>
        <v>0</v>
      </c>
      <c r="R1133" s="182" t="b">
        <f>IF(OR(P1133=TRUE,T1133=TRUE),TRUE,FALSE)</f>
        <v>0</v>
      </c>
      <c r="S1133" s="182" t="b">
        <f>IF(OR(Q1133=TRUE,T1133=TRUE),TRUE,FALSE)</f>
        <v>0</v>
      </c>
      <c r="T1133" s="181" t="b">
        <f>COUNTIF('New Items'!$A$1:$A$175,A1133)&gt;0</f>
        <v>0</v>
      </c>
      <c r="U1133" s="181" t="b">
        <f>COUNTIF(Discontinued!$A$1:$A$150,A1133)&gt;0</f>
        <v>0</v>
      </c>
    </row>
    <row r="1134" spans="1:21" s="8" customFormat="1" ht="11.25" x14ac:dyDescent="0.2">
      <c r="A1134" s="152">
        <v>10006322</v>
      </c>
      <c r="B1134" s="10" t="s">
        <v>1689</v>
      </c>
      <c r="C1134" s="12" t="s">
        <v>1690</v>
      </c>
      <c r="D1134" s="11" t="s">
        <v>2978</v>
      </c>
      <c r="E1134" s="12" t="s">
        <v>769</v>
      </c>
      <c r="F1134" s="13">
        <v>4</v>
      </c>
      <c r="G1134" s="98">
        <f>Overview!$B$108</f>
        <v>17</v>
      </c>
      <c r="H1134" s="99">
        <f>G1134-I1134</f>
        <v>17</v>
      </c>
      <c r="I1134" s="169">
        <f>Overview!$E$108</f>
        <v>0</v>
      </c>
      <c r="J1134" s="100">
        <f>I1134/F1134</f>
        <v>0</v>
      </c>
      <c r="K1134" s="171">
        <f>Overview!$H$108</f>
        <v>0</v>
      </c>
      <c r="L1134" s="102" t="e">
        <f>(K1134-J1134)/K1134</f>
        <v>#DIV/0!</v>
      </c>
      <c r="M1134" s="179"/>
      <c r="N1134" s="179" t="s">
        <v>2966</v>
      </c>
      <c r="O1134" s="141">
        <f>I1134</f>
        <v>0</v>
      </c>
      <c r="P1134" s="181" t="b">
        <f>COUNTIF('Facility Data'!$A$1:$A$1500,"*"&amp;A1134&amp;"*")&gt;0</f>
        <v>0</v>
      </c>
      <c r="Q1134" s="181" t="b">
        <f>COUNTIF('Account Data'!$A$1:$A$1000,"*"&amp;A1134&amp;"*")&gt;0</f>
        <v>0</v>
      </c>
      <c r="R1134" s="182" t="b">
        <f>IF(OR(P1134=TRUE,T1134=TRUE),TRUE,FALSE)</f>
        <v>0</v>
      </c>
      <c r="S1134" s="182" t="b">
        <f>IF(OR(Q1134=TRUE,T1134=TRUE),TRUE,FALSE)</f>
        <v>0</v>
      </c>
      <c r="T1134" s="181" t="b">
        <f>COUNTIF('New Items'!$A$1:$A$175,A1134)&gt;0</f>
        <v>0</v>
      </c>
      <c r="U1134" s="181" t="b">
        <f>COUNTIF(Discontinued!$A$1:$A$150,A1134)&gt;0</f>
        <v>0</v>
      </c>
    </row>
    <row r="1135" spans="1:21" s="8" customFormat="1" ht="11.25" x14ac:dyDescent="0.2">
      <c r="A1135" s="152">
        <v>10006319</v>
      </c>
      <c r="B1135" s="10" t="s">
        <v>2967</v>
      </c>
      <c r="C1135" s="12" t="s">
        <v>2968</v>
      </c>
      <c r="D1135" s="11" t="s">
        <v>2979</v>
      </c>
      <c r="E1135" s="12" t="s">
        <v>772</v>
      </c>
      <c r="F1135" s="13">
        <v>24</v>
      </c>
      <c r="G1135" s="98">
        <f>Overview!$B$109</f>
        <v>22.45</v>
      </c>
      <c r="H1135" s="99">
        <f>G1135-I1135</f>
        <v>22.45</v>
      </c>
      <c r="I1135" s="169">
        <f>Overview!$E$109</f>
        <v>0</v>
      </c>
      <c r="J1135" s="100">
        <f>I1135/F1135</f>
        <v>0</v>
      </c>
      <c r="K1135" s="171">
        <f>Overview!$H$109</f>
        <v>0</v>
      </c>
      <c r="L1135" s="102" t="e">
        <f>(K1135-J1135)/K1135</f>
        <v>#DIV/0!</v>
      </c>
      <c r="M1135" s="179"/>
      <c r="N1135" s="179" t="s">
        <v>2966</v>
      </c>
      <c r="O1135" s="141">
        <f>I1135</f>
        <v>0</v>
      </c>
      <c r="P1135" s="181" t="b">
        <f>COUNTIF('Facility Data'!$A$1:$A$1500,"*"&amp;A1135&amp;"*")&gt;0</f>
        <v>0</v>
      </c>
      <c r="Q1135" s="181" t="b">
        <f>COUNTIF('Account Data'!$A$1:$A$1000,"*"&amp;A1135&amp;"*")&gt;0</f>
        <v>0</v>
      </c>
      <c r="R1135" s="182" t="b">
        <f>IF(OR(P1135=TRUE,T1135=TRUE),TRUE,FALSE)</f>
        <v>0</v>
      </c>
      <c r="S1135" s="182" t="b">
        <f t="shared" si="352"/>
        <v>0</v>
      </c>
      <c r="T1135" s="181" t="b">
        <f>COUNTIF('New Items'!$A$1:$A$175,A1135)&gt;0</f>
        <v>0</v>
      </c>
      <c r="U1135" s="181" t="b">
        <f>COUNTIF(Discontinued!$A$1:$A$150,A1135)&gt;0</f>
        <v>0</v>
      </c>
    </row>
    <row r="1136" spans="1:21" s="8" customFormat="1" ht="11.25" x14ac:dyDescent="0.2">
      <c r="A1136" s="152">
        <v>10006321</v>
      </c>
      <c r="B1136" s="10" t="s">
        <v>2969</v>
      </c>
      <c r="C1136" s="12" t="s">
        <v>2970</v>
      </c>
      <c r="D1136" s="11" t="s">
        <v>2980</v>
      </c>
      <c r="E1136" s="12" t="s">
        <v>761</v>
      </c>
      <c r="F1136" s="13">
        <v>12</v>
      </c>
      <c r="G1136" s="98">
        <f>Overview!$B$110</f>
        <v>21</v>
      </c>
      <c r="H1136" s="99">
        <f t="shared" si="353"/>
        <v>21</v>
      </c>
      <c r="I1136" s="169">
        <f>Overview!$E$110</f>
        <v>0</v>
      </c>
      <c r="J1136" s="100">
        <f>I1136/F1136</f>
        <v>0</v>
      </c>
      <c r="K1136" s="171">
        <f>Overview!$H$110</f>
        <v>0</v>
      </c>
      <c r="L1136" s="102" t="e">
        <f>(K1136-J1136)/K1136</f>
        <v>#DIV/0!</v>
      </c>
      <c r="M1136" s="179"/>
      <c r="N1136" s="179" t="s">
        <v>2966</v>
      </c>
      <c r="O1136" s="141">
        <f>I1136</f>
        <v>0</v>
      </c>
      <c r="P1136" s="181" t="b">
        <f>COUNTIF('Facility Data'!$A$1:$A$1500,"*"&amp;A1136&amp;"*")&gt;0</f>
        <v>0</v>
      </c>
      <c r="Q1136" s="181" t="b">
        <f>COUNTIF('Account Data'!$A$1:$A$1000,"*"&amp;A1136&amp;"*")&gt;0</f>
        <v>0</v>
      </c>
      <c r="R1136" s="182" t="b">
        <f>IF(OR(P1136=TRUE,T1136=TRUE),TRUE,FALSE)</f>
        <v>0</v>
      </c>
      <c r="S1136" s="182" t="b">
        <f t="shared" si="352"/>
        <v>0</v>
      </c>
      <c r="T1136" s="181" t="b">
        <f>COUNTIF('New Items'!$A$1:$A$175,A1136)&gt;0</f>
        <v>0</v>
      </c>
      <c r="U1136" s="181" t="b">
        <f>COUNTIF(Discontinued!$A$1:$A$150,A1136)&gt;0</f>
        <v>0</v>
      </c>
    </row>
    <row r="1137" spans="1:21" s="8" customFormat="1" ht="12" thickBot="1" x14ac:dyDescent="0.25">
      <c r="A1137" s="152">
        <v>10006324</v>
      </c>
      <c r="B1137" s="10" t="s">
        <v>2973</v>
      </c>
      <c r="C1137" s="12" t="s">
        <v>2974</v>
      </c>
      <c r="D1137" s="11" t="s">
        <v>2976</v>
      </c>
      <c r="E1137" s="12" t="s">
        <v>2977</v>
      </c>
      <c r="F1137" s="13">
        <v>8</v>
      </c>
      <c r="G1137" s="98">
        <f>Overview!$B$111</f>
        <v>17.5</v>
      </c>
      <c r="H1137" s="99">
        <f>G1137-I1137</f>
        <v>17.5</v>
      </c>
      <c r="I1137" s="169">
        <f>Overview!$E$111</f>
        <v>0</v>
      </c>
      <c r="J1137" s="100">
        <f>I1137/F1137</f>
        <v>0</v>
      </c>
      <c r="K1137" s="171">
        <f>Overview!$H$111</f>
        <v>0</v>
      </c>
      <c r="L1137" s="102" t="e">
        <f>(K1137-J1137)/K1137</f>
        <v>#DIV/0!</v>
      </c>
      <c r="M1137" s="179"/>
      <c r="N1137" s="179" t="s">
        <v>2966</v>
      </c>
      <c r="O1137" s="141">
        <f>I1137</f>
        <v>0</v>
      </c>
      <c r="P1137" s="181" t="b">
        <f>COUNTIF('Facility Data'!$A$1:$A$1500,"*"&amp;A1137&amp;"*")&gt;0</f>
        <v>0</v>
      </c>
      <c r="Q1137" s="181" t="b">
        <f>COUNTIF('Account Data'!$A$1:$A$1000,"*"&amp;A1137&amp;"*")&gt;0</f>
        <v>0</v>
      </c>
      <c r="R1137" s="182" t="b">
        <f>IF(OR(P1137=TRUE,T1137=TRUE),TRUE,FALSE)</f>
        <v>0</v>
      </c>
      <c r="S1137" s="182" t="b">
        <f>IF(OR(Q1137=TRUE,T1137=TRUE),TRUE,FALSE)</f>
        <v>0</v>
      </c>
      <c r="T1137" s="181" t="b">
        <f>COUNTIF('New Items'!$A$1:$A$175,A1137)&gt;0</f>
        <v>0</v>
      </c>
      <c r="U1137" s="181" t="b">
        <f>COUNTIF(Discontinued!$A$1:$A$150,A1137)&gt;0</f>
        <v>0</v>
      </c>
    </row>
    <row r="1138" spans="1:21" s="8" customFormat="1" ht="13.5" thickBot="1" x14ac:dyDescent="0.25">
      <c r="A1138" s="300" t="s">
        <v>485</v>
      </c>
      <c r="B1138" s="301"/>
      <c r="C1138" s="301"/>
      <c r="D1138" s="301"/>
      <c r="E1138" s="301"/>
      <c r="F1138" s="301"/>
      <c r="G1138" s="301"/>
      <c r="H1138" s="301"/>
      <c r="I1138" s="301"/>
      <c r="J1138" s="301"/>
      <c r="K1138" s="301"/>
      <c r="L1138" s="302"/>
      <c r="M1138" s="179" t="s">
        <v>4361</v>
      </c>
      <c r="N1138" s="179" t="s">
        <v>485</v>
      </c>
      <c r="O1138" s="141">
        <f>AVERAGE(O1139:O1154)</f>
        <v>0</v>
      </c>
      <c r="P1138" s="181" t="b">
        <f>COUNTIF(P1139:P1154,TRUE)&gt;0</f>
        <v>1</v>
      </c>
      <c r="Q1138" s="181" t="b">
        <f>COUNTIF(Q1139:Q1154,TRUE)&gt;0</f>
        <v>1</v>
      </c>
      <c r="R1138" s="181" t="b">
        <f>COUNTIF(R1139:R1154,TRUE)&gt;0</f>
        <v>1</v>
      </c>
      <c r="S1138" s="181" t="b">
        <f>COUNTIF(S1139:S1154,TRUE)&gt;0</f>
        <v>1</v>
      </c>
      <c r="T1138" s="181" t="b">
        <f>COUNTIF(T1139:T1154,TRUE)&gt;0</f>
        <v>0</v>
      </c>
      <c r="U1138" s="181"/>
    </row>
    <row r="1139" spans="1:21" s="8" customFormat="1" ht="11.25" x14ac:dyDescent="0.2">
      <c r="A1139" s="152">
        <v>10001695</v>
      </c>
      <c r="B1139" s="10" t="s">
        <v>531</v>
      </c>
      <c r="C1139" s="15" t="s">
        <v>495</v>
      </c>
      <c r="D1139" s="11" t="s">
        <v>768</v>
      </c>
      <c r="E1139" s="15" t="s">
        <v>783</v>
      </c>
      <c r="F1139" s="13">
        <v>4</v>
      </c>
      <c r="G1139" s="22">
        <f>Overview!$B$112</f>
        <v>13</v>
      </c>
      <c r="H1139" s="23">
        <f t="shared" ref="H1139:H1154" si="361">G1139-I1139</f>
        <v>13</v>
      </c>
      <c r="I1139" s="114">
        <f>Overview!$E$112</f>
        <v>0</v>
      </c>
      <c r="J1139" s="52">
        <f t="shared" ref="J1139:J1144" si="362">I1139/F1139</f>
        <v>0</v>
      </c>
      <c r="K1139" s="174">
        <f>Overview!$H$112</f>
        <v>0</v>
      </c>
      <c r="L1139" s="54" t="e">
        <f t="shared" ref="L1139:L1144" si="363">(K1139-J1139)/K1139</f>
        <v>#DIV/0!</v>
      </c>
      <c r="M1139" s="179"/>
      <c r="N1139" s="179" t="s">
        <v>485</v>
      </c>
      <c r="O1139" s="141">
        <f t="shared" ref="O1139:O1145" si="364">I1139</f>
        <v>0</v>
      </c>
      <c r="P1139" s="181" t="b">
        <f>COUNTIF('Facility Data'!$A$1:$A$1500,"*"&amp;A1139&amp;"*")&gt;0</f>
        <v>0</v>
      </c>
      <c r="Q1139" s="181" t="b">
        <f>COUNTIF('Account Data'!$A$1:$A$1000,"*"&amp;A1139&amp;"*")&gt;0</f>
        <v>0</v>
      </c>
      <c r="R1139" s="182" t="b">
        <f t="shared" ref="R1139:R1154" si="365">IF(OR(P1139=TRUE,T1139=TRUE),TRUE,FALSE)</f>
        <v>0</v>
      </c>
      <c r="S1139" s="182" t="b">
        <f t="shared" ref="S1139:S1144" si="366">IF(OR(Q1139=TRUE,T1139=TRUE),TRUE,FALSE)</f>
        <v>0</v>
      </c>
      <c r="T1139" s="181" t="b">
        <f>COUNTIF('New Items'!$A$1:$A$175,A1139)&gt;0</f>
        <v>0</v>
      </c>
      <c r="U1139" s="181" t="b">
        <f>COUNTIF(Discontinued!$A$1:$A$150,A1139)&gt;0</f>
        <v>0</v>
      </c>
    </row>
    <row r="1140" spans="1:21" s="8" customFormat="1" ht="11.25" x14ac:dyDescent="0.2">
      <c r="A1140" s="152">
        <v>10097277</v>
      </c>
      <c r="B1140" s="10" t="s">
        <v>532</v>
      </c>
      <c r="C1140" s="15" t="s">
        <v>493</v>
      </c>
      <c r="D1140" s="11" t="s">
        <v>766</v>
      </c>
      <c r="E1140" s="15" t="s">
        <v>769</v>
      </c>
      <c r="F1140" s="13">
        <v>12</v>
      </c>
      <c r="G1140" s="22">
        <f>Overview!$B$113</f>
        <v>20</v>
      </c>
      <c r="H1140" s="23">
        <f t="shared" si="361"/>
        <v>20</v>
      </c>
      <c r="I1140" s="114">
        <f>Overview!$E$113</f>
        <v>0</v>
      </c>
      <c r="J1140" s="24">
        <f t="shared" si="362"/>
        <v>0</v>
      </c>
      <c r="K1140" s="116">
        <f>Overview!$H$113</f>
        <v>0</v>
      </c>
      <c r="L1140" s="51" t="e">
        <f t="shared" si="363"/>
        <v>#DIV/0!</v>
      </c>
      <c r="M1140" s="179"/>
      <c r="N1140" s="179" t="s">
        <v>485</v>
      </c>
      <c r="O1140" s="141">
        <f t="shared" si="364"/>
        <v>0</v>
      </c>
      <c r="P1140" s="181" t="b">
        <f>COUNTIF('Facility Data'!$A$1:$A$1500,"*"&amp;A1140&amp;"*")&gt;0</f>
        <v>0</v>
      </c>
      <c r="Q1140" s="181" t="b">
        <f>COUNTIF('Account Data'!$A$1:$A$1000,"*"&amp;A1140&amp;"*")&gt;0</f>
        <v>1</v>
      </c>
      <c r="R1140" s="182" t="b">
        <f t="shared" si="365"/>
        <v>0</v>
      </c>
      <c r="S1140" s="182" t="b">
        <f t="shared" si="366"/>
        <v>1</v>
      </c>
      <c r="T1140" s="181" t="b">
        <f>COUNTIF('New Items'!$A$1:$A$175,A1140)&gt;0</f>
        <v>0</v>
      </c>
      <c r="U1140" s="181" t="b">
        <f>COUNTIF(Discontinued!$A$1:$A$150,A1140)&gt;0</f>
        <v>0</v>
      </c>
    </row>
    <row r="1141" spans="1:21" s="8" customFormat="1" ht="11.25" x14ac:dyDescent="0.2">
      <c r="A1141" s="152">
        <v>10097278</v>
      </c>
      <c r="B1141" s="10" t="s">
        <v>533</v>
      </c>
      <c r="C1141" s="15" t="s">
        <v>494</v>
      </c>
      <c r="D1141" s="11" t="s">
        <v>767</v>
      </c>
      <c r="E1141" s="15" t="s">
        <v>769</v>
      </c>
      <c r="F1141" s="13">
        <v>12</v>
      </c>
      <c r="G1141" s="22">
        <f>Overview!$B$113</f>
        <v>20</v>
      </c>
      <c r="H1141" s="23">
        <f t="shared" si="361"/>
        <v>20</v>
      </c>
      <c r="I1141" s="114">
        <f>Overview!$E$113</f>
        <v>0</v>
      </c>
      <c r="J1141" s="24">
        <f t="shared" si="362"/>
        <v>0</v>
      </c>
      <c r="K1141" s="116">
        <f>Overview!$H$113</f>
        <v>0</v>
      </c>
      <c r="L1141" s="51" t="e">
        <f t="shared" si="363"/>
        <v>#DIV/0!</v>
      </c>
      <c r="M1141" s="179"/>
      <c r="N1141" s="179" t="s">
        <v>485</v>
      </c>
      <c r="O1141" s="141">
        <f t="shared" si="364"/>
        <v>0</v>
      </c>
      <c r="P1141" s="181" t="b">
        <f>COUNTIF('Facility Data'!$A$1:$A$1500,"*"&amp;A1141&amp;"*")&gt;0</f>
        <v>0</v>
      </c>
      <c r="Q1141" s="181" t="b">
        <f>COUNTIF('Account Data'!$A$1:$A$1000,"*"&amp;A1141&amp;"*")&gt;0</f>
        <v>1</v>
      </c>
      <c r="R1141" s="182" t="b">
        <f t="shared" si="365"/>
        <v>0</v>
      </c>
      <c r="S1141" s="182" t="b">
        <f t="shared" si="366"/>
        <v>1</v>
      </c>
      <c r="T1141" s="181" t="b">
        <f>COUNTIF('New Items'!$A$1:$A$175,A1141)&gt;0</f>
        <v>0</v>
      </c>
      <c r="U1141" s="181" t="b">
        <f>COUNTIF(Discontinued!$A$1:$A$150,A1141)&gt;0</f>
        <v>0</v>
      </c>
    </row>
    <row r="1142" spans="1:21" s="8" customFormat="1" ht="11.25" x14ac:dyDescent="0.2">
      <c r="A1142" s="152">
        <v>10011917</v>
      </c>
      <c r="B1142" s="10" t="s">
        <v>491</v>
      </c>
      <c r="C1142" s="12" t="s">
        <v>492</v>
      </c>
      <c r="D1142" s="11" t="s">
        <v>3151</v>
      </c>
      <c r="E1142" s="12" t="s">
        <v>772</v>
      </c>
      <c r="F1142" s="13">
        <v>12</v>
      </c>
      <c r="G1142" s="22">
        <f>Overview!$B$114</f>
        <v>20</v>
      </c>
      <c r="H1142" s="23">
        <f t="shared" ref="H1142:H1147" si="367">G1142-I1142</f>
        <v>20</v>
      </c>
      <c r="I1142" s="114">
        <f>Overview!$E$114</f>
        <v>0</v>
      </c>
      <c r="J1142" s="24">
        <f t="shared" si="362"/>
        <v>0</v>
      </c>
      <c r="K1142" s="116">
        <f>Overview!$H$114</f>
        <v>0</v>
      </c>
      <c r="L1142" s="51" t="e">
        <f t="shared" si="363"/>
        <v>#DIV/0!</v>
      </c>
      <c r="M1142" s="179"/>
      <c r="N1142" s="179" t="s">
        <v>485</v>
      </c>
      <c r="O1142" s="141">
        <f t="shared" si="364"/>
        <v>0</v>
      </c>
      <c r="P1142" s="181" t="b">
        <f>COUNTIF('Facility Data'!$A$1:$A$1500,"*"&amp;A1142&amp;"*")&gt;0</f>
        <v>1</v>
      </c>
      <c r="Q1142" s="181" t="b">
        <f>COUNTIF('Account Data'!$A$1:$A$1000,"*"&amp;A1142&amp;"*")&gt;0</f>
        <v>0</v>
      </c>
      <c r="R1142" s="182" t="b">
        <f t="shared" si="365"/>
        <v>1</v>
      </c>
      <c r="S1142" s="182" t="b">
        <f t="shared" si="366"/>
        <v>0</v>
      </c>
      <c r="T1142" s="181" t="b">
        <f>COUNTIF('New Items'!$A$1:$A$175,A1142)&gt;0</f>
        <v>0</v>
      </c>
      <c r="U1142" s="181" t="b">
        <f>COUNTIF(Discontinued!$A$1:$A$150,A1142)&gt;0</f>
        <v>0</v>
      </c>
    </row>
    <row r="1143" spans="1:21" s="8" customFormat="1" ht="11.25" x14ac:dyDescent="0.2">
      <c r="A1143" s="152">
        <v>10011916</v>
      </c>
      <c r="B1143" s="10" t="s">
        <v>1345</v>
      </c>
      <c r="C1143" s="12" t="s">
        <v>1346</v>
      </c>
      <c r="D1143" s="11" t="s">
        <v>3152</v>
      </c>
      <c r="E1143" s="12" t="s">
        <v>772</v>
      </c>
      <c r="F1143" s="13">
        <v>12</v>
      </c>
      <c r="G1143" s="22">
        <f>Overview!$B$114</f>
        <v>20</v>
      </c>
      <c r="H1143" s="23">
        <f t="shared" si="367"/>
        <v>20</v>
      </c>
      <c r="I1143" s="114">
        <f>Overview!$E$114</f>
        <v>0</v>
      </c>
      <c r="J1143" s="52">
        <f t="shared" si="362"/>
        <v>0</v>
      </c>
      <c r="K1143" s="174">
        <f>Overview!$H$114</f>
        <v>0</v>
      </c>
      <c r="L1143" s="54" t="e">
        <f t="shared" si="363"/>
        <v>#DIV/0!</v>
      </c>
      <c r="M1143" s="179"/>
      <c r="N1143" s="179" t="s">
        <v>485</v>
      </c>
      <c r="O1143" s="141">
        <f t="shared" si="364"/>
        <v>0</v>
      </c>
      <c r="P1143" s="181" t="b">
        <f>COUNTIF('Facility Data'!$A$1:$A$1500,"*"&amp;A1143&amp;"*")&gt;0</f>
        <v>1</v>
      </c>
      <c r="Q1143" s="181" t="b">
        <f>COUNTIF('Account Data'!$A$1:$A$1000,"*"&amp;A1143&amp;"*")&gt;0</f>
        <v>0</v>
      </c>
      <c r="R1143" s="182" t="b">
        <f t="shared" si="365"/>
        <v>1</v>
      </c>
      <c r="S1143" s="182" t="b">
        <f t="shared" si="366"/>
        <v>0</v>
      </c>
      <c r="T1143" s="181" t="b">
        <f>COUNTIF('New Items'!$A$1:$A$175,A1143)&gt;0</f>
        <v>0</v>
      </c>
      <c r="U1143" s="181" t="b">
        <f>COUNTIF(Discontinued!$A$1:$A$150,A1143)&gt;0</f>
        <v>0</v>
      </c>
    </row>
    <row r="1144" spans="1:21" s="8" customFormat="1" ht="11.25" x14ac:dyDescent="0.2">
      <c r="A1144" s="152">
        <v>10078678</v>
      </c>
      <c r="B1144" s="10" t="s">
        <v>1347</v>
      </c>
      <c r="C1144" s="12" t="s">
        <v>1348</v>
      </c>
      <c r="D1144" s="11" t="s">
        <v>3153</v>
      </c>
      <c r="E1144" s="12" t="s">
        <v>772</v>
      </c>
      <c r="F1144" s="13">
        <v>12</v>
      </c>
      <c r="G1144" s="22">
        <f>Overview!$B$114</f>
        <v>20</v>
      </c>
      <c r="H1144" s="23">
        <f t="shared" si="367"/>
        <v>20</v>
      </c>
      <c r="I1144" s="114">
        <f>Overview!$E$114</f>
        <v>0</v>
      </c>
      <c r="J1144" s="52">
        <f t="shared" si="362"/>
        <v>0</v>
      </c>
      <c r="K1144" s="174">
        <f>Overview!$H$114</f>
        <v>0</v>
      </c>
      <c r="L1144" s="54" t="e">
        <f t="shared" si="363"/>
        <v>#DIV/0!</v>
      </c>
      <c r="M1144" s="179"/>
      <c r="N1144" s="179" t="s">
        <v>485</v>
      </c>
      <c r="O1144" s="141">
        <f t="shared" si="364"/>
        <v>0</v>
      </c>
      <c r="P1144" s="181" t="b">
        <f>COUNTIF('Facility Data'!$A$1:$A$1500,"*"&amp;A1144&amp;"*")&gt;0</f>
        <v>0</v>
      </c>
      <c r="Q1144" s="181" t="b">
        <f>COUNTIF('Account Data'!$A$1:$A$1000,"*"&amp;A1144&amp;"*")&gt;0</f>
        <v>0</v>
      </c>
      <c r="R1144" s="182" t="b">
        <f t="shared" si="365"/>
        <v>0</v>
      </c>
      <c r="S1144" s="182" t="b">
        <f t="shared" si="366"/>
        <v>0</v>
      </c>
      <c r="T1144" s="181" t="b">
        <f>COUNTIF('New Items'!$A$1:$A$175,A1144)&gt;0</f>
        <v>0</v>
      </c>
      <c r="U1144" s="181" t="b">
        <f>COUNTIF(Discontinued!$A$1:$A$150,A1144)&gt;0</f>
        <v>0</v>
      </c>
    </row>
    <row r="1145" spans="1:21" s="8" customFormat="1" ht="11.25" x14ac:dyDescent="0.2">
      <c r="A1145" s="152">
        <v>10130565</v>
      </c>
      <c r="B1145" s="10" t="s">
        <v>3980</v>
      </c>
      <c r="C1145" s="12" t="s">
        <v>3981</v>
      </c>
      <c r="D1145" s="11" t="s">
        <v>3977</v>
      </c>
      <c r="E1145" s="12" t="s">
        <v>772</v>
      </c>
      <c r="F1145" s="13">
        <v>12</v>
      </c>
      <c r="G1145" s="22">
        <f>Overview!$B$114</f>
        <v>20</v>
      </c>
      <c r="H1145" s="23">
        <f t="shared" si="367"/>
        <v>20</v>
      </c>
      <c r="I1145" s="114">
        <f>Overview!$E$114</f>
        <v>0</v>
      </c>
      <c r="J1145" s="24">
        <f>I1145/F1145</f>
        <v>0</v>
      </c>
      <c r="K1145" s="116">
        <f>Overview!$H$114</f>
        <v>0</v>
      </c>
      <c r="L1145" s="51" t="e">
        <f>(K1145-J1145)/K1145</f>
        <v>#DIV/0!</v>
      </c>
      <c r="M1145" s="179"/>
      <c r="N1145" s="179" t="s">
        <v>485</v>
      </c>
      <c r="O1145" s="141">
        <f t="shared" si="364"/>
        <v>0</v>
      </c>
      <c r="P1145" s="181" t="b">
        <f>COUNTIF('Facility Data'!$A$1:$A$1500,"*"&amp;A1145&amp;"*")&gt;0</f>
        <v>0</v>
      </c>
      <c r="Q1145" s="181" t="b">
        <f>COUNTIF('Account Data'!$A$1:$A$1000,"*"&amp;A1145&amp;"*")&gt;0</f>
        <v>0</v>
      </c>
      <c r="R1145" s="182" t="b">
        <f t="shared" si="365"/>
        <v>0</v>
      </c>
      <c r="S1145" s="182" t="b">
        <f>IF(OR(Q1145=TRUE,T1145=TRUE),TRUE,FALSE)</f>
        <v>0</v>
      </c>
      <c r="T1145" s="181" t="b">
        <f>COUNTIF('New Items'!$A$1:$A$175,A1145)&gt;0</f>
        <v>0</v>
      </c>
      <c r="U1145" s="181" t="b">
        <f>COUNTIF(Discontinued!$A$1:$A$150,A1145)&gt;0</f>
        <v>0</v>
      </c>
    </row>
    <row r="1146" spans="1:21" s="8" customFormat="1" ht="11.25" x14ac:dyDescent="0.2">
      <c r="A1146" s="152">
        <v>10130568</v>
      </c>
      <c r="B1146" s="10" t="s">
        <v>3982</v>
      </c>
      <c r="C1146" s="12" t="s">
        <v>3983</v>
      </c>
      <c r="D1146" s="11" t="s">
        <v>3978</v>
      </c>
      <c r="E1146" s="12" t="s">
        <v>772</v>
      </c>
      <c r="F1146" s="13">
        <v>12</v>
      </c>
      <c r="G1146" s="22">
        <f>Overview!$B$114</f>
        <v>20</v>
      </c>
      <c r="H1146" s="23">
        <f t="shared" si="367"/>
        <v>20</v>
      </c>
      <c r="I1146" s="114">
        <f>Overview!$E$114</f>
        <v>0</v>
      </c>
      <c r="J1146" s="52">
        <f>I1146/F1146</f>
        <v>0</v>
      </c>
      <c r="K1146" s="174">
        <f>Overview!$H$114</f>
        <v>0</v>
      </c>
      <c r="L1146" s="54" t="e">
        <f>(K1146-J1146)/K1146</f>
        <v>#DIV/0!</v>
      </c>
      <c r="M1146" s="179"/>
      <c r="N1146" s="179" t="s">
        <v>485</v>
      </c>
      <c r="O1146" s="141">
        <f>I1146</f>
        <v>0</v>
      </c>
      <c r="P1146" s="181" t="b">
        <f>COUNTIF('Facility Data'!$A$1:$A$1500,"*"&amp;A1146&amp;"*")&gt;0</f>
        <v>0</v>
      </c>
      <c r="Q1146" s="181" t="b">
        <f>COUNTIF('Account Data'!$A$1:$A$1000,"*"&amp;A1146&amp;"*")&gt;0</f>
        <v>0</v>
      </c>
      <c r="R1146" s="182" t="b">
        <f t="shared" si="365"/>
        <v>0</v>
      </c>
      <c r="S1146" s="182" t="b">
        <f>IF(OR(Q1146=TRUE,T1146=TRUE),TRUE,FALSE)</f>
        <v>0</v>
      </c>
      <c r="T1146" s="181" t="b">
        <f>COUNTIF('New Items'!$A$1:$A$175,A1146)&gt;0</f>
        <v>0</v>
      </c>
      <c r="U1146" s="181" t="b">
        <f>COUNTIF(Discontinued!$A$1:$A$150,A1146)&gt;0</f>
        <v>0</v>
      </c>
    </row>
    <row r="1147" spans="1:21" s="8" customFormat="1" ht="11.25" x14ac:dyDescent="0.2">
      <c r="A1147" s="152">
        <v>10130567</v>
      </c>
      <c r="B1147" s="10" t="s">
        <v>3984</v>
      </c>
      <c r="C1147" s="12" t="s">
        <v>4028</v>
      </c>
      <c r="D1147" s="11" t="s">
        <v>3979</v>
      </c>
      <c r="E1147" s="12" t="s">
        <v>772</v>
      </c>
      <c r="F1147" s="13">
        <v>12</v>
      </c>
      <c r="G1147" s="22">
        <f>Overview!$B$114</f>
        <v>20</v>
      </c>
      <c r="H1147" s="23">
        <f t="shared" si="367"/>
        <v>20</v>
      </c>
      <c r="I1147" s="114">
        <f>Overview!$E$114</f>
        <v>0</v>
      </c>
      <c r="J1147" s="52">
        <f>I1147/F1147</f>
        <v>0</v>
      </c>
      <c r="K1147" s="174">
        <f>Overview!$H$114</f>
        <v>0</v>
      </c>
      <c r="L1147" s="54" t="e">
        <f>(K1147-J1147)/K1147</f>
        <v>#DIV/0!</v>
      </c>
      <c r="M1147" s="179"/>
      <c r="N1147" s="179" t="s">
        <v>485</v>
      </c>
      <c r="O1147" s="141">
        <f>I1147</f>
        <v>0</v>
      </c>
      <c r="P1147" s="181" t="b">
        <f>COUNTIF('Facility Data'!$A$1:$A$1500,"*"&amp;A1147&amp;"*")&gt;0</f>
        <v>0</v>
      </c>
      <c r="Q1147" s="181" t="b">
        <f>COUNTIF('Account Data'!$A$1:$A$1000,"*"&amp;A1147&amp;"*")&gt;0</f>
        <v>0</v>
      </c>
      <c r="R1147" s="182" t="b">
        <f t="shared" si="365"/>
        <v>0</v>
      </c>
      <c r="S1147" s="182" t="b">
        <f>IF(OR(Q1147=TRUE,T1147=TRUE),TRUE,FALSE)</f>
        <v>0</v>
      </c>
      <c r="T1147" s="181" t="b">
        <f>COUNTIF('New Items'!$A$1:$A$175,A1147)&gt;0</f>
        <v>0</v>
      </c>
      <c r="U1147" s="181" t="b">
        <f>COUNTIF(Discontinued!$A$1:$A$150,A1147)&gt;0</f>
        <v>0</v>
      </c>
    </row>
    <row r="1148" spans="1:21" s="8" customFormat="1" ht="11.25" x14ac:dyDescent="0.2">
      <c r="A1148" s="152">
        <v>10011920</v>
      </c>
      <c r="B1148" s="10" t="s">
        <v>1354</v>
      </c>
      <c r="C1148" s="12" t="s">
        <v>1355</v>
      </c>
      <c r="D1148" s="11" t="s">
        <v>1349</v>
      </c>
      <c r="E1148" s="12" t="s">
        <v>778</v>
      </c>
      <c r="F1148" s="13">
        <v>12</v>
      </c>
      <c r="G1148" s="22">
        <f>Overview!$B$115</f>
        <v>25.65</v>
      </c>
      <c r="H1148" s="23">
        <f t="shared" si="361"/>
        <v>25.65</v>
      </c>
      <c r="I1148" s="114">
        <f>Overview!$E$115</f>
        <v>0</v>
      </c>
      <c r="J1148" s="52">
        <f t="shared" ref="J1148:J1154" si="368">I1148/F1148</f>
        <v>0</v>
      </c>
      <c r="K1148" s="174">
        <f>Overview!$H$115</f>
        <v>0</v>
      </c>
      <c r="L1148" s="54" t="e">
        <f t="shared" ref="L1148:L1154" si="369">(K1148-J1148)/K1148</f>
        <v>#DIV/0!</v>
      </c>
      <c r="M1148" s="179"/>
      <c r="N1148" s="179" t="s">
        <v>485</v>
      </c>
      <c r="O1148" s="141">
        <f t="shared" ref="O1148:O1153" si="370">I1148</f>
        <v>0</v>
      </c>
      <c r="P1148" s="181" t="b">
        <f>COUNTIF('Facility Data'!$A$1:$A$1500,"*"&amp;A1148&amp;"*")&gt;0</f>
        <v>1</v>
      </c>
      <c r="Q1148" s="181" t="b">
        <f>COUNTIF('Account Data'!$A$1:$A$1000,"*"&amp;A1148&amp;"*")&gt;0</f>
        <v>0</v>
      </c>
      <c r="R1148" s="182" t="b">
        <f t="shared" si="365"/>
        <v>1</v>
      </c>
      <c r="S1148" s="182" t="b">
        <f t="shared" si="352"/>
        <v>0</v>
      </c>
      <c r="T1148" s="181" t="b">
        <f>COUNTIF('New Items'!$A$1:$A$175,A1148)&gt;0</f>
        <v>0</v>
      </c>
      <c r="U1148" s="181" t="b">
        <f>COUNTIF(Discontinued!$A$1:$A$150,A1148)&gt;0</f>
        <v>0</v>
      </c>
    </row>
    <row r="1149" spans="1:21" s="8" customFormat="1" ht="11.25" x14ac:dyDescent="0.2">
      <c r="A1149" s="152">
        <v>10011923</v>
      </c>
      <c r="B1149" s="10" t="s">
        <v>1356</v>
      </c>
      <c r="C1149" s="12" t="s">
        <v>1357</v>
      </c>
      <c r="D1149" s="11" t="s">
        <v>1350</v>
      </c>
      <c r="E1149" s="12" t="s">
        <v>778</v>
      </c>
      <c r="F1149" s="13">
        <v>12</v>
      </c>
      <c r="G1149" s="22">
        <f>Overview!$B$115</f>
        <v>25.65</v>
      </c>
      <c r="H1149" s="23">
        <f t="shared" si="361"/>
        <v>25.65</v>
      </c>
      <c r="I1149" s="114">
        <f>Overview!$E$115</f>
        <v>0</v>
      </c>
      <c r="J1149" s="52">
        <f t="shared" si="368"/>
        <v>0</v>
      </c>
      <c r="K1149" s="174">
        <f>Overview!$H$115</f>
        <v>0</v>
      </c>
      <c r="L1149" s="54" t="e">
        <f t="shared" si="369"/>
        <v>#DIV/0!</v>
      </c>
      <c r="M1149" s="179"/>
      <c r="N1149" s="179" t="s">
        <v>485</v>
      </c>
      <c r="O1149" s="141">
        <f>I1149</f>
        <v>0</v>
      </c>
      <c r="P1149" s="181" t="b">
        <f>COUNTIF('Facility Data'!$A$1:$A$1500,"*"&amp;A1149&amp;"*")&gt;0</f>
        <v>1</v>
      </c>
      <c r="Q1149" s="181" t="b">
        <f>COUNTIF('Account Data'!$A$1:$A$1000,"*"&amp;A1149&amp;"*")&gt;0</f>
        <v>0</v>
      </c>
      <c r="R1149" s="182" t="b">
        <f t="shared" si="365"/>
        <v>1</v>
      </c>
      <c r="S1149" s="182" t="b">
        <f t="shared" si="352"/>
        <v>0</v>
      </c>
      <c r="T1149" s="181" t="b">
        <f>COUNTIF('New Items'!$A$1:$A$175,A1149)&gt;0</f>
        <v>0</v>
      </c>
      <c r="U1149" s="181" t="b">
        <f>COUNTIF(Discontinued!$A$1:$A$150,A1149)&gt;0</f>
        <v>0</v>
      </c>
    </row>
    <row r="1150" spans="1:21" s="8" customFormat="1" ht="11.25" x14ac:dyDescent="0.2">
      <c r="A1150" s="152">
        <v>10074478</v>
      </c>
      <c r="B1150" s="10" t="s">
        <v>1564</v>
      </c>
      <c r="C1150" s="12" t="s">
        <v>1565</v>
      </c>
      <c r="D1150" s="11" t="s">
        <v>1563</v>
      </c>
      <c r="E1150" s="12" t="s">
        <v>778</v>
      </c>
      <c r="F1150" s="13">
        <v>12</v>
      </c>
      <c r="G1150" s="22">
        <f>Overview!$B$115</f>
        <v>25.65</v>
      </c>
      <c r="H1150" s="23">
        <f>G1150-I1150</f>
        <v>25.65</v>
      </c>
      <c r="I1150" s="114">
        <f>Overview!$E$115</f>
        <v>0</v>
      </c>
      <c r="J1150" s="52">
        <f>I1150/F1150</f>
        <v>0</v>
      </c>
      <c r="K1150" s="174">
        <f>Overview!$H$115</f>
        <v>0</v>
      </c>
      <c r="L1150" s="54" t="e">
        <f>(K1150-J1150)/K1150</f>
        <v>#DIV/0!</v>
      </c>
      <c r="M1150" s="179"/>
      <c r="N1150" s="179" t="s">
        <v>485</v>
      </c>
      <c r="O1150" s="141">
        <f>I1150</f>
        <v>0</v>
      </c>
      <c r="P1150" s="181" t="b">
        <f>COUNTIF('Facility Data'!$A$1:$A$1500,"*"&amp;A1150&amp;"*")&gt;0</f>
        <v>0</v>
      </c>
      <c r="Q1150" s="181" t="b">
        <f>COUNTIF('Account Data'!$A$1:$A$1000,"*"&amp;A1150&amp;"*")&gt;0</f>
        <v>0</v>
      </c>
      <c r="R1150" s="182" t="b">
        <f t="shared" si="365"/>
        <v>0</v>
      </c>
      <c r="S1150" s="182" t="b">
        <f>IF(OR(Q1150=TRUE,T1150=TRUE),TRUE,FALSE)</f>
        <v>0</v>
      </c>
      <c r="T1150" s="181" t="b">
        <f>COUNTIF('New Items'!$A$1:$A$175,A1150)&gt;0</f>
        <v>0</v>
      </c>
      <c r="U1150" s="181" t="b">
        <f>COUNTIF(Discontinued!$A$1:$A$150,A1150)&gt;0</f>
        <v>0</v>
      </c>
    </row>
    <row r="1151" spans="1:21" s="8" customFormat="1" ht="11.25" x14ac:dyDescent="0.2">
      <c r="A1151" s="152">
        <v>10117353</v>
      </c>
      <c r="B1151" s="10" t="s">
        <v>3661</v>
      </c>
      <c r="C1151" s="12" t="s">
        <v>3662</v>
      </c>
      <c r="D1151" s="11" t="s">
        <v>3663</v>
      </c>
      <c r="E1151" s="12" t="s">
        <v>778</v>
      </c>
      <c r="F1151" s="13">
        <v>12</v>
      </c>
      <c r="G1151" s="22">
        <f>Overview!$B$115</f>
        <v>25.65</v>
      </c>
      <c r="H1151" s="23">
        <f t="shared" si="361"/>
        <v>25.65</v>
      </c>
      <c r="I1151" s="114">
        <f>Overview!$E$115</f>
        <v>0</v>
      </c>
      <c r="J1151" s="52">
        <f t="shared" si="368"/>
        <v>0</v>
      </c>
      <c r="K1151" s="174">
        <f>Overview!$H$115</f>
        <v>0</v>
      </c>
      <c r="L1151" s="54" t="e">
        <f t="shared" si="369"/>
        <v>#DIV/0!</v>
      </c>
      <c r="M1151" s="179"/>
      <c r="N1151" s="179" t="s">
        <v>485</v>
      </c>
      <c r="O1151" s="141">
        <f t="shared" si="370"/>
        <v>0</v>
      </c>
      <c r="P1151" s="181" t="b">
        <f>COUNTIF('Facility Data'!$A$1:$A$1500,"*"&amp;A1151&amp;"*")&gt;0</f>
        <v>0</v>
      </c>
      <c r="Q1151" s="181" t="b">
        <f>COUNTIF('Account Data'!$A$1:$A$1000,"*"&amp;A1151&amp;"*")&gt;0</f>
        <v>0</v>
      </c>
      <c r="R1151" s="182" t="b">
        <f t="shared" si="365"/>
        <v>0</v>
      </c>
      <c r="S1151" s="182" t="b">
        <f t="shared" si="352"/>
        <v>0</v>
      </c>
      <c r="T1151" s="181" t="b">
        <f>COUNTIF('New Items'!$A$1:$A$175,A1151)&gt;0</f>
        <v>0</v>
      </c>
      <c r="U1151" s="181" t="b">
        <f>COUNTIF(Discontinued!$A$1:$A$150,A1151)&gt;0</f>
        <v>0</v>
      </c>
    </row>
    <row r="1152" spans="1:21" s="8" customFormat="1" ht="11.25" x14ac:dyDescent="0.2">
      <c r="A1152" s="152">
        <v>10011921</v>
      </c>
      <c r="B1152" s="10" t="s">
        <v>1358</v>
      </c>
      <c r="C1152" s="12" t="s">
        <v>1359</v>
      </c>
      <c r="D1152" s="11" t="s">
        <v>1351</v>
      </c>
      <c r="E1152" s="12" t="s">
        <v>780</v>
      </c>
      <c r="F1152" s="13">
        <v>8</v>
      </c>
      <c r="G1152" s="22">
        <f>Overview!$B$116</f>
        <v>40</v>
      </c>
      <c r="H1152" s="23">
        <f t="shared" si="361"/>
        <v>40</v>
      </c>
      <c r="I1152" s="114">
        <f>Overview!$E$116</f>
        <v>0</v>
      </c>
      <c r="J1152" s="52">
        <f t="shared" si="368"/>
        <v>0</v>
      </c>
      <c r="K1152" s="174">
        <f>Overview!$H$116</f>
        <v>0</v>
      </c>
      <c r="L1152" s="54" t="e">
        <f t="shared" si="369"/>
        <v>#DIV/0!</v>
      </c>
      <c r="M1152" s="179"/>
      <c r="N1152" s="179" t="s">
        <v>485</v>
      </c>
      <c r="O1152" s="141">
        <f t="shared" si="370"/>
        <v>0</v>
      </c>
      <c r="P1152" s="181" t="b">
        <f>COUNTIF('Facility Data'!$A$1:$A$1500,"*"&amp;A1152&amp;"*")&gt;0</f>
        <v>0</v>
      </c>
      <c r="Q1152" s="181" t="b">
        <f>COUNTIF('Account Data'!$A$1:$A$1000,"*"&amp;A1152&amp;"*")&gt;0</f>
        <v>0</v>
      </c>
      <c r="R1152" s="182" t="b">
        <f t="shared" si="365"/>
        <v>0</v>
      </c>
      <c r="S1152" s="182" t="b">
        <f t="shared" si="352"/>
        <v>0</v>
      </c>
      <c r="T1152" s="181" t="b">
        <f>COUNTIF('New Items'!$A$1:$A$175,A1152)&gt;0</f>
        <v>0</v>
      </c>
      <c r="U1152" s="181" t="b">
        <f>COUNTIF(Discontinued!$A$1:$A$150,A1152)&gt;0</f>
        <v>0</v>
      </c>
    </row>
    <row r="1153" spans="1:21" s="8" customFormat="1" ht="11.25" x14ac:dyDescent="0.2">
      <c r="A1153" s="152">
        <v>10011922</v>
      </c>
      <c r="B1153" s="10" t="s">
        <v>1360</v>
      </c>
      <c r="C1153" s="12" t="s">
        <v>1361</v>
      </c>
      <c r="D1153" s="11" t="s">
        <v>1352</v>
      </c>
      <c r="E1153" s="12" t="s">
        <v>780</v>
      </c>
      <c r="F1153" s="13">
        <v>8</v>
      </c>
      <c r="G1153" s="22">
        <f>Overview!$B$116</f>
        <v>40</v>
      </c>
      <c r="H1153" s="23">
        <f t="shared" si="361"/>
        <v>40</v>
      </c>
      <c r="I1153" s="114">
        <f>Overview!$E$116</f>
        <v>0</v>
      </c>
      <c r="J1153" s="52">
        <f t="shared" si="368"/>
        <v>0</v>
      </c>
      <c r="K1153" s="174">
        <f>Overview!$H$116</f>
        <v>0</v>
      </c>
      <c r="L1153" s="54" t="e">
        <f t="shared" si="369"/>
        <v>#DIV/0!</v>
      </c>
      <c r="M1153" s="179"/>
      <c r="N1153" s="179" t="s">
        <v>485</v>
      </c>
      <c r="O1153" s="141">
        <f t="shared" si="370"/>
        <v>0</v>
      </c>
      <c r="P1153" s="181" t="b">
        <f>COUNTIF('Facility Data'!$A$1:$A$1500,"*"&amp;A1153&amp;"*")&gt;0</f>
        <v>0</v>
      </c>
      <c r="Q1153" s="181" t="b">
        <f>COUNTIF('Account Data'!$A$1:$A$1000,"*"&amp;A1153&amp;"*")&gt;0</f>
        <v>0</v>
      </c>
      <c r="R1153" s="182" t="b">
        <f t="shared" si="365"/>
        <v>0</v>
      </c>
      <c r="S1153" s="182" t="b">
        <f t="shared" si="352"/>
        <v>0</v>
      </c>
      <c r="T1153" s="181" t="b">
        <f>COUNTIF('New Items'!$A$1:$A$175,A1153)&gt;0</f>
        <v>0</v>
      </c>
      <c r="U1153" s="181" t="b">
        <f>COUNTIF(Discontinued!$A$1:$A$150,A1153)&gt;0</f>
        <v>0</v>
      </c>
    </row>
    <row r="1154" spans="1:21" s="8" customFormat="1" ht="12" thickBot="1" x14ac:dyDescent="0.25">
      <c r="A1154" s="152">
        <v>10078679</v>
      </c>
      <c r="B1154" s="10" t="s">
        <v>1362</v>
      </c>
      <c r="C1154" s="12" t="s">
        <v>1363</v>
      </c>
      <c r="D1154" s="11" t="s">
        <v>1353</v>
      </c>
      <c r="E1154" s="12" t="s">
        <v>780</v>
      </c>
      <c r="F1154" s="13">
        <v>8</v>
      </c>
      <c r="G1154" s="22">
        <f>Overview!$B$116</f>
        <v>40</v>
      </c>
      <c r="H1154" s="23">
        <f t="shared" si="361"/>
        <v>40</v>
      </c>
      <c r="I1154" s="114">
        <f>Overview!$E$116</f>
        <v>0</v>
      </c>
      <c r="J1154" s="52">
        <f t="shared" si="368"/>
        <v>0</v>
      </c>
      <c r="K1154" s="174">
        <f>Overview!$H$116</f>
        <v>0</v>
      </c>
      <c r="L1154" s="54" t="e">
        <f t="shared" si="369"/>
        <v>#DIV/0!</v>
      </c>
      <c r="M1154" s="179"/>
      <c r="N1154" s="179" t="s">
        <v>485</v>
      </c>
      <c r="O1154" s="141">
        <f>I1154</f>
        <v>0</v>
      </c>
      <c r="P1154" s="181" t="b">
        <f>COUNTIF('Facility Data'!$A$1:$A$1500,"*"&amp;A1154&amp;"*")&gt;0</f>
        <v>0</v>
      </c>
      <c r="Q1154" s="181" t="b">
        <f>COUNTIF('Account Data'!$A$1:$A$1000,"*"&amp;A1154&amp;"*")&gt;0</f>
        <v>0</v>
      </c>
      <c r="R1154" s="182" t="b">
        <f t="shared" si="365"/>
        <v>0</v>
      </c>
      <c r="S1154" s="182" t="b">
        <f t="shared" si="352"/>
        <v>0</v>
      </c>
      <c r="T1154" s="181" t="b">
        <f>COUNTIF('New Items'!$A$1:$A$175,A1154)&gt;0</f>
        <v>0</v>
      </c>
      <c r="U1154" s="181" t="b">
        <f>COUNTIF(Discontinued!$A$1:$A$150,A1154)&gt;0</f>
        <v>0</v>
      </c>
    </row>
    <row r="1155" spans="1:21" s="8" customFormat="1" ht="13.5" thickBot="1" x14ac:dyDescent="0.25">
      <c r="A1155" s="300" t="s">
        <v>486</v>
      </c>
      <c r="B1155" s="301"/>
      <c r="C1155" s="301"/>
      <c r="D1155" s="301"/>
      <c r="E1155" s="301"/>
      <c r="F1155" s="301"/>
      <c r="G1155" s="301"/>
      <c r="H1155" s="301"/>
      <c r="I1155" s="301"/>
      <c r="J1155" s="301"/>
      <c r="K1155" s="301"/>
      <c r="L1155" s="302"/>
      <c r="M1155" s="179" t="s">
        <v>4361</v>
      </c>
      <c r="N1155" s="179" t="s">
        <v>486</v>
      </c>
      <c r="O1155" s="141">
        <f>AVERAGE(O1156:O1162)</f>
        <v>0</v>
      </c>
      <c r="P1155" s="181" t="b">
        <f>COUNTIF(P1156:P1162,TRUE)&gt;0</f>
        <v>1</v>
      </c>
      <c r="Q1155" s="181" t="b">
        <f>COUNTIF(Q1156:Q1162,TRUE)&gt;0</f>
        <v>1</v>
      </c>
      <c r="R1155" s="181" t="b">
        <f>COUNTIF(R1156:R1162,TRUE)&gt;0</f>
        <v>1</v>
      </c>
      <c r="S1155" s="181" t="b">
        <f>COUNTIF(S1156:S1162,TRUE)&gt;0</f>
        <v>1</v>
      </c>
      <c r="T1155" s="181" t="b">
        <f>COUNTIF(T1156:T1162,TRUE)&gt;0</f>
        <v>0</v>
      </c>
      <c r="U1155" s="181"/>
    </row>
    <row r="1156" spans="1:21" s="8" customFormat="1" ht="11.25" x14ac:dyDescent="0.2">
      <c r="A1156" s="152">
        <v>10027596</v>
      </c>
      <c r="B1156" s="10" t="s">
        <v>2983</v>
      </c>
      <c r="C1156" s="12" t="s">
        <v>2984</v>
      </c>
      <c r="D1156" s="11" t="s">
        <v>3067</v>
      </c>
      <c r="E1156" s="12" t="s">
        <v>785</v>
      </c>
      <c r="F1156" s="13">
        <v>24</v>
      </c>
      <c r="G1156" s="22">
        <f>Overview!$B$119</f>
        <v>14</v>
      </c>
      <c r="H1156" s="23">
        <f t="shared" ref="H1156:H1162" si="371">G1156-I1156</f>
        <v>14</v>
      </c>
      <c r="I1156" s="114">
        <f>Overview!$E$119</f>
        <v>0</v>
      </c>
      <c r="J1156" s="52">
        <f t="shared" ref="J1156:J1162" si="372">I1156/F1156</f>
        <v>0</v>
      </c>
      <c r="K1156" s="174">
        <f>Overview!$H$119</f>
        <v>0</v>
      </c>
      <c r="L1156" s="54" t="e">
        <f t="shared" ref="L1156:L1162" si="373">(K1156-J1156)/K1156</f>
        <v>#DIV/0!</v>
      </c>
      <c r="M1156" s="179"/>
      <c r="N1156" s="179" t="s">
        <v>486</v>
      </c>
      <c r="O1156" s="141">
        <f t="shared" ref="O1156:O1162" si="374">I1156</f>
        <v>0</v>
      </c>
      <c r="P1156" s="181" t="b">
        <f>COUNTIF('Facility Data'!$A$1:$A$1500,"*"&amp;A1156&amp;"*")&gt;0</f>
        <v>0</v>
      </c>
      <c r="Q1156" s="181" t="b">
        <f>COUNTIF('Account Data'!$A$1:$A$1000,"*"&amp;A1156&amp;"*")&gt;0</f>
        <v>0</v>
      </c>
      <c r="R1156" s="182" t="b">
        <f t="shared" ref="R1156:R1162" si="375">IF(OR(P1156=TRUE,T1156=TRUE),TRUE,FALSE)</f>
        <v>0</v>
      </c>
      <c r="S1156" s="182" t="b">
        <f>IF(OR(Q1156=TRUE,T1156=TRUE),TRUE,FALSE)</f>
        <v>0</v>
      </c>
      <c r="T1156" s="181" t="b">
        <f>COUNTIF('New Items'!$A$1:$A$175,A1156)&gt;0</f>
        <v>0</v>
      </c>
      <c r="U1156" s="181" t="b">
        <f>COUNTIF(Discontinued!$A$1:$A$150,A1156)&gt;0</f>
        <v>0</v>
      </c>
    </row>
    <row r="1157" spans="1:21" s="8" customFormat="1" ht="11.25" x14ac:dyDescent="0.2">
      <c r="A1157" s="152">
        <v>10006598</v>
      </c>
      <c r="B1157" s="10" t="s">
        <v>1366</v>
      </c>
      <c r="C1157" s="12" t="s">
        <v>1367</v>
      </c>
      <c r="D1157" s="11" t="s">
        <v>3068</v>
      </c>
      <c r="E1157" s="12" t="s">
        <v>785</v>
      </c>
      <c r="F1157" s="13">
        <v>4</v>
      </c>
      <c r="G1157" s="22">
        <f>Overview!$B$120</f>
        <v>16</v>
      </c>
      <c r="H1157" s="23">
        <f t="shared" si="371"/>
        <v>16</v>
      </c>
      <c r="I1157" s="114">
        <f>Overview!$E$120</f>
        <v>0</v>
      </c>
      <c r="J1157" s="52">
        <f t="shared" si="372"/>
        <v>0</v>
      </c>
      <c r="K1157" s="174">
        <f>Overview!$H$120</f>
        <v>0</v>
      </c>
      <c r="L1157" s="54" t="e">
        <f t="shared" si="373"/>
        <v>#DIV/0!</v>
      </c>
      <c r="M1157" s="179"/>
      <c r="N1157" s="179" t="s">
        <v>486</v>
      </c>
      <c r="O1157" s="141">
        <f t="shared" si="374"/>
        <v>0</v>
      </c>
      <c r="P1157" s="181" t="b">
        <f>COUNTIF('Facility Data'!$A$1:$A$1500,"*"&amp;A1157&amp;"*")&gt;0</f>
        <v>0</v>
      </c>
      <c r="Q1157" s="181" t="b">
        <f>COUNTIF('Account Data'!$A$1:$A$1000,"*"&amp;A1157&amp;"*")&gt;0</f>
        <v>0</v>
      </c>
      <c r="R1157" s="182" t="b">
        <f t="shared" si="375"/>
        <v>0</v>
      </c>
      <c r="S1157" s="182" t="b">
        <f t="shared" si="352"/>
        <v>0</v>
      </c>
      <c r="T1157" s="181" t="b">
        <f>COUNTIF('New Items'!$A$1:$A$175,A1157)&gt;0</f>
        <v>0</v>
      </c>
      <c r="U1157" s="181" t="b">
        <f>COUNTIF(Discontinued!$A$1:$A$150,A1157)&gt;0</f>
        <v>0</v>
      </c>
    </row>
    <row r="1158" spans="1:21" s="8" customFormat="1" ht="11.25" x14ac:dyDescent="0.2">
      <c r="A1158" s="152">
        <v>10006605</v>
      </c>
      <c r="B1158" s="10" t="s">
        <v>2981</v>
      </c>
      <c r="C1158" s="12" t="s">
        <v>2982</v>
      </c>
      <c r="D1158" s="11" t="s">
        <v>3069</v>
      </c>
      <c r="E1158" s="12" t="s">
        <v>785</v>
      </c>
      <c r="F1158" s="13">
        <v>2</v>
      </c>
      <c r="G1158" s="22">
        <f>Overview!$B$121</f>
        <v>16</v>
      </c>
      <c r="H1158" s="23">
        <f t="shared" si="371"/>
        <v>16</v>
      </c>
      <c r="I1158" s="114">
        <f>Overview!$E$121</f>
        <v>0</v>
      </c>
      <c r="J1158" s="52">
        <f t="shared" si="372"/>
        <v>0</v>
      </c>
      <c r="K1158" s="174">
        <f>Overview!$H$121</f>
        <v>0</v>
      </c>
      <c r="L1158" s="54" t="e">
        <f t="shared" si="373"/>
        <v>#DIV/0!</v>
      </c>
      <c r="M1158" s="179"/>
      <c r="N1158" s="179" t="s">
        <v>486</v>
      </c>
      <c r="O1158" s="141">
        <f t="shared" si="374"/>
        <v>0</v>
      </c>
      <c r="P1158" s="181" t="b">
        <f>COUNTIF('Facility Data'!$A$1:$A$1500,"*"&amp;A1158&amp;"*")&gt;0</f>
        <v>0</v>
      </c>
      <c r="Q1158" s="181" t="b">
        <f>COUNTIF('Account Data'!$A$1:$A$1000,"*"&amp;A1158&amp;"*")&gt;0</f>
        <v>0</v>
      </c>
      <c r="R1158" s="182" t="b">
        <f t="shared" si="375"/>
        <v>0</v>
      </c>
      <c r="S1158" s="182" t="b">
        <f t="shared" si="352"/>
        <v>0</v>
      </c>
      <c r="T1158" s="181" t="b">
        <f>COUNTIF('New Items'!$A$1:$A$175,A1158)&gt;0</f>
        <v>0</v>
      </c>
      <c r="U1158" s="181" t="b">
        <f>COUNTIF(Discontinued!$A$1:$A$150,A1158)&gt;0</f>
        <v>0</v>
      </c>
    </row>
    <row r="1159" spans="1:21" s="8" customFormat="1" ht="11.25" x14ac:dyDescent="0.2">
      <c r="A1159" s="152">
        <v>10085752</v>
      </c>
      <c r="B1159" s="10" t="s">
        <v>487</v>
      </c>
      <c r="C1159" s="12" t="s">
        <v>488</v>
      </c>
      <c r="D1159" s="11" t="s">
        <v>3070</v>
      </c>
      <c r="E1159" s="12" t="s">
        <v>785</v>
      </c>
      <c r="F1159" s="13">
        <v>12</v>
      </c>
      <c r="G1159" s="22">
        <f>Overview!$B$122</f>
        <v>15</v>
      </c>
      <c r="H1159" s="23">
        <f t="shared" si="371"/>
        <v>15</v>
      </c>
      <c r="I1159" s="114">
        <f>Overview!$E$122</f>
        <v>0</v>
      </c>
      <c r="J1159" s="52">
        <f t="shared" si="372"/>
        <v>0</v>
      </c>
      <c r="K1159" s="174">
        <f>Overview!$H$122</f>
        <v>0</v>
      </c>
      <c r="L1159" s="54" t="e">
        <f t="shared" si="373"/>
        <v>#DIV/0!</v>
      </c>
      <c r="M1159" s="179"/>
      <c r="N1159" s="179" t="s">
        <v>486</v>
      </c>
      <c r="O1159" s="141">
        <f t="shared" si="374"/>
        <v>0</v>
      </c>
      <c r="P1159" s="181" t="b">
        <f>COUNTIF('Facility Data'!$A$1:$A$1500,"*"&amp;A1159&amp;"*")&gt;0</f>
        <v>0</v>
      </c>
      <c r="Q1159" s="181" t="b">
        <f>COUNTIF('Account Data'!$A$1:$A$1000,"*"&amp;A1159&amp;"*")&gt;0</f>
        <v>1</v>
      </c>
      <c r="R1159" s="182" t="b">
        <f t="shared" si="375"/>
        <v>0</v>
      </c>
      <c r="S1159" s="182" t="b">
        <f t="shared" si="352"/>
        <v>1</v>
      </c>
      <c r="T1159" s="181" t="b">
        <f>COUNTIF('New Items'!$A$1:$A$175,A1159)&gt;0</f>
        <v>0</v>
      </c>
      <c r="U1159" s="181" t="b">
        <f>COUNTIF(Discontinued!$A$1:$A$150,A1159)&gt;0</f>
        <v>0</v>
      </c>
    </row>
    <row r="1160" spans="1:21" s="8" customFormat="1" ht="11.25" x14ac:dyDescent="0.2">
      <c r="A1160" s="152">
        <v>10085753</v>
      </c>
      <c r="B1160" s="10" t="s">
        <v>489</v>
      </c>
      <c r="C1160" s="12" t="s">
        <v>490</v>
      </c>
      <c r="D1160" s="11" t="s">
        <v>3071</v>
      </c>
      <c r="E1160" s="12" t="s">
        <v>785</v>
      </c>
      <c r="F1160" s="13">
        <v>12</v>
      </c>
      <c r="G1160" s="22">
        <f>Overview!$B$122</f>
        <v>15</v>
      </c>
      <c r="H1160" s="23">
        <f t="shared" si="371"/>
        <v>15</v>
      </c>
      <c r="I1160" s="114">
        <f>Overview!$E$122</f>
        <v>0</v>
      </c>
      <c r="J1160" s="24">
        <f t="shared" si="372"/>
        <v>0</v>
      </c>
      <c r="K1160" s="116">
        <f>Overview!$H$122</f>
        <v>0</v>
      </c>
      <c r="L1160" s="51" t="e">
        <f t="shared" si="373"/>
        <v>#DIV/0!</v>
      </c>
      <c r="M1160" s="179"/>
      <c r="N1160" s="179" t="s">
        <v>486</v>
      </c>
      <c r="O1160" s="141">
        <f t="shared" si="374"/>
        <v>0</v>
      </c>
      <c r="P1160" s="181" t="b">
        <f>COUNTIF('Facility Data'!$A$1:$A$1500,"*"&amp;A1160&amp;"*")&gt;0</f>
        <v>0</v>
      </c>
      <c r="Q1160" s="181" t="b">
        <f>COUNTIF('Account Data'!$A$1:$A$1000,"*"&amp;A1160&amp;"*")&gt;0</f>
        <v>1</v>
      </c>
      <c r="R1160" s="182" t="b">
        <f t="shared" si="375"/>
        <v>0</v>
      </c>
      <c r="S1160" s="182" t="b">
        <f t="shared" si="352"/>
        <v>1</v>
      </c>
      <c r="T1160" s="181" t="b">
        <f>COUNTIF('New Items'!$A$1:$A$175,A1160)&gt;0</f>
        <v>0</v>
      </c>
      <c r="U1160" s="181" t="b">
        <f>COUNTIF(Discontinued!$A$1:$A$150,A1160)&gt;0</f>
        <v>0</v>
      </c>
    </row>
    <row r="1161" spans="1:21" s="8" customFormat="1" ht="11.25" x14ac:dyDescent="0.2">
      <c r="A1161" s="152">
        <v>10006325</v>
      </c>
      <c r="B1161" s="10" t="s">
        <v>1364</v>
      </c>
      <c r="C1161" s="12" t="s">
        <v>1365</v>
      </c>
      <c r="D1161" s="11" t="s">
        <v>3066</v>
      </c>
      <c r="E1161" s="12" t="s">
        <v>769</v>
      </c>
      <c r="F1161" s="13">
        <v>6</v>
      </c>
      <c r="G1161" s="22">
        <f>Overview!$B$123</f>
        <v>26</v>
      </c>
      <c r="H1161" s="23">
        <f t="shared" si="371"/>
        <v>26</v>
      </c>
      <c r="I1161" s="114">
        <f>Overview!$E$123</f>
        <v>0</v>
      </c>
      <c r="J1161" s="52">
        <f t="shared" si="372"/>
        <v>0</v>
      </c>
      <c r="K1161" s="174">
        <f>Overview!$H$123</f>
        <v>0</v>
      </c>
      <c r="L1161" s="54" t="e">
        <f t="shared" si="373"/>
        <v>#DIV/0!</v>
      </c>
      <c r="M1161" s="179"/>
      <c r="N1161" s="179" t="s">
        <v>486</v>
      </c>
      <c r="O1161" s="141">
        <f t="shared" si="374"/>
        <v>0</v>
      </c>
      <c r="P1161" s="181" t="b">
        <f>COUNTIF('Facility Data'!$A$1:$A$1500,"*"&amp;A1161&amp;"*")&gt;0</f>
        <v>0</v>
      </c>
      <c r="Q1161" s="181" t="b">
        <f>COUNTIF('Account Data'!$A$1:$A$1000,"*"&amp;A1161&amp;"*")&gt;0</f>
        <v>0</v>
      </c>
      <c r="R1161" s="182" t="b">
        <f t="shared" si="375"/>
        <v>0</v>
      </c>
      <c r="S1161" s="182" t="b">
        <f>IF(OR(Q1161=TRUE,T1161=TRUE),TRUE,FALSE)</f>
        <v>0</v>
      </c>
      <c r="T1161" s="181" t="b">
        <f>COUNTIF('New Items'!$A$1:$A$175,A1161)&gt;0</f>
        <v>0</v>
      </c>
      <c r="U1161" s="181" t="b">
        <f>COUNTIF(Discontinued!$A$1:$A$150,A1161)&gt;0</f>
        <v>0</v>
      </c>
    </row>
    <row r="1162" spans="1:21" s="8" customFormat="1" ht="12" thickBot="1" x14ac:dyDescent="0.25">
      <c r="A1162" s="152">
        <v>10006323</v>
      </c>
      <c r="B1162" s="10" t="s">
        <v>496</v>
      </c>
      <c r="C1162" s="12" t="s">
        <v>497</v>
      </c>
      <c r="D1162" s="11" t="s">
        <v>3065</v>
      </c>
      <c r="E1162" s="12" t="s">
        <v>784</v>
      </c>
      <c r="F1162" s="13">
        <v>24</v>
      </c>
      <c r="G1162" s="22">
        <f>Overview!$B$124</f>
        <v>30</v>
      </c>
      <c r="H1162" s="23">
        <f t="shared" si="371"/>
        <v>30</v>
      </c>
      <c r="I1162" s="114">
        <f>Overview!$E$124</f>
        <v>0</v>
      </c>
      <c r="J1162" s="52">
        <f t="shared" si="372"/>
        <v>0</v>
      </c>
      <c r="K1162" s="174">
        <f>Overview!$H$124</f>
        <v>0</v>
      </c>
      <c r="L1162" s="54" t="e">
        <f t="shared" si="373"/>
        <v>#DIV/0!</v>
      </c>
      <c r="M1162" s="179"/>
      <c r="N1162" s="179" t="s">
        <v>486</v>
      </c>
      <c r="O1162" s="141">
        <f t="shared" si="374"/>
        <v>0</v>
      </c>
      <c r="P1162" s="181" t="b">
        <f>COUNTIF('Facility Data'!$A$1:$A$1500,"*"&amp;A1162&amp;"*")&gt;0</f>
        <v>1</v>
      </c>
      <c r="Q1162" s="181" t="b">
        <f>COUNTIF('Account Data'!$A$1:$A$1000,"*"&amp;A1162&amp;"*")&gt;0</f>
        <v>1</v>
      </c>
      <c r="R1162" s="182" t="b">
        <f t="shared" si="375"/>
        <v>1</v>
      </c>
      <c r="S1162" s="182" t="b">
        <f>IF(OR(Q1162=TRUE,T1162=TRUE),TRUE,FALSE)</f>
        <v>1</v>
      </c>
      <c r="T1162" s="181" t="b">
        <f>COUNTIF('New Items'!$A$1:$A$175,A1162)&gt;0</f>
        <v>0</v>
      </c>
      <c r="U1162" s="181" t="b">
        <f>COUNTIF(Discontinued!$A$1:$A$150,A1162)&gt;0</f>
        <v>0</v>
      </c>
    </row>
    <row r="1163" spans="1:21" s="8" customFormat="1" ht="13.5" thickBot="1" x14ac:dyDescent="0.25">
      <c r="A1163" s="300" t="s">
        <v>3915</v>
      </c>
      <c r="B1163" s="301"/>
      <c r="C1163" s="301"/>
      <c r="D1163" s="301"/>
      <c r="E1163" s="301"/>
      <c r="F1163" s="301"/>
      <c r="G1163" s="301"/>
      <c r="H1163" s="301"/>
      <c r="I1163" s="301"/>
      <c r="J1163" s="301"/>
      <c r="K1163" s="301"/>
      <c r="L1163" s="302"/>
      <c r="M1163" s="179" t="s">
        <v>4361</v>
      </c>
      <c r="N1163" s="179" t="s">
        <v>3914</v>
      </c>
      <c r="O1163" s="141">
        <f>AVERAGE(O1164:O1167)</f>
        <v>0</v>
      </c>
      <c r="P1163" s="181" t="b">
        <f>COUNTIF(P1164:P1167,TRUE)&gt;0</f>
        <v>0</v>
      </c>
      <c r="Q1163" s="181" t="b">
        <f>COUNTIF(Q1164:Q1167,TRUE)&gt;0</f>
        <v>0</v>
      </c>
      <c r="R1163" s="181" t="b">
        <f>COUNTIF(R1164:R1167,TRUE)&gt;0</f>
        <v>0</v>
      </c>
      <c r="S1163" s="181" t="b">
        <f>COUNTIF(S1164:S1167,TRUE)&gt;0</f>
        <v>0</v>
      </c>
      <c r="T1163" s="181" t="b">
        <f>COUNTIF(T1164:T1167,TRUE)&gt;0</f>
        <v>0</v>
      </c>
      <c r="U1163" s="181"/>
    </row>
    <row r="1164" spans="1:21" s="8" customFormat="1" ht="11.25" x14ac:dyDescent="0.2">
      <c r="A1164" s="152">
        <v>20031237</v>
      </c>
      <c r="B1164" s="10" t="s">
        <v>4087</v>
      </c>
      <c r="C1164" s="124" t="s">
        <v>3910</v>
      </c>
      <c r="D1164" s="119" t="s">
        <v>3906</v>
      </c>
      <c r="E1164" s="124" t="s">
        <v>3905</v>
      </c>
      <c r="F1164" s="120">
        <v>12</v>
      </c>
      <c r="G1164" s="121">
        <f>Overview!$B$127</f>
        <v>26</v>
      </c>
      <c r="H1164" s="114">
        <f>G1164-I1164</f>
        <v>26</v>
      </c>
      <c r="I1164" s="114">
        <f>Overview!$E$127</f>
        <v>0</v>
      </c>
      <c r="J1164" s="115">
        <f>I1164/F1164</f>
        <v>0</v>
      </c>
      <c r="K1164" s="116">
        <f>Overview!$H$127</f>
        <v>0</v>
      </c>
      <c r="L1164" s="117" t="e">
        <f>(K1164-J1164)/K1164</f>
        <v>#DIV/0!</v>
      </c>
      <c r="M1164" s="179"/>
      <c r="N1164" s="179" t="s">
        <v>3914</v>
      </c>
      <c r="O1164" s="141">
        <f>I1164</f>
        <v>0</v>
      </c>
      <c r="P1164" s="181" t="b">
        <f>COUNTIF('Facility Data'!$A$1:$A$1500,"*"&amp;A1164&amp;"*")&gt;0</f>
        <v>0</v>
      </c>
      <c r="Q1164" s="181" t="b">
        <f>COUNTIF('Account Data'!$A$1:$A$1000,"*"&amp;A1164&amp;"*")&gt;0</f>
        <v>0</v>
      </c>
      <c r="R1164" s="182" t="b">
        <f>IF(OR(P1164=TRUE,T1164=TRUE),TRUE,FALSE)</f>
        <v>0</v>
      </c>
      <c r="S1164" s="182" t="b">
        <f>IF(OR(Q1164=TRUE,T1164=TRUE),TRUE,FALSE)</f>
        <v>0</v>
      </c>
      <c r="T1164" s="181" t="b">
        <f>COUNTIF('New Items'!$A$1:$A$175,A1164)&gt;0</f>
        <v>0</v>
      </c>
      <c r="U1164" s="181" t="b">
        <f>COUNTIF(Discontinued!$A$1:$A$150,A1164)&gt;0</f>
        <v>0</v>
      </c>
    </row>
    <row r="1165" spans="1:21" s="8" customFormat="1" ht="11.25" x14ac:dyDescent="0.2">
      <c r="A1165" s="152">
        <v>20031238</v>
      </c>
      <c r="B1165" s="10" t="s">
        <v>4088</v>
      </c>
      <c r="C1165" s="124" t="s">
        <v>3911</v>
      </c>
      <c r="D1165" s="119" t="s">
        <v>3907</v>
      </c>
      <c r="E1165" s="124" t="s">
        <v>3905</v>
      </c>
      <c r="F1165" s="120">
        <v>12</v>
      </c>
      <c r="G1165" s="121">
        <f>Overview!$B$127</f>
        <v>26</v>
      </c>
      <c r="H1165" s="114">
        <f>G1165-I1165</f>
        <v>26</v>
      </c>
      <c r="I1165" s="114">
        <f>Overview!$E$127</f>
        <v>0</v>
      </c>
      <c r="J1165" s="115">
        <f>I1165/F1165</f>
        <v>0</v>
      </c>
      <c r="K1165" s="116">
        <f>Overview!$H$127</f>
        <v>0</v>
      </c>
      <c r="L1165" s="117" t="e">
        <f>(K1165-J1165)/K1165</f>
        <v>#DIV/0!</v>
      </c>
      <c r="M1165" s="179"/>
      <c r="N1165" s="179" t="s">
        <v>3914</v>
      </c>
      <c r="O1165" s="141">
        <f>I1165</f>
        <v>0</v>
      </c>
      <c r="P1165" s="181" t="b">
        <f>COUNTIF('Facility Data'!$A$1:$A$1500,"*"&amp;A1165&amp;"*")&gt;0</f>
        <v>0</v>
      </c>
      <c r="Q1165" s="181" t="b">
        <f>COUNTIF('Account Data'!$A$1:$A$1000,"*"&amp;A1165&amp;"*")&gt;0</f>
        <v>0</v>
      </c>
      <c r="R1165" s="182" t="b">
        <f>IF(OR(P1165=TRUE,T1165=TRUE),TRUE,FALSE)</f>
        <v>0</v>
      </c>
      <c r="S1165" s="182" t="b">
        <f>IF(OR(Q1165=TRUE,T1165=TRUE),TRUE,FALSE)</f>
        <v>0</v>
      </c>
      <c r="T1165" s="181" t="b">
        <f>COUNTIF('New Items'!$A$1:$A$175,A1165)&gt;0</f>
        <v>0</v>
      </c>
      <c r="U1165" s="181" t="b">
        <f>COUNTIF(Discontinued!$A$1:$A$150,A1165)&gt;0</f>
        <v>0</v>
      </c>
    </row>
    <row r="1166" spans="1:21" s="8" customFormat="1" ht="11.25" x14ac:dyDescent="0.2">
      <c r="A1166" s="152">
        <v>20031236</v>
      </c>
      <c r="B1166" s="10" t="s">
        <v>4086</v>
      </c>
      <c r="C1166" s="124" t="s">
        <v>3912</v>
      </c>
      <c r="D1166" s="119" t="s">
        <v>3908</v>
      </c>
      <c r="E1166" s="124" t="s">
        <v>3905</v>
      </c>
      <c r="F1166" s="120">
        <v>12</v>
      </c>
      <c r="G1166" s="121">
        <f>Overview!$B$127</f>
        <v>26</v>
      </c>
      <c r="H1166" s="114">
        <f>G1166-I1166</f>
        <v>26</v>
      </c>
      <c r="I1166" s="114">
        <f>Overview!$E$127</f>
        <v>0</v>
      </c>
      <c r="J1166" s="115">
        <f>I1166/F1166</f>
        <v>0</v>
      </c>
      <c r="K1166" s="116">
        <f>Overview!$H$127</f>
        <v>0</v>
      </c>
      <c r="L1166" s="117" t="e">
        <f>(K1166-J1166)/K1166</f>
        <v>#DIV/0!</v>
      </c>
      <c r="M1166" s="179"/>
      <c r="N1166" s="179" t="s">
        <v>3914</v>
      </c>
      <c r="O1166" s="141">
        <f>I1166</f>
        <v>0</v>
      </c>
      <c r="P1166" s="181" t="b">
        <f>COUNTIF('Facility Data'!$A$1:$A$1500,"*"&amp;A1166&amp;"*")&gt;0</f>
        <v>0</v>
      </c>
      <c r="Q1166" s="181" t="b">
        <f>COUNTIF('Account Data'!$A$1:$A$1000,"*"&amp;A1166&amp;"*")&gt;0</f>
        <v>0</v>
      </c>
      <c r="R1166" s="182" t="b">
        <f>IF(OR(P1166=TRUE,T1166=TRUE),TRUE,FALSE)</f>
        <v>0</v>
      </c>
      <c r="S1166" s="182" t="b">
        <f>IF(OR(Q1166=TRUE,T1166=TRUE),TRUE,FALSE)</f>
        <v>0</v>
      </c>
      <c r="T1166" s="181" t="b">
        <f>COUNTIF('New Items'!$A$1:$A$175,A1166)&gt;0</f>
        <v>0</v>
      </c>
      <c r="U1166" s="181" t="b">
        <f>COUNTIF(Discontinued!$A$1:$A$150,A1166)&gt;0</f>
        <v>0</v>
      </c>
    </row>
    <row r="1167" spans="1:21" s="8" customFormat="1" ht="12" thickBot="1" x14ac:dyDescent="0.25">
      <c r="A1167" s="152">
        <v>20031235</v>
      </c>
      <c r="B1167" s="10" t="s">
        <v>4085</v>
      </c>
      <c r="C1167" s="124" t="s">
        <v>3913</v>
      </c>
      <c r="D1167" s="119" t="s">
        <v>3909</v>
      </c>
      <c r="E1167" s="124" t="s">
        <v>3905</v>
      </c>
      <c r="F1167" s="120">
        <v>12</v>
      </c>
      <c r="G1167" s="121">
        <f>Overview!$B$127</f>
        <v>26</v>
      </c>
      <c r="H1167" s="114">
        <f>G1167-I1167</f>
        <v>26</v>
      </c>
      <c r="I1167" s="114">
        <f>Overview!$E$127</f>
        <v>0</v>
      </c>
      <c r="J1167" s="115">
        <f>I1167/F1167</f>
        <v>0</v>
      </c>
      <c r="K1167" s="116">
        <f>Overview!$H$127</f>
        <v>0</v>
      </c>
      <c r="L1167" s="117" t="e">
        <f>(K1167-J1167)/K1167</f>
        <v>#DIV/0!</v>
      </c>
      <c r="M1167" s="179"/>
      <c r="N1167" s="179" t="s">
        <v>3914</v>
      </c>
      <c r="O1167" s="141">
        <f>I1167</f>
        <v>0</v>
      </c>
      <c r="P1167" s="181" t="b">
        <f>COUNTIF('Facility Data'!$A$1:$A$1500,"*"&amp;A1167&amp;"*")&gt;0</f>
        <v>0</v>
      </c>
      <c r="Q1167" s="181" t="b">
        <f>COUNTIF('Account Data'!$A$1:$A$1000,"*"&amp;A1167&amp;"*")&gt;0</f>
        <v>0</v>
      </c>
      <c r="R1167" s="182" t="b">
        <f>IF(OR(P1167=TRUE,T1167=TRUE),TRUE,FALSE)</f>
        <v>0</v>
      </c>
      <c r="S1167" s="182" t="b">
        <f>IF(OR(Q1167=TRUE,T1167=TRUE),TRUE,FALSE)</f>
        <v>0</v>
      </c>
      <c r="T1167" s="181" t="b">
        <f>COUNTIF('New Items'!$A$1:$A$175,A1167)&gt;0</f>
        <v>0</v>
      </c>
      <c r="U1167" s="181" t="b">
        <f>COUNTIF(Discontinued!$A$1:$A$150,A1167)&gt;0</f>
        <v>0</v>
      </c>
    </row>
    <row r="1168" spans="1:21" s="8" customFormat="1" ht="13.5" thickBot="1" x14ac:dyDescent="0.25">
      <c r="A1168" s="300" t="s">
        <v>1034</v>
      </c>
      <c r="B1168" s="301"/>
      <c r="C1168" s="301"/>
      <c r="D1168" s="301"/>
      <c r="E1168" s="301"/>
      <c r="F1168" s="301"/>
      <c r="G1168" s="301"/>
      <c r="H1168" s="301"/>
      <c r="I1168" s="301"/>
      <c r="J1168" s="301"/>
      <c r="K1168" s="301"/>
      <c r="L1168" s="302"/>
      <c r="M1168" s="179" t="s">
        <v>4361</v>
      </c>
      <c r="N1168" s="179" t="s">
        <v>1265</v>
      </c>
      <c r="O1168" s="141">
        <f>AVERAGE(O1169:O1172)</f>
        <v>0</v>
      </c>
      <c r="P1168" s="181" t="b">
        <f>COUNTIF(P1169:P1172,TRUE)&gt;0</f>
        <v>1</v>
      </c>
      <c r="Q1168" s="181" t="b">
        <f>COUNTIF(Q1169:Q1172,TRUE)&gt;0</f>
        <v>1</v>
      </c>
      <c r="R1168" s="181" t="b">
        <f>COUNTIF(R1169:R1172,TRUE)&gt;0</f>
        <v>1</v>
      </c>
      <c r="S1168" s="181" t="b">
        <f>COUNTIF(S1169:S1172,TRUE)&gt;0</f>
        <v>1</v>
      </c>
      <c r="T1168" s="181" t="b">
        <f>COUNTIF(T1169:T1172,TRUE)&gt;0</f>
        <v>0</v>
      </c>
      <c r="U1168" s="181"/>
    </row>
    <row r="1169" spans="1:21" s="8" customFormat="1" ht="11.25" x14ac:dyDescent="0.2">
      <c r="A1169" s="152">
        <v>20028089</v>
      </c>
      <c r="B1169" s="10" t="s">
        <v>1044</v>
      </c>
      <c r="C1169" s="124" t="s">
        <v>1036</v>
      </c>
      <c r="D1169" s="119" t="s">
        <v>1037</v>
      </c>
      <c r="E1169" s="124" t="s">
        <v>786</v>
      </c>
      <c r="F1169" s="120">
        <v>12</v>
      </c>
      <c r="G1169" s="121">
        <f>Overview!$B$128</f>
        <v>26</v>
      </c>
      <c r="H1169" s="114">
        <f>G1169-I1169</f>
        <v>26</v>
      </c>
      <c r="I1169" s="114">
        <f>Overview!$E$128</f>
        <v>0</v>
      </c>
      <c r="J1169" s="115">
        <f>I1169/F1169</f>
        <v>0</v>
      </c>
      <c r="K1169" s="116">
        <f>Overview!$H$128</f>
        <v>0</v>
      </c>
      <c r="L1169" s="117" t="e">
        <f>(K1169-J1169)/K1169</f>
        <v>#DIV/0!</v>
      </c>
      <c r="M1169" s="179"/>
      <c r="N1169" s="179" t="s">
        <v>1265</v>
      </c>
      <c r="O1169" s="141">
        <f>I1169</f>
        <v>0</v>
      </c>
      <c r="P1169" s="181" t="b">
        <f>COUNTIF('Facility Data'!$A$1:$A$1500,"*"&amp;A1169&amp;"*")&gt;0</f>
        <v>1</v>
      </c>
      <c r="Q1169" s="181" t="b">
        <f>COUNTIF('Account Data'!$A$1:$A$1000,"*"&amp;A1169&amp;"*")&gt;0</f>
        <v>1</v>
      </c>
      <c r="R1169" s="182" t="b">
        <f>IF(OR(P1169=TRUE,T1169=TRUE),TRUE,FALSE)</f>
        <v>1</v>
      </c>
      <c r="S1169" s="182" t="b">
        <f t="shared" si="352"/>
        <v>1</v>
      </c>
      <c r="T1169" s="181" t="b">
        <f>COUNTIF('New Items'!$A$1:$A$175,A1169)&gt;0</f>
        <v>0</v>
      </c>
      <c r="U1169" s="181" t="b">
        <f>COUNTIF(Discontinued!$A$1:$A$150,A1169)&gt;0</f>
        <v>0</v>
      </c>
    </row>
    <row r="1170" spans="1:21" s="8" customFormat="1" ht="11.25" x14ac:dyDescent="0.2">
      <c r="A1170" s="152">
        <v>20028090</v>
      </c>
      <c r="B1170" s="10" t="s">
        <v>1045</v>
      </c>
      <c r="C1170" s="124" t="s">
        <v>1041</v>
      </c>
      <c r="D1170" s="119" t="s">
        <v>1038</v>
      </c>
      <c r="E1170" s="124" t="s">
        <v>786</v>
      </c>
      <c r="F1170" s="120">
        <v>12</v>
      </c>
      <c r="G1170" s="121">
        <f>Overview!$B$128</f>
        <v>26</v>
      </c>
      <c r="H1170" s="114">
        <f>G1170-I1170</f>
        <v>26</v>
      </c>
      <c r="I1170" s="114">
        <f>Overview!$E$128</f>
        <v>0</v>
      </c>
      <c r="J1170" s="115">
        <f>I1170/F1170</f>
        <v>0</v>
      </c>
      <c r="K1170" s="116">
        <f>Overview!$H$128</f>
        <v>0</v>
      </c>
      <c r="L1170" s="117" t="e">
        <f>(K1170-J1170)/K1170</f>
        <v>#DIV/0!</v>
      </c>
      <c r="M1170" s="179"/>
      <c r="N1170" s="179" t="s">
        <v>1265</v>
      </c>
      <c r="O1170" s="141">
        <f>I1170</f>
        <v>0</v>
      </c>
      <c r="P1170" s="181" t="b">
        <f>COUNTIF('Facility Data'!$A$1:$A$1500,"*"&amp;A1170&amp;"*")&gt;0</f>
        <v>1</v>
      </c>
      <c r="Q1170" s="181" t="b">
        <f>COUNTIF('Account Data'!$A$1:$A$1000,"*"&amp;A1170&amp;"*")&gt;0</f>
        <v>1</v>
      </c>
      <c r="R1170" s="182" t="b">
        <f>IF(OR(P1170=TRUE,T1170=TRUE),TRUE,FALSE)</f>
        <v>1</v>
      </c>
      <c r="S1170" s="182" t="b">
        <f t="shared" si="352"/>
        <v>1</v>
      </c>
      <c r="T1170" s="181" t="b">
        <f>COUNTIF('New Items'!$A$1:$A$175,A1170)&gt;0</f>
        <v>0</v>
      </c>
      <c r="U1170" s="181" t="b">
        <f>COUNTIF(Discontinued!$A$1:$A$150,A1170)&gt;0</f>
        <v>0</v>
      </c>
    </row>
    <row r="1171" spans="1:21" s="8" customFormat="1" ht="11.25" x14ac:dyDescent="0.2">
      <c r="A1171" s="152">
        <v>20028087</v>
      </c>
      <c r="B1171" s="10" t="s">
        <v>1035</v>
      </c>
      <c r="C1171" s="124" t="s">
        <v>1042</v>
      </c>
      <c r="D1171" s="119" t="s">
        <v>1039</v>
      </c>
      <c r="E1171" s="124" t="s">
        <v>786</v>
      </c>
      <c r="F1171" s="120">
        <v>12</v>
      </c>
      <c r="G1171" s="121">
        <f>Overview!$B$128</f>
        <v>26</v>
      </c>
      <c r="H1171" s="114">
        <f>G1171-I1171</f>
        <v>26</v>
      </c>
      <c r="I1171" s="114">
        <f>Overview!$E$128</f>
        <v>0</v>
      </c>
      <c r="J1171" s="115">
        <f>I1171/F1171</f>
        <v>0</v>
      </c>
      <c r="K1171" s="116">
        <f>Overview!$H$128</f>
        <v>0</v>
      </c>
      <c r="L1171" s="117" t="e">
        <f>(K1171-J1171)/K1171</f>
        <v>#DIV/0!</v>
      </c>
      <c r="M1171" s="179"/>
      <c r="N1171" s="179" t="s">
        <v>1265</v>
      </c>
      <c r="O1171" s="141">
        <f>I1171</f>
        <v>0</v>
      </c>
      <c r="P1171" s="181" t="b">
        <f>COUNTIF('Facility Data'!$A$1:$A$1500,"*"&amp;A1171&amp;"*")&gt;0</f>
        <v>1</v>
      </c>
      <c r="Q1171" s="181" t="b">
        <f>COUNTIF('Account Data'!$A$1:$A$1000,"*"&amp;A1171&amp;"*")&gt;0</f>
        <v>1</v>
      </c>
      <c r="R1171" s="182" t="b">
        <f>IF(OR(P1171=TRUE,T1171=TRUE),TRUE,FALSE)</f>
        <v>1</v>
      </c>
      <c r="S1171" s="182" t="b">
        <f t="shared" si="352"/>
        <v>1</v>
      </c>
      <c r="T1171" s="181" t="b">
        <f>COUNTIF('New Items'!$A$1:$A$175,A1171)&gt;0</f>
        <v>0</v>
      </c>
      <c r="U1171" s="181" t="b">
        <f>COUNTIF(Discontinued!$A$1:$A$150,A1171)&gt;0</f>
        <v>0</v>
      </c>
    </row>
    <row r="1172" spans="1:21" s="8" customFormat="1" ht="12" thickBot="1" x14ac:dyDescent="0.25">
      <c r="A1172" s="152">
        <v>20028088</v>
      </c>
      <c r="B1172" s="10" t="s">
        <v>1046</v>
      </c>
      <c r="C1172" s="124" t="s">
        <v>1043</v>
      </c>
      <c r="D1172" s="119" t="s">
        <v>1040</v>
      </c>
      <c r="E1172" s="124" t="s">
        <v>786</v>
      </c>
      <c r="F1172" s="120">
        <v>12</v>
      </c>
      <c r="G1172" s="121">
        <f>Overview!$B$128</f>
        <v>26</v>
      </c>
      <c r="H1172" s="114">
        <f>G1172-I1172</f>
        <v>26</v>
      </c>
      <c r="I1172" s="114">
        <f>Overview!$E$128</f>
        <v>0</v>
      </c>
      <c r="J1172" s="115">
        <f>I1172/F1172</f>
        <v>0</v>
      </c>
      <c r="K1172" s="116">
        <f>Overview!$H$128</f>
        <v>0</v>
      </c>
      <c r="L1172" s="117" t="e">
        <f>(K1172-J1172)/K1172</f>
        <v>#DIV/0!</v>
      </c>
      <c r="M1172" s="179"/>
      <c r="N1172" s="179" t="s">
        <v>1265</v>
      </c>
      <c r="O1172" s="141">
        <f>I1172</f>
        <v>0</v>
      </c>
      <c r="P1172" s="181" t="b">
        <f>COUNTIF('Facility Data'!$A$1:$A$1500,"*"&amp;A1172&amp;"*")&gt;0</f>
        <v>1</v>
      </c>
      <c r="Q1172" s="181" t="b">
        <f>COUNTIF('Account Data'!$A$1:$A$1000,"*"&amp;A1172&amp;"*")&gt;0</f>
        <v>1</v>
      </c>
      <c r="R1172" s="182" t="b">
        <f>IF(OR(P1172=TRUE,T1172=TRUE),TRUE,FALSE)</f>
        <v>1</v>
      </c>
      <c r="S1172" s="182" t="b">
        <f t="shared" si="352"/>
        <v>1</v>
      </c>
      <c r="T1172" s="181" t="b">
        <f>COUNTIF('New Items'!$A$1:$A$175,A1172)&gt;0</f>
        <v>0</v>
      </c>
      <c r="U1172" s="181" t="b">
        <f>COUNTIF(Discontinued!$A$1:$A$150,A1172)&gt;0</f>
        <v>0</v>
      </c>
    </row>
    <row r="1173" spans="1:21" s="8" customFormat="1" ht="13.5" thickBot="1" x14ac:dyDescent="0.25">
      <c r="A1173" s="300" t="s">
        <v>512</v>
      </c>
      <c r="B1173" s="301"/>
      <c r="C1173" s="301"/>
      <c r="D1173" s="301"/>
      <c r="E1173" s="301"/>
      <c r="F1173" s="301"/>
      <c r="G1173" s="301"/>
      <c r="H1173" s="301"/>
      <c r="I1173" s="301"/>
      <c r="J1173" s="301"/>
      <c r="K1173" s="301"/>
      <c r="L1173" s="302"/>
      <c r="M1173" s="179" t="s">
        <v>4361</v>
      </c>
      <c r="N1173" s="179" t="s">
        <v>986</v>
      </c>
      <c r="O1173" s="141">
        <f>AVERAGE(O1174:O1180)</f>
        <v>0</v>
      </c>
      <c r="P1173" s="181" t="b">
        <f>COUNTIF(P1174:P1180,TRUE)&gt;0</f>
        <v>1</v>
      </c>
      <c r="Q1173" s="181" t="b">
        <f>COUNTIF(Q1174:Q1180,TRUE)&gt;0</f>
        <v>1</v>
      </c>
      <c r="R1173" s="181" t="b">
        <f>COUNTIF(R1174:R1180,TRUE)&gt;0</f>
        <v>1</v>
      </c>
      <c r="S1173" s="181" t="b">
        <f>COUNTIF(S1174:S1180,TRUE)&gt;0</f>
        <v>1</v>
      </c>
      <c r="T1173" s="181" t="b">
        <f>COUNTIF(T1174:T1180,TRUE)&gt;0</f>
        <v>0</v>
      </c>
      <c r="U1173" s="181"/>
    </row>
    <row r="1174" spans="1:21" s="8" customFormat="1" ht="11.25" x14ac:dyDescent="0.2">
      <c r="A1174" s="152">
        <v>20023318</v>
      </c>
      <c r="B1174" s="10" t="s">
        <v>513</v>
      </c>
      <c r="C1174" s="14" t="s">
        <v>514</v>
      </c>
      <c r="D1174" s="11" t="s">
        <v>732</v>
      </c>
      <c r="E1174" s="14" t="s">
        <v>786</v>
      </c>
      <c r="F1174" s="13">
        <v>12</v>
      </c>
      <c r="G1174" s="22">
        <f>Overview!$B$129</f>
        <v>26</v>
      </c>
      <c r="H1174" s="23">
        <f t="shared" ref="H1174:H1180" si="376">G1174-I1174</f>
        <v>26</v>
      </c>
      <c r="I1174" s="114">
        <f>Overview!$E$129</f>
        <v>0</v>
      </c>
      <c r="J1174" s="24">
        <f t="shared" ref="J1174:J1180" si="377">I1174/F1174</f>
        <v>0</v>
      </c>
      <c r="K1174" s="116">
        <f>Overview!$H$129</f>
        <v>0</v>
      </c>
      <c r="L1174" s="51" t="e">
        <f t="shared" ref="L1174:L1180" si="378">(K1174-J1174)/K1174</f>
        <v>#DIV/0!</v>
      </c>
      <c r="M1174" s="179"/>
      <c r="N1174" s="179" t="s">
        <v>986</v>
      </c>
      <c r="O1174" s="141">
        <f t="shared" ref="O1174:O1180" si="379">I1174</f>
        <v>0</v>
      </c>
      <c r="P1174" s="181" t="b">
        <f>COUNTIF('Facility Data'!$A$1:$A$1500,"*"&amp;A1174&amp;"*")&gt;0</f>
        <v>1</v>
      </c>
      <c r="Q1174" s="181" t="b">
        <f>COUNTIF('Account Data'!$A$1:$A$1000,"*"&amp;A1174&amp;"*")&gt;0</f>
        <v>1</v>
      </c>
      <c r="R1174" s="182" t="b">
        <f t="shared" ref="R1174:R1180" si="380">IF(OR(P1174=TRUE,T1174=TRUE),TRUE,FALSE)</f>
        <v>1</v>
      </c>
      <c r="S1174" s="182" t="b">
        <f t="shared" si="352"/>
        <v>1</v>
      </c>
      <c r="T1174" s="181" t="b">
        <f>COUNTIF('New Items'!$A$1:$A$175,A1174)&gt;0</f>
        <v>0</v>
      </c>
      <c r="U1174" s="181" t="b">
        <f>COUNTIF(Discontinued!$A$1:$A$150,A1174)&gt;0</f>
        <v>0</v>
      </c>
    </row>
    <row r="1175" spans="1:21" s="8" customFormat="1" ht="11.25" x14ac:dyDescent="0.2">
      <c r="A1175" s="152">
        <v>20023319</v>
      </c>
      <c r="B1175" s="10" t="s">
        <v>515</v>
      </c>
      <c r="C1175" s="14" t="s">
        <v>516</v>
      </c>
      <c r="D1175" s="11" t="s">
        <v>733</v>
      </c>
      <c r="E1175" s="14" t="s">
        <v>786</v>
      </c>
      <c r="F1175" s="13">
        <v>12</v>
      </c>
      <c r="G1175" s="22">
        <f>Overview!$B$129</f>
        <v>26</v>
      </c>
      <c r="H1175" s="23">
        <f t="shared" si="376"/>
        <v>26</v>
      </c>
      <c r="I1175" s="114">
        <f>Overview!$E$129</f>
        <v>0</v>
      </c>
      <c r="J1175" s="24">
        <f t="shared" si="377"/>
        <v>0</v>
      </c>
      <c r="K1175" s="116">
        <f>Overview!$H$129</f>
        <v>0</v>
      </c>
      <c r="L1175" s="51" t="e">
        <f t="shared" si="378"/>
        <v>#DIV/0!</v>
      </c>
      <c r="M1175" s="179"/>
      <c r="N1175" s="179" t="s">
        <v>986</v>
      </c>
      <c r="O1175" s="141">
        <f t="shared" si="379"/>
        <v>0</v>
      </c>
      <c r="P1175" s="181" t="b">
        <f>COUNTIF('Facility Data'!$A$1:$A$1500,"*"&amp;A1175&amp;"*")&gt;0</f>
        <v>1</v>
      </c>
      <c r="Q1175" s="181" t="b">
        <f>COUNTIF('Account Data'!$A$1:$A$1000,"*"&amp;A1175&amp;"*")&gt;0</f>
        <v>1</v>
      </c>
      <c r="R1175" s="182" t="b">
        <f t="shared" si="380"/>
        <v>1</v>
      </c>
      <c r="S1175" s="182" t="b">
        <f t="shared" si="352"/>
        <v>1</v>
      </c>
      <c r="T1175" s="181" t="b">
        <f>COUNTIF('New Items'!$A$1:$A$175,A1175)&gt;0</f>
        <v>0</v>
      </c>
      <c r="U1175" s="181" t="b">
        <f>COUNTIF(Discontinued!$A$1:$A$150,A1175)&gt;0</f>
        <v>0</v>
      </c>
    </row>
    <row r="1176" spans="1:21" s="8" customFormat="1" ht="11.25" x14ac:dyDescent="0.2">
      <c r="A1176" s="152">
        <v>20023317</v>
      </c>
      <c r="B1176" s="10" t="s">
        <v>519</v>
      </c>
      <c r="C1176" s="14" t="s">
        <v>520</v>
      </c>
      <c r="D1176" s="11" t="s">
        <v>735</v>
      </c>
      <c r="E1176" s="14" t="s">
        <v>786</v>
      </c>
      <c r="F1176" s="13">
        <v>12</v>
      </c>
      <c r="G1176" s="22">
        <f>Overview!$B$129</f>
        <v>26</v>
      </c>
      <c r="H1176" s="23">
        <f t="shared" si="376"/>
        <v>26</v>
      </c>
      <c r="I1176" s="114">
        <f>Overview!$E$129</f>
        <v>0</v>
      </c>
      <c r="J1176" s="24">
        <f t="shared" si="377"/>
        <v>0</v>
      </c>
      <c r="K1176" s="116">
        <f>Overview!$H$129</f>
        <v>0</v>
      </c>
      <c r="L1176" s="51" t="e">
        <f t="shared" si="378"/>
        <v>#DIV/0!</v>
      </c>
      <c r="M1176" s="179"/>
      <c r="N1176" s="179" t="s">
        <v>986</v>
      </c>
      <c r="O1176" s="141">
        <f t="shared" si="379"/>
        <v>0</v>
      </c>
      <c r="P1176" s="181" t="b">
        <f>COUNTIF('Facility Data'!$A$1:$A$1500,"*"&amp;A1176&amp;"*")&gt;0</f>
        <v>1</v>
      </c>
      <c r="Q1176" s="181" t="b">
        <f>COUNTIF('Account Data'!$A$1:$A$1000,"*"&amp;A1176&amp;"*")&gt;0</f>
        <v>1</v>
      </c>
      <c r="R1176" s="182" t="b">
        <f t="shared" si="380"/>
        <v>1</v>
      </c>
      <c r="S1176" s="182" t="b">
        <f t="shared" si="352"/>
        <v>1</v>
      </c>
      <c r="T1176" s="181" t="b">
        <f>COUNTIF('New Items'!$A$1:$A$175,A1176)&gt;0</f>
        <v>0</v>
      </c>
      <c r="U1176" s="181" t="b">
        <f>COUNTIF(Discontinued!$A$1:$A$150,A1176)&gt;0</f>
        <v>0</v>
      </c>
    </row>
    <row r="1177" spans="1:21" s="8" customFormat="1" ht="11.25" x14ac:dyDescent="0.2">
      <c r="A1177" s="152">
        <v>20025475</v>
      </c>
      <c r="B1177" s="10" t="s">
        <v>523</v>
      </c>
      <c r="C1177" s="14" t="s">
        <v>524</v>
      </c>
      <c r="D1177" s="11" t="s">
        <v>737</v>
      </c>
      <c r="E1177" s="14" t="s">
        <v>786</v>
      </c>
      <c r="F1177" s="13">
        <v>12</v>
      </c>
      <c r="G1177" s="22">
        <f>Overview!$B$129</f>
        <v>26</v>
      </c>
      <c r="H1177" s="23">
        <f t="shared" si="376"/>
        <v>26</v>
      </c>
      <c r="I1177" s="114">
        <f>Overview!$E$129</f>
        <v>0</v>
      </c>
      <c r="J1177" s="24">
        <f t="shared" si="377"/>
        <v>0</v>
      </c>
      <c r="K1177" s="116">
        <f>Overview!$H$129</f>
        <v>0</v>
      </c>
      <c r="L1177" s="51" t="e">
        <f t="shared" si="378"/>
        <v>#DIV/0!</v>
      </c>
      <c r="M1177" s="179"/>
      <c r="N1177" s="179" t="s">
        <v>986</v>
      </c>
      <c r="O1177" s="141">
        <f t="shared" si="379"/>
        <v>0</v>
      </c>
      <c r="P1177" s="181" t="b">
        <f>COUNTIF('Facility Data'!$A$1:$A$1500,"*"&amp;A1177&amp;"*")&gt;0</f>
        <v>1</v>
      </c>
      <c r="Q1177" s="181" t="b">
        <f>COUNTIF('Account Data'!$A$1:$A$1000,"*"&amp;A1177&amp;"*")&gt;0</f>
        <v>1</v>
      </c>
      <c r="R1177" s="182" t="b">
        <f t="shared" si="380"/>
        <v>1</v>
      </c>
      <c r="S1177" s="182" t="b">
        <f t="shared" si="352"/>
        <v>1</v>
      </c>
      <c r="T1177" s="181" t="b">
        <f>COUNTIF('New Items'!$A$1:$A$175,A1177)&gt;0</f>
        <v>0</v>
      </c>
      <c r="U1177" s="181" t="b">
        <f>COUNTIF(Discontinued!$A$1:$A$150,A1177)&gt;0</f>
        <v>0</v>
      </c>
    </row>
    <row r="1178" spans="1:21" s="8" customFormat="1" ht="11.25" x14ac:dyDescent="0.2">
      <c r="A1178" s="152">
        <v>20023320</v>
      </c>
      <c r="B1178" s="10" t="s">
        <v>517</v>
      </c>
      <c r="C1178" s="14" t="s">
        <v>518</v>
      </c>
      <c r="D1178" s="11" t="s">
        <v>734</v>
      </c>
      <c r="E1178" s="14" t="s">
        <v>786</v>
      </c>
      <c r="F1178" s="13">
        <v>12</v>
      </c>
      <c r="G1178" s="22">
        <f>Overview!$B$129</f>
        <v>26</v>
      </c>
      <c r="H1178" s="23">
        <f t="shared" si="376"/>
        <v>26</v>
      </c>
      <c r="I1178" s="114">
        <f>Overview!$E$129</f>
        <v>0</v>
      </c>
      <c r="J1178" s="24">
        <f t="shared" si="377"/>
        <v>0</v>
      </c>
      <c r="K1178" s="116">
        <f>Overview!$H$129</f>
        <v>0</v>
      </c>
      <c r="L1178" s="51" t="e">
        <f t="shared" si="378"/>
        <v>#DIV/0!</v>
      </c>
      <c r="M1178" s="179"/>
      <c r="N1178" s="179" t="s">
        <v>986</v>
      </c>
      <c r="O1178" s="141">
        <f t="shared" si="379"/>
        <v>0</v>
      </c>
      <c r="P1178" s="181" t="b">
        <f>COUNTIF('Facility Data'!$A$1:$A$1500,"*"&amp;A1178&amp;"*")&gt;0</f>
        <v>1</v>
      </c>
      <c r="Q1178" s="181" t="b">
        <f>COUNTIF('Account Data'!$A$1:$A$1000,"*"&amp;A1178&amp;"*")&gt;0</f>
        <v>1</v>
      </c>
      <c r="R1178" s="182" t="b">
        <f t="shared" si="380"/>
        <v>1</v>
      </c>
      <c r="S1178" s="182" t="b">
        <f t="shared" si="352"/>
        <v>1</v>
      </c>
      <c r="T1178" s="181" t="b">
        <f>COUNTIF('New Items'!$A$1:$A$175,A1178)&gt;0</f>
        <v>0</v>
      </c>
      <c r="U1178" s="181" t="b">
        <f>COUNTIF(Discontinued!$A$1:$A$150,A1178)&gt;0</f>
        <v>0</v>
      </c>
    </row>
    <row r="1179" spans="1:21" s="8" customFormat="1" ht="11.25" x14ac:dyDescent="0.2">
      <c r="A1179" s="152">
        <v>20023321</v>
      </c>
      <c r="B1179" s="10" t="s">
        <v>521</v>
      </c>
      <c r="C1179" s="14" t="s">
        <v>522</v>
      </c>
      <c r="D1179" s="11" t="s">
        <v>736</v>
      </c>
      <c r="E1179" s="14" t="s">
        <v>786</v>
      </c>
      <c r="F1179" s="13">
        <v>12</v>
      </c>
      <c r="G1179" s="22">
        <f>Overview!$B$129</f>
        <v>26</v>
      </c>
      <c r="H1179" s="23">
        <f t="shared" si="376"/>
        <v>26</v>
      </c>
      <c r="I1179" s="114">
        <f>Overview!$E$129</f>
        <v>0</v>
      </c>
      <c r="J1179" s="24">
        <f t="shared" si="377"/>
        <v>0</v>
      </c>
      <c r="K1179" s="116">
        <f>Overview!$H$129</f>
        <v>0</v>
      </c>
      <c r="L1179" s="51" t="e">
        <f t="shared" si="378"/>
        <v>#DIV/0!</v>
      </c>
      <c r="M1179" s="179"/>
      <c r="N1179" s="179" t="s">
        <v>986</v>
      </c>
      <c r="O1179" s="141">
        <f t="shared" si="379"/>
        <v>0</v>
      </c>
      <c r="P1179" s="181" t="b">
        <f>COUNTIF('Facility Data'!$A$1:$A$1500,"*"&amp;A1179&amp;"*")&gt;0</f>
        <v>1</v>
      </c>
      <c r="Q1179" s="181" t="b">
        <f>COUNTIF('Account Data'!$A$1:$A$1000,"*"&amp;A1179&amp;"*")&gt;0</f>
        <v>1</v>
      </c>
      <c r="R1179" s="182" t="b">
        <f t="shared" si="380"/>
        <v>1</v>
      </c>
      <c r="S1179" s="182" t="b">
        <f>IF(OR(Q1179=TRUE,T1179=TRUE),TRUE,FALSE)</f>
        <v>1</v>
      </c>
      <c r="T1179" s="181" t="b">
        <f>COUNTIF('New Items'!$A$1:$A$175,A1179)&gt;0</f>
        <v>0</v>
      </c>
      <c r="U1179" s="181" t="b">
        <f>COUNTIF(Discontinued!$A$1:$A$150,A1179)&gt;0</f>
        <v>0</v>
      </c>
    </row>
    <row r="1180" spans="1:21" s="8" customFormat="1" ht="12" thickBot="1" x14ac:dyDescent="0.25">
      <c r="A1180" s="152">
        <v>20028238</v>
      </c>
      <c r="B1180" s="10" t="s">
        <v>3857</v>
      </c>
      <c r="C1180" s="14" t="s">
        <v>3858</v>
      </c>
      <c r="D1180" s="11" t="s">
        <v>3917</v>
      </c>
      <c r="E1180" s="14" t="s">
        <v>786</v>
      </c>
      <c r="F1180" s="13">
        <v>12</v>
      </c>
      <c r="G1180" s="22">
        <f>Overview!$B$129</f>
        <v>26</v>
      </c>
      <c r="H1180" s="23">
        <f t="shared" si="376"/>
        <v>26</v>
      </c>
      <c r="I1180" s="114">
        <f>Overview!$E$129</f>
        <v>0</v>
      </c>
      <c r="J1180" s="24">
        <f t="shared" si="377"/>
        <v>0</v>
      </c>
      <c r="K1180" s="116">
        <f>Overview!$H$129</f>
        <v>0</v>
      </c>
      <c r="L1180" s="51" t="e">
        <f t="shared" si="378"/>
        <v>#DIV/0!</v>
      </c>
      <c r="M1180" s="179"/>
      <c r="N1180" s="179" t="s">
        <v>986</v>
      </c>
      <c r="O1180" s="141">
        <f t="shared" si="379"/>
        <v>0</v>
      </c>
      <c r="P1180" s="181" t="b">
        <f>COUNTIF('Facility Data'!$A$1:$A$1500,"*"&amp;A1180&amp;"*")&gt;0</f>
        <v>0</v>
      </c>
      <c r="Q1180" s="181" t="b">
        <f>COUNTIF('Account Data'!$A$1:$A$1000,"*"&amp;A1180&amp;"*")&gt;0</f>
        <v>0</v>
      </c>
      <c r="R1180" s="182" t="b">
        <f t="shared" si="380"/>
        <v>0</v>
      </c>
      <c r="S1180" s="182" t="b">
        <f>IF(OR(Q1180=TRUE,T1180=TRUE),TRUE,FALSE)</f>
        <v>0</v>
      </c>
      <c r="T1180" s="181" t="b">
        <f>COUNTIF('New Items'!$A$1:$A$175,A1180)&gt;0</f>
        <v>0</v>
      </c>
      <c r="U1180" s="181" t="b">
        <f>COUNTIF(Discontinued!$A$1:$A$150,A1180)&gt;0</f>
        <v>0</v>
      </c>
    </row>
    <row r="1181" spans="1:21" s="8" customFormat="1" ht="13.5" thickBot="1" x14ac:dyDescent="0.25">
      <c r="A1181" s="300" t="s">
        <v>549</v>
      </c>
      <c r="B1181" s="301"/>
      <c r="C1181" s="301"/>
      <c r="D1181" s="301"/>
      <c r="E1181" s="301"/>
      <c r="F1181" s="301"/>
      <c r="G1181" s="301"/>
      <c r="H1181" s="301"/>
      <c r="I1181" s="301"/>
      <c r="J1181" s="301"/>
      <c r="K1181" s="301"/>
      <c r="L1181" s="302"/>
      <c r="M1181" s="179" t="s">
        <v>4361</v>
      </c>
      <c r="N1181" s="179" t="s">
        <v>987</v>
      </c>
      <c r="O1181" s="141">
        <f>AVERAGE(O1182:O1184)</f>
        <v>0</v>
      </c>
      <c r="P1181" s="181" t="b">
        <f>COUNTIF(P1182:P1184,TRUE)&gt;0</f>
        <v>1</v>
      </c>
      <c r="Q1181" s="181" t="b">
        <f>COUNTIF(Q1182:Q1184,TRUE)&gt;0</f>
        <v>0</v>
      </c>
      <c r="R1181" s="181" t="b">
        <f>COUNTIF(R1182:R1184,TRUE)&gt;0</f>
        <v>1</v>
      </c>
      <c r="S1181" s="181" t="b">
        <f>COUNTIF(S1182:S1184,TRUE)&gt;0</f>
        <v>0</v>
      </c>
      <c r="T1181" s="181" t="b">
        <f>COUNTIF(T1182:T1184,TRUE)&gt;0</f>
        <v>0</v>
      </c>
      <c r="U1181" s="181"/>
    </row>
    <row r="1182" spans="1:21" s="8" customFormat="1" ht="11.25" x14ac:dyDescent="0.2">
      <c r="A1182" s="152">
        <v>20023308</v>
      </c>
      <c r="B1182" s="10" t="s">
        <v>525</v>
      </c>
      <c r="C1182" s="14" t="s">
        <v>528</v>
      </c>
      <c r="D1182" s="11" t="s">
        <v>732</v>
      </c>
      <c r="E1182" s="14" t="s">
        <v>786</v>
      </c>
      <c r="F1182" s="13">
        <v>6</v>
      </c>
      <c r="G1182" s="22">
        <f>Overview!$B$130</f>
        <v>48</v>
      </c>
      <c r="H1182" s="23">
        <f>G1182-I1182</f>
        <v>48</v>
      </c>
      <c r="I1182" s="114">
        <f>Overview!$E$130</f>
        <v>0</v>
      </c>
      <c r="J1182" s="24">
        <f>I1182/F1182</f>
        <v>0</v>
      </c>
      <c r="K1182" s="116">
        <f>Overview!$H$130</f>
        <v>0</v>
      </c>
      <c r="L1182" s="51" t="e">
        <f>(K1182-J1182)/K1182</f>
        <v>#DIV/0!</v>
      </c>
      <c r="M1182" s="179"/>
      <c r="N1182" s="179" t="s">
        <v>987</v>
      </c>
      <c r="O1182" s="141">
        <f>I1182</f>
        <v>0</v>
      </c>
      <c r="P1182" s="181" t="b">
        <f>COUNTIF('Facility Data'!$A$1:$A$1500,"*"&amp;A1182&amp;"*")&gt;0</f>
        <v>1</v>
      </c>
      <c r="Q1182" s="181" t="b">
        <f>COUNTIF('Account Data'!$A$1:$A$1000,"*"&amp;A1182&amp;"*")&gt;0</f>
        <v>0</v>
      </c>
      <c r="R1182" s="182" t="b">
        <f>IF(OR(P1182=TRUE,T1182=TRUE),TRUE,FALSE)</f>
        <v>1</v>
      </c>
      <c r="S1182" s="182" t="b">
        <f t="shared" ref="S1182:S1229" si="381">IF(OR(Q1182=TRUE,T1182=TRUE),TRUE,FALSE)</f>
        <v>0</v>
      </c>
      <c r="T1182" s="181" t="b">
        <f>COUNTIF('New Items'!$A$1:$A$175,A1182)&gt;0</f>
        <v>0</v>
      </c>
      <c r="U1182" s="181" t="b">
        <f>COUNTIF(Discontinued!$A$1:$A$150,A1182)&gt;0</f>
        <v>0</v>
      </c>
    </row>
    <row r="1183" spans="1:21" s="8" customFormat="1" ht="11.25" x14ac:dyDescent="0.2">
      <c r="A1183" s="152">
        <v>20023307</v>
      </c>
      <c r="B1183" s="10" t="s">
        <v>526</v>
      </c>
      <c r="C1183" s="14" t="s">
        <v>529</v>
      </c>
      <c r="D1183" s="11" t="s">
        <v>733</v>
      </c>
      <c r="E1183" s="14" t="s">
        <v>786</v>
      </c>
      <c r="F1183" s="13">
        <v>6</v>
      </c>
      <c r="G1183" s="22">
        <f>Overview!$B$130</f>
        <v>48</v>
      </c>
      <c r="H1183" s="23">
        <f>G1183-I1183</f>
        <v>48</v>
      </c>
      <c r="I1183" s="114">
        <f>Overview!$E$130</f>
        <v>0</v>
      </c>
      <c r="J1183" s="24">
        <f>I1183/F1183</f>
        <v>0</v>
      </c>
      <c r="K1183" s="116">
        <f>Overview!$H$130</f>
        <v>0</v>
      </c>
      <c r="L1183" s="51" t="e">
        <f>(K1183-J1183)/K1183</f>
        <v>#DIV/0!</v>
      </c>
      <c r="M1183" s="179"/>
      <c r="N1183" s="179" t="s">
        <v>987</v>
      </c>
      <c r="O1183" s="141">
        <f>I1183</f>
        <v>0</v>
      </c>
      <c r="P1183" s="181" t="b">
        <f>COUNTIF('Facility Data'!$A$1:$A$1500,"*"&amp;A1183&amp;"*")&gt;0</f>
        <v>1</v>
      </c>
      <c r="Q1183" s="181" t="b">
        <f>COUNTIF('Account Data'!$A$1:$A$1000,"*"&amp;A1183&amp;"*")&gt;0</f>
        <v>0</v>
      </c>
      <c r="R1183" s="182" t="b">
        <f>IF(OR(P1183=TRUE,T1183=TRUE),TRUE,FALSE)</f>
        <v>1</v>
      </c>
      <c r="S1183" s="182" t="b">
        <f t="shared" si="381"/>
        <v>0</v>
      </c>
      <c r="T1183" s="181" t="b">
        <f>COUNTIF('New Items'!$A$1:$A$175,A1183)&gt;0</f>
        <v>0</v>
      </c>
      <c r="U1183" s="181" t="b">
        <f>COUNTIF(Discontinued!$A$1:$A$150,A1183)&gt;0</f>
        <v>0</v>
      </c>
    </row>
    <row r="1184" spans="1:21" s="8" customFormat="1" ht="12" thickBot="1" x14ac:dyDescent="0.25">
      <c r="A1184" s="152">
        <v>20023309</v>
      </c>
      <c r="B1184" s="10" t="s">
        <v>527</v>
      </c>
      <c r="C1184" s="14" t="s">
        <v>530</v>
      </c>
      <c r="D1184" s="11" t="s">
        <v>736</v>
      </c>
      <c r="E1184" s="14" t="s">
        <v>786</v>
      </c>
      <c r="F1184" s="13">
        <v>6</v>
      </c>
      <c r="G1184" s="22">
        <f>Overview!$B$130</f>
        <v>48</v>
      </c>
      <c r="H1184" s="23">
        <f>G1184-I1184</f>
        <v>48</v>
      </c>
      <c r="I1184" s="114">
        <f>Overview!$E$130</f>
        <v>0</v>
      </c>
      <c r="J1184" s="24">
        <f>I1184/F1184</f>
        <v>0</v>
      </c>
      <c r="K1184" s="116">
        <f>Overview!$H$130</f>
        <v>0</v>
      </c>
      <c r="L1184" s="51" t="e">
        <f>(K1184-J1184)/K1184</f>
        <v>#DIV/0!</v>
      </c>
      <c r="M1184" s="179"/>
      <c r="N1184" s="179" t="s">
        <v>987</v>
      </c>
      <c r="O1184" s="141">
        <f>I1184</f>
        <v>0</v>
      </c>
      <c r="P1184" s="181" t="b">
        <f>COUNTIF('Facility Data'!$A$1:$A$1500,"*"&amp;A1184&amp;"*")&gt;0</f>
        <v>0</v>
      </c>
      <c r="Q1184" s="181" t="b">
        <f>COUNTIF('Account Data'!$A$1:$A$1000,"*"&amp;A1184&amp;"*")&gt;0</f>
        <v>0</v>
      </c>
      <c r="R1184" s="182" t="b">
        <f>IF(OR(P1184=TRUE,T1184=TRUE),TRUE,FALSE)</f>
        <v>0</v>
      </c>
      <c r="S1184" s="182" t="b">
        <f t="shared" si="381"/>
        <v>0</v>
      </c>
      <c r="T1184" s="181" t="b">
        <f>COUNTIF('New Items'!$A$1:$A$175,A1184)&gt;0</f>
        <v>0</v>
      </c>
      <c r="U1184" s="181" t="b">
        <f>COUNTIF(Discontinued!$A$1:$A$150,A1184)&gt;0</f>
        <v>0</v>
      </c>
    </row>
    <row r="1185" spans="1:21" s="8" customFormat="1" ht="13.5" thickBot="1" x14ac:dyDescent="0.25">
      <c r="A1185" s="300" t="s">
        <v>1210</v>
      </c>
      <c r="B1185" s="301"/>
      <c r="C1185" s="301"/>
      <c r="D1185" s="301"/>
      <c r="E1185" s="301"/>
      <c r="F1185" s="301"/>
      <c r="G1185" s="301"/>
      <c r="H1185" s="301"/>
      <c r="I1185" s="301"/>
      <c r="J1185" s="301"/>
      <c r="K1185" s="301"/>
      <c r="L1185" s="302"/>
      <c r="M1185" s="179" t="s">
        <v>4361</v>
      </c>
      <c r="N1185" s="179" t="s">
        <v>1264</v>
      </c>
      <c r="O1185" s="141">
        <f>AVERAGE(O1186:O1189)</f>
        <v>0</v>
      </c>
      <c r="P1185" s="181" t="b">
        <f>COUNTIF(P1186:P1189,TRUE)&gt;0</f>
        <v>1</v>
      </c>
      <c r="Q1185" s="181" t="b">
        <f>COUNTIF(Q1186:Q1189,TRUE)&gt;0</f>
        <v>0</v>
      </c>
      <c r="R1185" s="181" t="b">
        <f>COUNTIF(R1186:R1189,TRUE)&gt;0</f>
        <v>1</v>
      </c>
      <c r="S1185" s="181" t="b">
        <f>COUNTIF(S1186:S1189,TRUE)&gt;0</f>
        <v>0</v>
      </c>
      <c r="T1185" s="181" t="b">
        <f>COUNTIF(T1186:T1189,TRUE)&gt;0</f>
        <v>0</v>
      </c>
      <c r="U1185" s="181"/>
    </row>
    <row r="1186" spans="1:21" s="8" customFormat="1" ht="11.25" x14ac:dyDescent="0.2">
      <c r="A1186" s="160">
        <v>20028257</v>
      </c>
      <c r="B1186" s="231" t="s">
        <v>4069</v>
      </c>
      <c r="C1186" s="124" t="s">
        <v>1211</v>
      </c>
      <c r="D1186" s="119" t="s">
        <v>1212</v>
      </c>
      <c r="E1186" s="124" t="s">
        <v>785</v>
      </c>
      <c r="F1186" s="120">
        <v>12</v>
      </c>
      <c r="G1186" s="121">
        <f>Overview!$B$131</f>
        <v>28</v>
      </c>
      <c r="H1186" s="114">
        <f>G1186-I1186</f>
        <v>28</v>
      </c>
      <c r="I1186" s="114">
        <f>Overview!$E$131</f>
        <v>0</v>
      </c>
      <c r="J1186" s="115">
        <f>I1186/F1186</f>
        <v>0</v>
      </c>
      <c r="K1186" s="116">
        <f>Overview!$H$131</f>
        <v>0</v>
      </c>
      <c r="L1186" s="117" t="e">
        <f>(K1186-J1186)/K1186</f>
        <v>#DIV/0!</v>
      </c>
      <c r="M1186" s="179"/>
      <c r="N1186" s="179" t="s">
        <v>1264</v>
      </c>
      <c r="O1186" s="141">
        <f>I1186</f>
        <v>0</v>
      </c>
      <c r="P1186" s="181" t="b">
        <f>COUNTIF('Facility Data'!$A$1:$A$1500,"*"&amp;A1186&amp;"*")&gt;0</f>
        <v>1</v>
      </c>
      <c r="Q1186" s="181" t="b">
        <f>COUNTIF('Account Data'!$A$1:$A$1000,"*"&amp;A1186&amp;"*")&gt;0</f>
        <v>0</v>
      </c>
      <c r="R1186" s="182" t="b">
        <f>IF(OR(P1186=TRUE,T1186=TRUE),TRUE,FALSE)</f>
        <v>1</v>
      </c>
      <c r="S1186" s="182" t="b">
        <f t="shared" si="381"/>
        <v>0</v>
      </c>
      <c r="T1186" s="181" t="b">
        <f>COUNTIF('New Items'!$A$1:$A$175,A1186)&gt;0</f>
        <v>0</v>
      </c>
      <c r="U1186" s="181" t="b">
        <f>COUNTIF(Discontinued!$A$1:$A$150,A1186)&gt;0</f>
        <v>0</v>
      </c>
    </row>
    <row r="1187" spans="1:21" s="8" customFormat="1" ht="11.25" x14ac:dyDescent="0.2">
      <c r="A1187" s="160">
        <v>20028258</v>
      </c>
      <c r="B1187" s="231" t="s">
        <v>3896</v>
      </c>
      <c r="C1187" s="124" t="s">
        <v>1213</v>
      </c>
      <c r="D1187" s="119" t="s">
        <v>1214</v>
      </c>
      <c r="E1187" s="124" t="s">
        <v>785</v>
      </c>
      <c r="F1187" s="120">
        <v>12</v>
      </c>
      <c r="G1187" s="121">
        <f>Overview!$B$131</f>
        <v>28</v>
      </c>
      <c r="H1187" s="114">
        <f>G1187-I1187</f>
        <v>28</v>
      </c>
      <c r="I1187" s="114">
        <f>Overview!$E$131</f>
        <v>0</v>
      </c>
      <c r="J1187" s="115">
        <f>I1187/F1187</f>
        <v>0</v>
      </c>
      <c r="K1187" s="116">
        <f>Overview!$H$131</f>
        <v>0</v>
      </c>
      <c r="L1187" s="117" t="e">
        <f>(K1187-J1187)/K1187</f>
        <v>#DIV/0!</v>
      </c>
      <c r="M1187" s="179"/>
      <c r="N1187" s="179" t="s">
        <v>1264</v>
      </c>
      <c r="O1187" s="141">
        <f>I1187</f>
        <v>0</v>
      </c>
      <c r="P1187" s="181" t="b">
        <f>COUNTIF('Facility Data'!$A$1:$A$1500,"*"&amp;A1187&amp;"*")&gt;0</f>
        <v>1</v>
      </c>
      <c r="Q1187" s="181" t="b">
        <f>COUNTIF('Account Data'!$A$1:$A$1000,"*"&amp;A1187&amp;"*")&gt;0</f>
        <v>0</v>
      </c>
      <c r="R1187" s="182" t="b">
        <f>IF(OR(P1187=TRUE,T1187=TRUE),TRUE,FALSE)</f>
        <v>1</v>
      </c>
      <c r="S1187" s="182" t="b">
        <f t="shared" si="381"/>
        <v>0</v>
      </c>
      <c r="T1187" s="181" t="b">
        <f>COUNTIF('New Items'!$A$1:$A$175,A1187)&gt;0</f>
        <v>0</v>
      </c>
      <c r="U1187" s="181" t="b">
        <f>COUNTIF(Discontinued!$A$1:$A$150,A1187)&gt;0</f>
        <v>0</v>
      </c>
    </row>
    <row r="1188" spans="1:21" s="8" customFormat="1" ht="11.25" x14ac:dyDescent="0.2">
      <c r="A1188" s="160">
        <v>20028259</v>
      </c>
      <c r="B1188" s="231" t="s">
        <v>4070</v>
      </c>
      <c r="C1188" s="124" t="s">
        <v>1215</v>
      </c>
      <c r="D1188" s="119" t="s">
        <v>1216</v>
      </c>
      <c r="E1188" s="124" t="s">
        <v>785</v>
      </c>
      <c r="F1188" s="120">
        <v>12</v>
      </c>
      <c r="G1188" s="121">
        <f>Overview!$B$131</f>
        <v>28</v>
      </c>
      <c r="H1188" s="114">
        <f>G1188-I1188</f>
        <v>28</v>
      </c>
      <c r="I1188" s="114">
        <f>Overview!$E$131</f>
        <v>0</v>
      </c>
      <c r="J1188" s="115">
        <f>I1188/F1188</f>
        <v>0</v>
      </c>
      <c r="K1188" s="116">
        <f>Overview!$H$131</f>
        <v>0</v>
      </c>
      <c r="L1188" s="117" t="e">
        <f>(K1188-J1188)/K1188</f>
        <v>#DIV/0!</v>
      </c>
      <c r="M1188" s="179"/>
      <c r="N1188" s="179" t="s">
        <v>1264</v>
      </c>
      <c r="O1188" s="141">
        <f>I1188</f>
        <v>0</v>
      </c>
      <c r="P1188" s="181" t="b">
        <f>COUNTIF('Facility Data'!$A$1:$A$1500,"*"&amp;A1188&amp;"*")&gt;0</f>
        <v>0</v>
      </c>
      <c r="Q1188" s="181" t="b">
        <f>COUNTIF('Account Data'!$A$1:$A$1000,"*"&amp;A1188&amp;"*")&gt;0</f>
        <v>0</v>
      </c>
      <c r="R1188" s="182" t="b">
        <f>IF(OR(P1188=TRUE,T1188=TRUE),TRUE,FALSE)</f>
        <v>0</v>
      </c>
      <c r="S1188" s="182" t="b">
        <f t="shared" si="381"/>
        <v>0</v>
      </c>
      <c r="T1188" s="181" t="b">
        <f>COUNTIF('New Items'!$A$1:$A$175,A1188)&gt;0</f>
        <v>0</v>
      </c>
      <c r="U1188" s="181" t="b">
        <f>COUNTIF(Discontinued!$A$1:$A$150,A1188)&gt;0</f>
        <v>0</v>
      </c>
    </row>
    <row r="1189" spans="1:21" s="8" customFormat="1" ht="12" thickBot="1" x14ac:dyDescent="0.25">
      <c r="A1189" s="160">
        <v>20028256</v>
      </c>
      <c r="B1189" s="231" t="s">
        <v>4068</v>
      </c>
      <c r="C1189" s="124" t="s">
        <v>1217</v>
      </c>
      <c r="D1189" s="119" t="s">
        <v>1218</v>
      </c>
      <c r="E1189" s="124" t="s">
        <v>785</v>
      </c>
      <c r="F1189" s="120">
        <v>12</v>
      </c>
      <c r="G1189" s="121">
        <f>Overview!$B$131</f>
        <v>28</v>
      </c>
      <c r="H1189" s="114">
        <f>G1189-I1189</f>
        <v>28</v>
      </c>
      <c r="I1189" s="114">
        <f>Overview!$E$131</f>
        <v>0</v>
      </c>
      <c r="J1189" s="115">
        <f>I1189/F1189</f>
        <v>0</v>
      </c>
      <c r="K1189" s="116">
        <f>Overview!$H$131</f>
        <v>0</v>
      </c>
      <c r="L1189" s="117" t="e">
        <f>(K1189-J1189)/K1189</f>
        <v>#DIV/0!</v>
      </c>
      <c r="M1189" s="179"/>
      <c r="N1189" s="179" t="s">
        <v>1264</v>
      </c>
      <c r="O1189" s="141">
        <f>I1189</f>
        <v>0</v>
      </c>
      <c r="P1189" s="181" t="b">
        <f>COUNTIF('Facility Data'!$A$1:$A$1500,"*"&amp;A1189&amp;"*")&gt;0</f>
        <v>1</v>
      </c>
      <c r="Q1189" s="181" t="b">
        <f>COUNTIF('Account Data'!$A$1:$A$1000,"*"&amp;A1189&amp;"*")&gt;0</f>
        <v>0</v>
      </c>
      <c r="R1189" s="182" t="b">
        <f>IF(OR(P1189=TRUE,T1189=TRUE),TRUE,FALSE)</f>
        <v>1</v>
      </c>
      <c r="S1189" s="182" t="b">
        <f t="shared" si="381"/>
        <v>0</v>
      </c>
      <c r="T1189" s="181" t="b">
        <f>COUNTIF('New Items'!$A$1:$A$175,A1189)&gt;0</f>
        <v>0</v>
      </c>
      <c r="U1189" s="181" t="b">
        <f>COUNTIF(Discontinued!$A$1:$A$150,A1189)&gt;0</f>
        <v>0</v>
      </c>
    </row>
    <row r="1190" spans="1:21" s="8" customFormat="1" ht="13.5" thickBot="1" x14ac:dyDescent="0.25">
      <c r="A1190" s="300" t="s">
        <v>1219</v>
      </c>
      <c r="B1190" s="301"/>
      <c r="C1190" s="301"/>
      <c r="D1190" s="301"/>
      <c r="E1190" s="301"/>
      <c r="F1190" s="301"/>
      <c r="G1190" s="301"/>
      <c r="H1190" s="301"/>
      <c r="I1190" s="301"/>
      <c r="J1190" s="301"/>
      <c r="K1190" s="301"/>
      <c r="L1190" s="302"/>
      <c r="M1190" s="179" t="s">
        <v>4361</v>
      </c>
      <c r="N1190" s="179" t="s">
        <v>1263</v>
      </c>
      <c r="O1190" s="141">
        <f>AVERAGE(O1191:O1193)</f>
        <v>0</v>
      </c>
      <c r="P1190" s="181" t="b">
        <f>COUNTIF(P1191:P1193,TRUE)&gt;0</f>
        <v>0</v>
      </c>
      <c r="Q1190" s="181" t="b">
        <f>COUNTIF(Q1191:Q1193,TRUE)&gt;0</f>
        <v>0</v>
      </c>
      <c r="R1190" s="181" t="b">
        <f>COUNTIF(R1191:R1193,TRUE)&gt;0</f>
        <v>0</v>
      </c>
      <c r="S1190" s="181" t="b">
        <f>COUNTIF(S1191:S1193,TRUE)&gt;0</f>
        <v>0</v>
      </c>
      <c r="T1190" s="181" t="b">
        <f>COUNTIF(T1191:T1193,TRUE)&gt;0</f>
        <v>0</v>
      </c>
      <c r="U1190" s="181"/>
    </row>
    <row r="1191" spans="1:21" s="8" customFormat="1" ht="11.25" x14ac:dyDescent="0.2">
      <c r="A1191" s="160">
        <v>20029227</v>
      </c>
      <c r="B1191" s="231" t="s">
        <v>3697</v>
      </c>
      <c r="C1191" s="124" t="s">
        <v>1220</v>
      </c>
      <c r="D1191" s="119" t="s">
        <v>1221</v>
      </c>
      <c r="E1191" s="124" t="s">
        <v>769</v>
      </c>
      <c r="F1191" s="120">
        <v>12</v>
      </c>
      <c r="G1191" s="121">
        <f>Overview!$B$132</f>
        <v>30</v>
      </c>
      <c r="H1191" s="114">
        <f>G1191-I1191</f>
        <v>30</v>
      </c>
      <c r="I1191" s="114">
        <f>Overview!$E$132</f>
        <v>0</v>
      </c>
      <c r="J1191" s="115">
        <f>I1191/F1191</f>
        <v>0</v>
      </c>
      <c r="K1191" s="116">
        <f>Overview!$H$132</f>
        <v>0</v>
      </c>
      <c r="L1191" s="117" t="e">
        <f>(K1191-J1191)/K1191</f>
        <v>#DIV/0!</v>
      </c>
      <c r="M1191" s="179"/>
      <c r="N1191" s="179" t="s">
        <v>1263</v>
      </c>
      <c r="O1191" s="141">
        <f>I1191</f>
        <v>0</v>
      </c>
      <c r="P1191" s="181" t="b">
        <f>COUNTIF('Facility Data'!$A$1:$A$1500,"*"&amp;A1191&amp;"*")&gt;0</f>
        <v>0</v>
      </c>
      <c r="Q1191" s="181" t="b">
        <f>COUNTIF('Account Data'!$A$1:$A$1000,"*"&amp;A1191&amp;"*")&gt;0</f>
        <v>0</v>
      </c>
      <c r="R1191" s="182" t="b">
        <f>IF(OR(P1191=TRUE,T1191=TRUE),TRUE,FALSE)</f>
        <v>0</v>
      </c>
      <c r="S1191" s="182" t="b">
        <f t="shared" si="381"/>
        <v>0</v>
      </c>
      <c r="T1191" s="181" t="b">
        <f>COUNTIF('New Items'!$A$1:$A$175,A1191)&gt;0</f>
        <v>0</v>
      </c>
      <c r="U1191" s="181" t="b">
        <f>COUNTIF(Discontinued!$A$1:$A$150,A1191)&gt;0</f>
        <v>0</v>
      </c>
    </row>
    <row r="1192" spans="1:21" s="8" customFormat="1" ht="11.25" x14ac:dyDescent="0.2">
      <c r="A1192" s="160">
        <v>20029228</v>
      </c>
      <c r="B1192" s="231" t="s">
        <v>3698</v>
      </c>
      <c r="C1192" s="124" t="s">
        <v>1222</v>
      </c>
      <c r="D1192" s="119" t="s">
        <v>3701</v>
      </c>
      <c r="E1192" s="124" t="s">
        <v>769</v>
      </c>
      <c r="F1192" s="120">
        <v>12</v>
      </c>
      <c r="G1192" s="121">
        <f>Overview!$B$132</f>
        <v>30</v>
      </c>
      <c r="H1192" s="114">
        <f>G1192-I1192</f>
        <v>30</v>
      </c>
      <c r="I1192" s="114">
        <f>Overview!$E$132</f>
        <v>0</v>
      </c>
      <c r="J1192" s="115">
        <f>I1192/F1192</f>
        <v>0</v>
      </c>
      <c r="K1192" s="116">
        <f>Overview!$H$132</f>
        <v>0</v>
      </c>
      <c r="L1192" s="117" t="e">
        <f>(K1192-J1192)/K1192</f>
        <v>#DIV/0!</v>
      </c>
      <c r="M1192" s="179"/>
      <c r="N1192" s="179" t="s">
        <v>1263</v>
      </c>
      <c r="O1192" s="141">
        <f>I1192</f>
        <v>0</v>
      </c>
      <c r="P1192" s="181" t="b">
        <f>COUNTIF('Facility Data'!$A$1:$A$1500,"*"&amp;A1192&amp;"*")&gt;0</f>
        <v>0</v>
      </c>
      <c r="Q1192" s="181" t="b">
        <f>COUNTIF('Account Data'!$A$1:$A$1000,"*"&amp;A1192&amp;"*")&gt;0</f>
        <v>0</v>
      </c>
      <c r="R1192" s="182" t="b">
        <f>IF(OR(P1192=TRUE,T1192=TRUE),TRUE,FALSE)</f>
        <v>0</v>
      </c>
      <c r="S1192" s="182" t="b">
        <f t="shared" si="381"/>
        <v>0</v>
      </c>
      <c r="T1192" s="181" t="b">
        <f>COUNTIF('New Items'!$A$1:$A$175,A1192)&gt;0</f>
        <v>0</v>
      </c>
      <c r="U1192" s="181" t="b">
        <f>COUNTIF(Discontinued!$A$1:$A$150,A1192)&gt;0</f>
        <v>0</v>
      </c>
    </row>
    <row r="1193" spans="1:21" s="8" customFormat="1" ht="12" thickBot="1" x14ac:dyDescent="0.25">
      <c r="A1193" s="160">
        <v>20029229</v>
      </c>
      <c r="B1193" s="231" t="s">
        <v>3699</v>
      </c>
      <c r="C1193" s="124" t="s">
        <v>1223</v>
      </c>
      <c r="D1193" s="119" t="s">
        <v>3700</v>
      </c>
      <c r="E1193" s="124" t="s">
        <v>769</v>
      </c>
      <c r="F1193" s="120">
        <v>12</v>
      </c>
      <c r="G1193" s="121">
        <f>Overview!$B$132</f>
        <v>30</v>
      </c>
      <c r="H1193" s="114">
        <f>G1193-I1193</f>
        <v>30</v>
      </c>
      <c r="I1193" s="114">
        <f>Overview!$E$132</f>
        <v>0</v>
      </c>
      <c r="J1193" s="115">
        <f>I1193/F1193</f>
        <v>0</v>
      </c>
      <c r="K1193" s="116">
        <f>Overview!$H$132</f>
        <v>0</v>
      </c>
      <c r="L1193" s="117" t="e">
        <f>(K1193-J1193)/K1193</f>
        <v>#DIV/0!</v>
      </c>
      <c r="M1193" s="179"/>
      <c r="N1193" s="179" t="s">
        <v>1263</v>
      </c>
      <c r="O1193" s="141">
        <f>I1193</f>
        <v>0</v>
      </c>
      <c r="P1193" s="181" t="b">
        <f>COUNTIF('Facility Data'!$A$1:$A$1500,"*"&amp;A1193&amp;"*")&gt;0</f>
        <v>0</v>
      </c>
      <c r="Q1193" s="181" t="b">
        <f>COUNTIF('Account Data'!$A$1:$A$1000,"*"&amp;A1193&amp;"*")&gt;0</f>
        <v>0</v>
      </c>
      <c r="R1193" s="182" t="b">
        <f>IF(OR(P1193=TRUE,T1193=TRUE),TRUE,FALSE)</f>
        <v>0</v>
      </c>
      <c r="S1193" s="182" t="b">
        <f t="shared" si="381"/>
        <v>0</v>
      </c>
      <c r="T1193" s="181" t="b">
        <f>COUNTIF('New Items'!$A$1:$A$175,A1193)&gt;0</f>
        <v>0</v>
      </c>
      <c r="U1193" s="181" t="b">
        <f>COUNTIF(Discontinued!$A$1:$A$150,A1193)&gt;0</f>
        <v>0</v>
      </c>
    </row>
    <row r="1194" spans="1:21" s="8" customFormat="1" ht="13.5" thickBot="1" x14ac:dyDescent="0.25">
      <c r="A1194" s="300" t="s">
        <v>3929</v>
      </c>
      <c r="B1194" s="301"/>
      <c r="C1194" s="301"/>
      <c r="D1194" s="301"/>
      <c r="E1194" s="301"/>
      <c r="F1194" s="301"/>
      <c r="G1194" s="301"/>
      <c r="H1194" s="301"/>
      <c r="I1194" s="301"/>
      <c r="J1194" s="301"/>
      <c r="K1194" s="301"/>
      <c r="L1194" s="302"/>
      <c r="M1194" s="179" t="s">
        <v>4361</v>
      </c>
      <c r="N1194" s="179" t="s">
        <v>1259</v>
      </c>
      <c r="O1194" s="141">
        <f>AVERAGE(O1195:O1196)</f>
        <v>0</v>
      </c>
      <c r="P1194" s="181" t="b">
        <f>COUNTIF(P1195:P1196,TRUE)&gt;0</f>
        <v>1</v>
      </c>
      <c r="Q1194" s="181" t="b">
        <f>COUNTIF(Q1195:Q1196,TRUE)&gt;0</f>
        <v>1</v>
      </c>
      <c r="R1194" s="181" t="b">
        <f>COUNTIF(R1195:R1196,TRUE)&gt;0</f>
        <v>1</v>
      </c>
      <c r="S1194" s="181" t="b">
        <f>COUNTIF(S1195:S1196,TRUE)&gt;0</f>
        <v>1</v>
      </c>
      <c r="T1194" s="181" t="b">
        <f>COUNTIF(T1195:T1196,TRUE)&gt;0</f>
        <v>0</v>
      </c>
      <c r="U1194" s="181"/>
    </row>
    <row r="1195" spans="1:21" s="8" customFormat="1" ht="11.25" x14ac:dyDescent="0.2">
      <c r="A1195" s="152">
        <v>20028084</v>
      </c>
      <c r="B1195" s="231" t="s">
        <v>3921</v>
      </c>
      <c r="C1195" s="118" t="s">
        <v>1226</v>
      </c>
      <c r="D1195" s="119" t="s">
        <v>3919</v>
      </c>
      <c r="E1195" s="118" t="s">
        <v>3236</v>
      </c>
      <c r="F1195" s="120">
        <v>12</v>
      </c>
      <c r="G1195" s="121">
        <f>Overview!$B$133</f>
        <v>26</v>
      </c>
      <c r="H1195" s="114">
        <f>G1195-I1195</f>
        <v>26</v>
      </c>
      <c r="I1195" s="114">
        <f>Overview!$E$133</f>
        <v>0</v>
      </c>
      <c r="J1195" s="115">
        <f>I1195/F1195</f>
        <v>0</v>
      </c>
      <c r="K1195" s="116">
        <f>Overview!$H$133</f>
        <v>0</v>
      </c>
      <c r="L1195" s="117" t="e">
        <f>(K1195-J1195)/K1195</f>
        <v>#DIV/0!</v>
      </c>
      <c r="M1195" s="179"/>
      <c r="N1195" s="179" t="s">
        <v>1259</v>
      </c>
      <c r="O1195" s="141">
        <f>I1195</f>
        <v>0</v>
      </c>
      <c r="P1195" s="181" t="b">
        <f>COUNTIF('Facility Data'!$A$1:$A$1500,"*"&amp;A1195&amp;"*")&gt;0</f>
        <v>1</v>
      </c>
      <c r="Q1195" s="181" t="b">
        <f>COUNTIF('Account Data'!$A$1:$A$1000,"*"&amp;A1195&amp;"*")&gt;0</f>
        <v>1</v>
      </c>
      <c r="R1195" s="182" t="b">
        <f>IF(OR(P1195=TRUE,T1195=TRUE),TRUE,FALSE)</f>
        <v>1</v>
      </c>
      <c r="S1195" s="182" t="b">
        <f t="shared" si="381"/>
        <v>1</v>
      </c>
      <c r="T1195" s="181" t="b">
        <f>COUNTIF('New Items'!$A$1:$A$175,A1195)&gt;0</f>
        <v>0</v>
      </c>
      <c r="U1195" s="181" t="b">
        <f>COUNTIF(Discontinued!$A$1:$A$150,A1195)&gt;0</f>
        <v>0</v>
      </c>
    </row>
    <row r="1196" spans="1:21" s="8" customFormat="1" ht="12" thickBot="1" x14ac:dyDescent="0.25">
      <c r="A1196" s="152">
        <v>20028085</v>
      </c>
      <c r="B1196" s="231" t="s">
        <v>3922</v>
      </c>
      <c r="C1196" s="118" t="s">
        <v>1227</v>
      </c>
      <c r="D1196" s="119" t="s">
        <v>3920</v>
      </c>
      <c r="E1196" s="118" t="s">
        <v>3236</v>
      </c>
      <c r="F1196" s="120">
        <v>12</v>
      </c>
      <c r="G1196" s="121">
        <f>Overview!$B$133</f>
        <v>26</v>
      </c>
      <c r="H1196" s="114">
        <f>G1196-I1196</f>
        <v>26</v>
      </c>
      <c r="I1196" s="114">
        <f>Overview!$E$133</f>
        <v>0</v>
      </c>
      <c r="J1196" s="115">
        <f>I1196/F1196</f>
        <v>0</v>
      </c>
      <c r="K1196" s="116">
        <f>Overview!$H$133</f>
        <v>0</v>
      </c>
      <c r="L1196" s="117" t="e">
        <f>(K1196-J1196)/K1196</f>
        <v>#DIV/0!</v>
      </c>
      <c r="M1196" s="179"/>
      <c r="N1196" s="179" t="s">
        <v>1259</v>
      </c>
      <c r="O1196" s="141">
        <f>I1196</f>
        <v>0</v>
      </c>
      <c r="P1196" s="181" t="b">
        <f>COUNTIF('Facility Data'!$A$1:$A$1500,"*"&amp;A1196&amp;"*")&gt;0</f>
        <v>1</v>
      </c>
      <c r="Q1196" s="181" t="b">
        <f>COUNTIF('Account Data'!$A$1:$A$1000,"*"&amp;A1196&amp;"*")&gt;0</f>
        <v>1</v>
      </c>
      <c r="R1196" s="182" t="b">
        <f>IF(OR(P1196=TRUE,T1196=TRUE),TRUE,FALSE)</f>
        <v>1</v>
      </c>
      <c r="S1196" s="182" t="b">
        <f t="shared" si="381"/>
        <v>1</v>
      </c>
      <c r="T1196" s="181" t="b">
        <f>COUNTIF('New Items'!$A$1:$A$175,A1196)&gt;0</f>
        <v>0</v>
      </c>
      <c r="U1196" s="181" t="b">
        <f>COUNTIF(Discontinued!$A$1:$A$150,A1196)&gt;0</f>
        <v>0</v>
      </c>
    </row>
    <row r="1197" spans="1:21" s="8" customFormat="1" ht="13.5" thickBot="1" x14ac:dyDescent="0.25">
      <c r="A1197" s="300" t="s">
        <v>3968</v>
      </c>
      <c r="B1197" s="301"/>
      <c r="C1197" s="301"/>
      <c r="D1197" s="301"/>
      <c r="E1197" s="301"/>
      <c r="F1197" s="301"/>
      <c r="G1197" s="301"/>
      <c r="H1197" s="301"/>
      <c r="I1197" s="301"/>
      <c r="J1197" s="301"/>
      <c r="K1197" s="301"/>
      <c r="L1197" s="302"/>
      <c r="M1197" s="179" t="s">
        <v>4361</v>
      </c>
      <c r="N1197" s="179" t="s">
        <v>1260</v>
      </c>
      <c r="O1197" s="141">
        <f>AVERAGE(O1198:O1205)</f>
        <v>0</v>
      </c>
      <c r="P1197" s="181" t="b">
        <f>COUNTIF(P1198:P1205,TRUE)&gt;0</f>
        <v>1</v>
      </c>
      <c r="Q1197" s="181" t="b">
        <f>COUNTIF(Q1198:Q1205,TRUE)&gt;0</f>
        <v>1</v>
      </c>
      <c r="R1197" s="181" t="b">
        <f>COUNTIF(R1198:R1205,TRUE)&gt;0</f>
        <v>1</v>
      </c>
      <c r="S1197" s="181" t="b">
        <f>COUNTIF(S1198:S1205,TRUE)&gt;0</f>
        <v>1</v>
      </c>
      <c r="T1197" s="181" t="b">
        <f>COUNTIF(T1198:T1205,TRUE)&gt;0</f>
        <v>0</v>
      </c>
      <c r="U1197" s="181"/>
    </row>
    <row r="1198" spans="1:21" s="8" customFormat="1" ht="11.25" x14ac:dyDescent="0.2">
      <c r="A1198" s="152">
        <v>20028083</v>
      </c>
      <c r="B1198" s="231" t="s">
        <v>3926</v>
      </c>
      <c r="C1198" s="118" t="s">
        <v>1228</v>
      </c>
      <c r="D1198" s="119" t="s">
        <v>3923</v>
      </c>
      <c r="E1198" s="118" t="s">
        <v>3236</v>
      </c>
      <c r="F1198" s="120">
        <v>12</v>
      </c>
      <c r="G1198" s="121">
        <f>Overview!$B$134</f>
        <v>26</v>
      </c>
      <c r="H1198" s="114">
        <f t="shared" ref="H1198:H1205" si="382">G1198-I1198</f>
        <v>26</v>
      </c>
      <c r="I1198" s="114">
        <f>Overview!$E$134</f>
        <v>0</v>
      </c>
      <c r="J1198" s="115">
        <f t="shared" ref="J1198:J1205" si="383">I1198/F1198</f>
        <v>0</v>
      </c>
      <c r="K1198" s="116">
        <f>Overview!$H$134</f>
        <v>0</v>
      </c>
      <c r="L1198" s="117" t="e">
        <f t="shared" ref="L1198:L1205" si="384">(K1198-J1198)/K1198</f>
        <v>#DIV/0!</v>
      </c>
      <c r="M1198" s="179"/>
      <c r="N1198" s="179" t="s">
        <v>1260</v>
      </c>
      <c r="O1198" s="141">
        <f>I1198</f>
        <v>0</v>
      </c>
      <c r="P1198" s="181" t="b">
        <f>COUNTIF('Facility Data'!$A$1:$A$1500,"*"&amp;A1198&amp;"*")&gt;0</f>
        <v>1</v>
      </c>
      <c r="Q1198" s="181" t="b">
        <f>COUNTIF('Account Data'!$A$1:$A$1000,"*"&amp;A1198&amp;"*")&gt;0</f>
        <v>1</v>
      </c>
      <c r="R1198" s="182" t="b">
        <f t="shared" ref="R1198:R1205" si="385">IF(OR(P1198=TRUE,T1198=TRUE),TRUE,FALSE)</f>
        <v>1</v>
      </c>
      <c r="S1198" s="182" t="b">
        <f t="shared" si="381"/>
        <v>1</v>
      </c>
      <c r="T1198" s="181" t="b">
        <f>COUNTIF('New Items'!$A$1:$A$175,A1198)&gt;0</f>
        <v>0</v>
      </c>
      <c r="U1198" s="181" t="b">
        <f>COUNTIF(Discontinued!$A$1:$A$150,A1198)&gt;0</f>
        <v>0</v>
      </c>
    </row>
    <row r="1199" spans="1:21" s="8" customFormat="1" ht="11.25" x14ac:dyDescent="0.2">
      <c r="A1199" s="152">
        <v>20028086</v>
      </c>
      <c r="B1199" s="231" t="s">
        <v>3927</v>
      </c>
      <c r="C1199" s="118" t="s">
        <v>1229</v>
      </c>
      <c r="D1199" s="119" t="s">
        <v>3924</v>
      </c>
      <c r="E1199" s="118" t="s">
        <v>3236</v>
      </c>
      <c r="F1199" s="120">
        <v>12</v>
      </c>
      <c r="G1199" s="121">
        <f>Overview!$B$134</f>
        <v>26</v>
      </c>
      <c r="H1199" s="114">
        <f t="shared" si="382"/>
        <v>26</v>
      </c>
      <c r="I1199" s="114">
        <f>Overview!$E$134</f>
        <v>0</v>
      </c>
      <c r="J1199" s="115">
        <f t="shared" si="383"/>
        <v>0</v>
      </c>
      <c r="K1199" s="116">
        <f>Overview!$H$134</f>
        <v>0</v>
      </c>
      <c r="L1199" s="117" t="e">
        <f t="shared" si="384"/>
        <v>#DIV/0!</v>
      </c>
      <c r="M1199" s="179"/>
      <c r="N1199" s="179" t="s">
        <v>1260</v>
      </c>
      <c r="O1199" s="141">
        <f t="shared" ref="O1199:O1205" si="386">I1199</f>
        <v>0</v>
      </c>
      <c r="P1199" s="181" t="b">
        <f>COUNTIF('Facility Data'!$A$1:$A$1500,"*"&amp;A1199&amp;"*")&gt;0</f>
        <v>0</v>
      </c>
      <c r="Q1199" s="181" t="b">
        <f>COUNTIF('Account Data'!$A$1:$A$1000,"*"&amp;A1199&amp;"*")&gt;0</f>
        <v>1</v>
      </c>
      <c r="R1199" s="182" t="b">
        <f t="shared" si="385"/>
        <v>0</v>
      </c>
      <c r="S1199" s="182" t="b">
        <f t="shared" si="381"/>
        <v>1</v>
      </c>
      <c r="T1199" s="181" t="b">
        <f>COUNTIF('New Items'!$A$1:$A$175,A1199)&gt;0</f>
        <v>0</v>
      </c>
      <c r="U1199" s="181" t="b">
        <f>COUNTIF(Discontinued!$A$1:$A$150,A1199)&gt;0</f>
        <v>0</v>
      </c>
    </row>
    <row r="1200" spans="1:21" s="8" customFormat="1" ht="11.25" x14ac:dyDescent="0.2">
      <c r="A1200" s="152">
        <v>20028253</v>
      </c>
      <c r="B1200" s="231" t="s">
        <v>3928</v>
      </c>
      <c r="C1200" s="118" t="s">
        <v>1227</v>
      </c>
      <c r="D1200" s="119" t="s">
        <v>3925</v>
      </c>
      <c r="E1200" s="118" t="s">
        <v>3236</v>
      </c>
      <c r="F1200" s="120">
        <v>12</v>
      </c>
      <c r="G1200" s="121">
        <f>Overview!$B$134</f>
        <v>26</v>
      </c>
      <c r="H1200" s="114">
        <f t="shared" si="382"/>
        <v>26</v>
      </c>
      <c r="I1200" s="114">
        <f>Overview!$E$134</f>
        <v>0</v>
      </c>
      <c r="J1200" s="115">
        <f t="shared" si="383"/>
        <v>0</v>
      </c>
      <c r="K1200" s="116">
        <f>Overview!$H$134</f>
        <v>0</v>
      </c>
      <c r="L1200" s="117" t="e">
        <f t="shared" si="384"/>
        <v>#DIV/0!</v>
      </c>
      <c r="M1200" s="179"/>
      <c r="N1200" s="179" t="s">
        <v>1260</v>
      </c>
      <c r="O1200" s="141">
        <f t="shared" si="386"/>
        <v>0</v>
      </c>
      <c r="P1200" s="181" t="b">
        <f>COUNTIF('Facility Data'!$A$1:$A$1500,"*"&amp;A1200&amp;"*")&gt;0</f>
        <v>1</v>
      </c>
      <c r="Q1200" s="181" t="b">
        <f>COUNTIF('Account Data'!$A$1:$A$1000,"*"&amp;A1200&amp;"*")&gt;0</f>
        <v>1</v>
      </c>
      <c r="R1200" s="182" t="b">
        <f t="shared" si="385"/>
        <v>1</v>
      </c>
      <c r="S1200" s="182" t="b">
        <f t="shared" si="381"/>
        <v>1</v>
      </c>
      <c r="T1200" s="181" t="b">
        <f>COUNTIF('New Items'!$A$1:$A$175,A1200)&gt;0</f>
        <v>0</v>
      </c>
      <c r="U1200" s="181" t="b">
        <f>COUNTIF(Discontinued!$A$1:$A$150,A1200)&gt;0</f>
        <v>0</v>
      </c>
    </row>
    <row r="1201" spans="1:21" s="8" customFormat="1" ht="11.25" x14ac:dyDescent="0.2">
      <c r="A1201" s="152">
        <v>20028250</v>
      </c>
      <c r="B1201" s="231" t="s">
        <v>1230</v>
      </c>
      <c r="C1201" s="118" t="s">
        <v>1231</v>
      </c>
      <c r="D1201" s="119" t="s">
        <v>3963</v>
      </c>
      <c r="E1201" s="118" t="s">
        <v>3236</v>
      </c>
      <c r="F1201" s="120">
        <v>12</v>
      </c>
      <c r="G1201" s="121">
        <f>Overview!$B$134</f>
        <v>26</v>
      </c>
      <c r="H1201" s="114">
        <f t="shared" si="382"/>
        <v>26</v>
      </c>
      <c r="I1201" s="114">
        <f>Overview!$E$134</f>
        <v>0</v>
      </c>
      <c r="J1201" s="115">
        <f t="shared" si="383"/>
        <v>0</v>
      </c>
      <c r="K1201" s="116">
        <f>Overview!$H$134</f>
        <v>0</v>
      </c>
      <c r="L1201" s="117" t="e">
        <f t="shared" si="384"/>
        <v>#DIV/0!</v>
      </c>
      <c r="M1201" s="179"/>
      <c r="N1201" s="179" t="s">
        <v>1260</v>
      </c>
      <c r="O1201" s="141">
        <f t="shared" si="386"/>
        <v>0</v>
      </c>
      <c r="P1201" s="181" t="b">
        <f>COUNTIF('Facility Data'!$A$1:$A$1500,"*"&amp;A1201&amp;"*")&gt;0</f>
        <v>1</v>
      </c>
      <c r="Q1201" s="181" t="b">
        <f>COUNTIF('Account Data'!$A$1:$A$1000,"*"&amp;A1201&amp;"*")&gt;0</f>
        <v>0</v>
      </c>
      <c r="R1201" s="182" t="b">
        <f t="shared" si="385"/>
        <v>1</v>
      </c>
      <c r="S1201" s="182" t="b">
        <f t="shared" si="381"/>
        <v>0</v>
      </c>
      <c r="T1201" s="181" t="b">
        <f>COUNTIF('New Items'!$A$1:$A$175,A1201)&gt;0</f>
        <v>0</v>
      </c>
      <c r="U1201" s="181" t="b">
        <f>COUNTIF(Discontinued!$A$1:$A$150,A1201)&gt;0</f>
        <v>0</v>
      </c>
    </row>
    <row r="1202" spans="1:21" s="8" customFormat="1" ht="11.25" x14ac:dyDescent="0.2">
      <c r="A1202" s="152">
        <v>20028249</v>
      </c>
      <c r="B1202" s="231" t="s">
        <v>1232</v>
      </c>
      <c r="C1202" s="118" t="s">
        <v>1233</v>
      </c>
      <c r="D1202" s="119" t="s">
        <v>3964</v>
      </c>
      <c r="E1202" s="118" t="s">
        <v>3236</v>
      </c>
      <c r="F1202" s="120">
        <v>12</v>
      </c>
      <c r="G1202" s="121">
        <f>Overview!$B$134</f>
        <v>26</v>
      </c>
      <c r="H1202" s="114">
        <f t="shared" si="382"/>
        <v>26</v>
      </c>
      <c r="I1202" s="114">
        <f>Overview!$E$134</f>
        <v>0</v>
      </c>
      <c r="J1202" s="115">
        <f t="shared" si="383"/>
        <v>0</v>
      </c>
      <c r="K1202" s="116">
        <f>Overview!$H$134</f>
        <v>0</v>
      </c>
      <c r="L1202" s="117" t="e">
        <f t="shared" si="384"/>
        <v>#DIV/0!</v>
      </c>
      <c r="M1202" s="179"/>
      <c r="N1202" s="179" t="s">
        <v>1260</v>
      </c>
      <c r="O1202" s="141">
        <f t="shared" si="386"/>
        <v>0</v>
      </c>
      <c r="P1202" s="181" t="b">
        <f>COUNTIF('Facility Data'!$A$1:$A$1500,"*"&amp;A1202&amp;"*")&gt;0</f>
        <v>1</v>
      </c>
      <c r="Q1202" s="181" t="b">
        <f>COUNTIF('Account Data'!$A$1:$A$1000,"*"&amp;A1202&amp;"*")&gt;0</f>
        <v>0</v>
      </c>
      <c r="R1202" s="182" t="b">
        <f t="shared" si="385"/>
        <v>1</v>
      </c>
      <c r="S1202" s="182" t="b">
        <f t="shared" si="381"/>
        <v>0</v>
      </c>
      <c r="T1202" s="181" t="b">
        <f>COUNTIF('New Items'!$A$1:$A$175,A1202)&gt;0</f>
        <v>0</v>
      </c>
      <c r="U1202" s="181" t="b">
        <f>COUNTIF(Discontinued!$A$1:$A$150,A1202)&gt;0</f>
        <v>0</v>
      </c>
    </row>
    <row r="1203" spans="1:21" s="8" customFormat="1" ht="11.25" x14ac:dyDescent="0.2">
      <c r="A1203" s="152">
        <v>20028251</v>
      </c>
      <c r="B1203" s="231" t="s">
        <v>1234</v>
      </c>
      <c r="C1203" s="118" t="s">
        <v>1235</v>
      </c>
      <c r="D1203" s="119" t="s">
        <v>3965</v>
      </c>
      <c r="E1203" s="118" t="s">
        <v>3236</v>
      </c>
      <c r="F1203" s="120">
        <v>12</v>
      </c>
      <c r="G1203" s="121">
        <f>Overview!$B$134</f>
        <v>26</v>
      </c>
      <c r="H1203" s="114">
        <f t="shared" si="382"/>
        <v>26</v>
      </c>
      <c r="I1203" s="114">
        <f>Overview!$E$134</f>
        <v>0</v>
      </c>
      <c r="J1203" s="115">
        <f t="shared" si="383"/>
        <v>0</v>
      </c>
      <c r="K1203" s="116">
        <f>Overview!$H$134</f>
        <v>0</v>
      </c>
      <c r="L1203" s="117" t="e">
        <f t="shared" si="384"/>
        <v>#DIV/0!</v>
      </c>
      <c r="M1203" s="179"/>
      <c r="N1203" s="179" t="s">
        <v>1260</v>
      </c>
      <c r="O1203" s="141">
        <f t="shared" si="386"/>
        <v>0</v>
      </c>
      <c r="P1203" s="181" t="b">
        <f>COUNTIF('Facility Data'!$A$1:$A$1500,"*"&amp;A1203&amp;"*")&gt;0</f>
        <v>1</v>
      </c>
      <c r="Q1203" s="181" t="b">
        <f>COUNTIF('Account Data'!$A$1:$A$1000,"*"&amp;A1203&amp;"*")&gt;0</f>
        <v>0</v>
      </c>
      <c r="R1203" s="182" t="b">
        <f t="shared" si="385"/>
        <v>1</v>
      </c>
      <c r="S1203" s="182" t="b">
        <f t="shared" si="381"/>
        <v>0</v>
      </c>
      <c r="T1203" s="181" t="b">
        <f>COUNTIF('New Items'!$A$1:$A$175,A1203)&gt;0</f>
        <v>0</v>
      </c>
      <c r="U1203" s="181" t="b">
        <f>COUNTIF(Discontinued!$A$1:$A$150,A1203)&gt;0</f>
        <v>0</v>
      </c>
    </row>
    <row r="1204" spans="1:21" s="8" customFormat="1" ht="11.25" x14ac:dyDescent="0.2">
      <c r="A1204" s="152">
        <v>20028248</v>
      </c>
      <c r="B1204" s="231" t="s">
        <v>1236</v>
      </c>
      <c r="C1204" s="118" t="s">
        <v>1237</v>
      </c>
      <c r="D1204" s="119" t="s">
        <v>3966</v>
      </c>
      <c r="E1204" s="118" t="s">
        <v>3236</v>
      </c>
      <c r="F1204" s="120">
        <v>12</v>
      </c>
      <c r="G1204" s="121">
        <f>Overview!$B$134</f>
        <v>26</v>
      </c>
      <c r="H1204" s="114">
        <f t="shared" si="382"/>
        <v>26</v>
      </c>
      <c r="I1204" s="114">
        <f>Overview!$E$134</f>
        <v>0</v>
      </c>
      <c r="J1204" s="115">
        <f t="shared" si="383"/>
        <v>0</v>
      </c>
      <c r="K1204" s="116">
        <f>Overview!$H$134</f>
        <v>0</v>
      </c>
      <c r="L1204" s="117" t="e">
        <f t="shared" si="384"/>
        <v>#DIV/0!</v>
      </c>
      <c r="M1204" s="179"/>
      <c r="N1204" s="179" t="s">
        <v>1260</v>
      </c>
      <c r="O1204" s="141">
        <f t="shared" si="386"/>
        <v>0</v>
      </c>
      <c r="P1204" s="181" t="b">
        <f>COUNTIF('Facility Data'!$A$1:$A$1500,"*"&amp;A1204&amp;"*")&gt;0</f>
        <v>1</v>
      </c>
      <c r="Q1204" s="181" t="b">
        <f>COUNTIF('Account Data'!$A$1:$A$1000,"*"&amp;A1204&amp;"*")&gt;0</f>
        <v>0</v>
      </c>
      <c r="R1204" s="182" t="b">
        <f t="shared" si="385"/>
        <v>1</v>
      </c>
      <c r="S1204" s="182" t="b">
        <f t="shared" si="381"/>
        <v>0</v>
      </c>
      <c r="T1204" s="181" t="b">
        <f>COUNTIF('New Items'!$A$1:$A$175,A1204)&gt;0</f>
        <v>0</v>
      </c>
      <c r="U1204" s="181" t="b">
        <f>COUNTIF(Discontinued!$A$1:$A$150,A1204)&gt;0</f>
        <v>0</v>
      </c>
    </row>
    <row r="1205" spans="1:21" s="8" customFormat="1" ht="12" thickBot="1" x14ac:dyDescent="0.25">
      <c r="A1205" s="152">
        <v>20028252</v>
      </c>
      <c r="B1205" s="231" t="s">
        <v>1238</v>
      </c>
      <c r="C1205" s="118" t="s">
        <v>1239</v>
      </c>
      <c r="D1205" s="119" t="s">
        <v>3967</v>
      </c>
      <c r="E1205" s="118" t="s">
        <v>3236</v>
      </c>
      <c r="F1205" s="120">
        <v>12</v>
      </c>
      <c r="G1205" s="121">
        <f>Overview!$B$134</f>
        <v>26</v>
      </c>
      <c r="H1205" s="114">
        <f t="shared" si="382"/>
        <v>26</v>
      </c>
      <c r="I1205" s="114">
        <f>Overview!$E$134</f>
        <v>0</v>
      </c>
      <c r="J1205" s="115">
        <f t="shared" si="383"/>
        <v>0</v>
      </c>
      <c r="K1205" s="116">
        <f>Overview!$H$134</f>
        <v>0</v>
      </c>
      <c r="L1205" s="117" t="e">
        <f t="shared" si="384"/>
        <v>#DIV/0!</v>
      </c>
      <c r="M1205" s="179"/>
      <c r="N1205" s="179" t="s">
        <v>1260</v>
      </c>
      <c r="O1205" s="141">
        <f t="shared" si="386"/>
        <v>0</v>
      </c>
      <c r="P1205" s="181" t="b">
        <f>COUNTIF('Facility Data'!$A$1:$A$1500,"*"&amp;A1205&amp;"*")&gt;0</f>
        <v>1</v>
      </c>
      <c r="Q1205" s="181" t="b">
        <f>COUNTIF('Account Data'!$A$1:$A$1000,"*"&amp;A1205&amp;"*")&gt;0</f>
        <v>0</v>
      </c>
      <c r="R1205" s="182" t="b">
        <f t="shared" si="385"/>
        <v>1</v>
      </c>
      <c r="S1205" s="182" t="b">
        <f t="shared" si="381"/>
        <v>0</v>
      </c>
      <c r="T1205" s="181" t="b">
        <f>COUNTIF('New Items'!$A$1:$A$175,A1205)&gt;0</f>
        <v>0</v>
      </c>
      <c r="U1205" s="181" t="b">
        <f>COUNTIF(Discontinued!$A$1:$A$150,A1205)&gt;0</f>
        <v>0</v>
      </c>
    </row>
    <row r="1206" spans="1:21" s="8" customFormat="1" ht="13.5" thickBot="1" x14ac:dyDescent="0.25">
      <c r="A1206" s="300" t="s">
        <v>1240</v>
      </c>
      <c r="B1206" s="301"/>
      <c r="C1206" s="301"/>
      <c r="D1206" s="301"/>
      <c r="E1206" s="301"/>
      <c r="F1206" s="301"/>
      <c r="G1206" s="301"/>
      <c r="H1206" s="301"/>
      <c r="I1206" s="301"/>
      <c r="J1206" s="301"/>
      <c r="K1206" s="301"/>
      <c r="L1206" s="302"/>
      <c r="M1206" s="179" t="s">
        <v>4361</v>
      </c>
      <c r="N1206" s="179" t="s">
        <v>1261</v>
      </c>
      <c r="O1206" s="141">
        <f>AVERAGE(O1207:O1209)</f>
        <v>0</v>
      </c>
      <c r="P1206" s="181" t="b">
        <f>COUNTIF(P1207:P1209,TRUE)&gt;0</f>
        <v>1</v>
      </c>
      <c r="Q1206" s="181" t="b">
        <f>COUNTIF(Q1207:Q1209,TRUE)&gt;0</f>
        <v>0</v>
      </c>
      <c r="R1206" s="181" t="b">
        <f>COUNTIF(R1207:R1209,TRUE)&gt;0</f>
        <v>1</v>
      </c>
      <c r="S1206" s="181" t="b">
        <f>COUNTIF(S1207:S1209,TRUE)&gt;0</f>
        <v>0</v>
      </c>
      <c r="T1206" s="181" t="b">
        <f>COUNTIF(T1207:T1209,TRUE)&gt;0</f>
        <v>0</v>
      </c>
      <c r="U1206" s="181"/>
    </row>
    <row r="1207" spans="1:21" s="8" customFormat="1" ht="11.25" x14ac:dyDescent="0.2">
      <c r="A1207" s="152">
        <v>20028271</v>
      </c>
      <c r="B1207" s="231" t="s">
        <v>3931</v>
      </c>
      <c r="C1207" s="118" t="s">
        <v>1243</v>
      </c>
      <c r="D1207" s="119" t="s">
        <v>1241</v>
      </c>
      <c r="E1207" s="118" t="s">
        <v>785</v>
      </c>
      <c r="F1207" s="120">
        <v>12</v>
      </c>
      <c r="G1207" s="121">
        <f>Overview!$B$135</f>
        <v>28</v>
      </c>
      <c r="H1207" s="114">
        <f>G1207-I1207</f>
        <v>28</v>
      </c>
      <c r="I1207" s="114">
        <f>Overview!$E$135</f>
        <v>0</v>
      </c>
      <c r="J1207" s="115">
        <f>I1207/F1207</f>
        <v>0</v>
      </c>
      <c r="K1207" s="116">
        <f>Overview!$H$135</f>
        <v>0</v>
      </c>
      <c r="L1207" s="117" t="e">
        <f>(K1207-J1207)/K1207</f>
        <v>#DIV/0!</v>
      </c>
      <c r="M1207" s="179"/>
      <c r="N1207" s="179" t="s">
        <v>1261</v>
      </c>
      <c r="O1207" s="141">
        <f>I1207</f>
        <v>0</v>
      </c>
      <c r="P1207" s="181" t="b">
        <f>COUNTIF('Facility Data'!$A$1:$A$1500,"*"&amp;A1207&amp;"*")&gt;0</f>
        <v>1</v>
      </c>
      <c r="Q1207" s="181" t="b">
        <f>COUNTIF('Account Data'!$A$1:$A$1000,"*"&amp;A1207&amp;"*")&gt;0</f>
        <v>0</v>
      </c>
      <c r="R1207" s="182" t="b">
        <f>IF(OR(P1207=TRUE,T1207=TRUE),TRUE,FALSE)</f>
        <v>1</v>
      </c>
      <c r="S1207" s="182" t="b">
        <f t="shared" si="381"/>
        <v>0</v>
      </c>
      <c r="T1207" s="181" t="b">
        <f>COUNTIF('New Items'!$A$1:$A$175,A1207)&gt;0</f>
        <v>0</v>
      </c>
      <c r="U1207" s="181" t="b">
        <f>COUNTIF(Discontinued!$A$1:$A$150,A1207)&gt;0</f>
        <v>0</v>
      </c>
    </row>
    <row r="1208" spans="1:21" s="8" customFormat="1" ht="11.25" x14ac:dyDescent="0.2">
      <c r="A1208" s="152">
        <v>20028270</v>
      </c>
      <c r="B1208" s="231" t="s">
        <v>3930</v>
      </c>
      <c r="C1208" s="118" t="s">
        <v>1244</v>
      </c>
      <c r="D1208" s="119" t="s">
        <v>1242</v>
      </c>
      <c r="E1208" s="118" t="s">
        <v>785</v>
      </c>
      <c r="F1208" s="120">
        <v>12</v>
      </c>
      <c r="G1208" s="121">
        <f>Overview!$B$135</f>
        <v>28</v>
      </c>
      <c r="H1208" s="114">
        <f>G1208-I1208</f>
        <v>28</v>
      </c>
      <c r="I1208" s="114">
        <f>Overview!$E$135</f>
        <v>0</v>
      </c>
      <c r="J1208" s="115">
        <f>I1208/F1208</f>
        <v>0</v>
      </c>
      <c r="K1208" s="116">
        <f>Overview!$H$135</f>
        <v>0</v>
      </c>
      <c r="L1208" s="117" t="e">
        <f>(K1208-J1208)/K1208</f>
        <v>#DIV/0!</v>
      </c>
      <c r="M1208" s="179"/>
      <c r="N1208" s="179" t="s">
        <v>1261</v>
      </c>
      <c r="O1208" s="141">
        <f>I1208</f>
        <v>0</v>
      </c>
      <c r="P1208" s="181" t="b">
        <f>COUNTIF('Facility Data'!$A$1:$A$1500,"*"&amp;A1208&amp;"*")&gt;0</f>
        <v>1</v>
      </c>
      <c r="Q1208" s="181" t="b">
        <f>COUNTIF('Account Data'!$A$1:$A$1000,"*"&amp;A1208&amp;"*")&gt;0</f>
        <v>0</v>
      </c>
      <c r="R1208" s="182" t="b">
        <f>IF(OR(P1208=TRUE,T1208=TRUE),TRUE,FALSE)</f>
        <v>1</v>
      </c>
      <c r="S1208" s="182" t="b">
        <f t="shared" si="381"/>
        <v>0</v>
      </c>
      <c r="T1208" s="181" t="b">
        <f>COUNTIF('New Items'!$A$1:$A$175,A1208)&gt;0</f>
        <v>0</v>
      </c>
      <c r="U1208" s="181" t="b">
        <f>COUNTIF(Discontinued!$A$1:$A$150,A1208)&gt;0</f>
        <v>0</v>
      </c>
    </row>
    <row r="1209" spans="1:21" s="8" customFormat="1" ht="12" thickBot="1" x14ac:dyDescent="0.25">
      <c r="A1209" s="152">
        <v>20028269</v>
      </c>
      <c r="B1209" s="231" t="s">
        <v>3932</v>
      </c>
      <c r="C1209" s="118" t="s">
        <v>1245</v>
      </c>
      <c r="D1209" s="119" t="s">
        <v>1038</v>
      </c>
      <c r="E1209" s="118" t="s">
        <v>785</v>
      </c>
      <c r="F1209" s="120">
        <v>12</v>
      </c>
      <c r="G1209" s="121">
        <f>Overview!$B$135</f>
        <v>28</v>
      </c>
      <c r="H1209" s="114">
        <f>G1209-I1209</f>
        <v>28</v>
      </c>
      <c r="I1209" s="114">
        <f>Overview!$E$135</f>
        <v>0</v>
      </c>
      <c r="J1209" s="115">
        <f>I1209/F1209</f>
        <v>0</v>
      </c>
      <c r="K1209" s="116">
        <f>Overview!$H$135</f>
        <v>0</v>
      </c>
      <c r="L1209" s="117" t="e">
        <f>(K1209-J1209)/K1209</f>
        <v>#DIV/0!</v>
      </c>
      <c r="M1209" s="179"/>
      <c r="N1209" s="179" t="s">
        <v>1261</v>
      </c>
      <c r="O1209" s="141">
        <f>I1209</f>
        <v>0</v>
      </c>
      <c r="P1209" s="181" t="b">
        <f>COUNTIF('Facility Data'!$A$1:$A$1500,"*"&amp;A1209&amp;"*")&gt;0</f>
        <v>1</v>
      </c>
      <c r="Q1209" s="181" t="b">
        <f>COUNTIF('Account Data'!$A$1:$A$1000,"*"&amp;A1209&amp;"*")&gt;0</f>
        <v>0</v>
      </c>
      <c r="R1209" s="182" t="b">
        <f>IF(OR(P1209=TRUE,T1209=TRUE),TRUE,FALSE)</f>
        <v>1</v>
      </c>
      <c r="S1209" s="182" t="b">
        <f t="shared" si="381"/>
        <v>0</v>
      </c>
      <c r="T1209" s="181" t="b">
        <f>COUNTIF('New Items'!$A$1:$A$175,A1209)&gt;0</f>
        <v>0</v>
      </c>
      <c r="U1209" s="181" t="b">
        <f>COUNTIF(Discontinued!$A$1:$A$150,A1209)&gt;0</f>
        <v>0</v>
      </c>
    </row>
    <row r="1210" spans="1:21" s="8" customFormat="1" ht="13.5" thickBot="1" x14ac:dyDescent="0.25">
      <c r="A1210" s="300" t="s">
        <v>1124</v>
      </c>
      <c r="B1210" s="301"/>
      <c r="C1210" s="301"/>
      <c r="D1210" s="301"/>
      <c r="E1210" s="301"/>
      <c r="F1210" s="301"/>
      <c r="G1210" s="301"/>
      <c r="H1210" s="301"/>
      <c r="I1210" s="301"/>
      <c r="J1210" s="301"/>
      <c r="K1210" s="301"/>
      <c r="L1210" s="302"/>
      <c r="M1210" s="179" t="s">
        <v>4361</v>
      </c>
      <c r="N1210" s="179" t="s">
        <v>1262</v>
      </c>
      <c r="O1210" s="141">
        <f>AVERAGE(O1211:O1220)</f>
        <v>0</v>
      </c>
      <c r="P1210" s="181" t="b">
        <f>COUNTIF(P1211:P1220,TRUE)&gt;0</f>
        <v>0</v>
      </c>
      <c r="Q1210" s="181" t="b">
        <f>COUNTIF(Q1211:Q1220,TRUE)&gt;0</f>
        <v>0</v>
      </c>
      <c r="R1210" s="181" t="b">
        <f>COUNTIF(R1211:R1220,TRUE)&gt;0</f>
        <v>0</v>
      </c>
      <c r="S1210" s="181" t="b">
        <f>COUNTIF(S1211:S1220,TRUE)&gt;0</f>
        <v>0</v>
      </c>
      <c r="T1210" s="181" t="b">
        <f>COUNTIF(T1211:T1220,TRUE)&gt;0</f>
        <v>0</v>
      </c>
      <c r="U1210" s="181"/>
    </row>
    <row r="1211" spans="1:21" s="8" customFormat="1" ht="11.25" x14ac:dyDescent="0.2">
      <c r="A1211" s="152">
        <v>10120848</v>
      </c>
      <c r="B1211" s="10" t="s">
        <v>1122</v>
      </c>
      <c r="C1211" s="118" t="s">
        <v>1123</v>
      </c>
      <c r="D1211" s="119" t="s">
        <v>1130</v>
      </c>
      <c r="E1211" s="118" t="s">
        <v>772</v>
      </c>
      <c r="F1211" s="120">
        <v>12</v>
      </c>
      <c r="G1211" s="121">
        <f>Overview!$B$138</f>
        <v>24</v>
      </c>
      <c r="H1211" s="114">
        <f t="shared" ref="H1211:H1220" si="387">G1211-I1211</f>
        <v>24</v>
      </c>
      <c r="I1211" s="114">
        <f>Overview!$E$138</f>
        <v>0</v>
      </c>
      <c r="J1211" s="115">
        <f t="shared" ref="J1211:J1220" si="388">I1211/F1211</f>
        <v>0</v>
      </c>
      <c r="K1211" s="116">
        <f>Overview!$H$138</f>
        <v>0</v>
      </c>
      <c r="L1211" s="117" t="e">
        <f t="shared" ref="L1211:L1220" si="389">(K1211-J1211)/K1211</f>
        <v>#DIV/0!</v>
      </c>
      <c r="M1211" s="179"/>
      <c r="N1211" s="179" t="s">
        <v>1262</v>
      </c>
      <c r="O1211" s="141">
        <f>I1211</f>
        <v>0</v>
      </c>
      <c r="P1211" s="181" t="b">
        <f>COUNTIF('Facility Data'!$A$1:$A$1500,"*"&amp;A1211&amp;"*")&gt;0</f>
        <v>0</v>
      </c>
      <c r="Q1211" s="181" t="b">
        <f>COUNTIF('Account Data'!$A$1:$A$1000,"*"&amp;A1211&amp;"*")&gt;0</f>
        <v>0</v>
      </c>
      <c r="R1211" s="182" t="b">
        <f t="shared" ref="R1211:R1220" si="390">IF(OR(P1211=TRUE,T1211=TRUE),TRUE,FALSE)</f>
        <v>0</v>
      </c>
      <c r="S1211" s="182" t="b">
        <f t="shared" ref="S1211:S1220" si="391">IF(OR(Q1211=TRUE,T1211=TRUE),TRUE,FALSE)</f>
        <v>0</v>
      </c>
      <c r="T1211" s="181" t="b">
        <f>COUNTIF('New Items'!$A$1:$A$175,A1211)&gt;0</f>
        <v>0</v>
      </c>
      <c r="U1211" s="181" t="b">
        <f>COUNTIF(Discontinued!$A$1:$A$150,A1211)&gt;0</f>
        <v>0</v>
      </c>
    </row>
    <row r="1212" spans="1:21" s="8" customFormat="1" ht="11.25" x14ac:dyDescent="0.2">
      <c r="A1212" s="152">
        <v>10120844</v>
      </c>
      <c r="B1212" s="10" t="s">
        <v>1125</v>
      </c>
      <c r="C1212" s="118" t="s">
        <v>1131</v>
      </c>
      <c r="D1212" s="119" t="s">
        <v>1132</v>
      </c>
      <c r="E1212" s="118" t="s">
        <v>772</v>
      </c>
      <c r="F1212" s="120">
        <v>12</v>
      </c>
      <c r="G1212" s="121">
        <f>Overview!$B$138</f>
        <v>24</v>
      </c>
      <c r="H1212" s="114">
        <f t="shared" si="387"/>
        <v>24</v>
      </c>
      <c r="I1212" s="114">
        <f>Overview!$E$138</f>
        <v>0</v>
      </c>
      <c r="J1212" s="115">
        <f t="shared" si="388"/>
        <v>0</v>
      </c>
      <c r="K1212" s="116">
        <f>Overview!$H$138</f>
        <v>0</v>
      </c>
      <c r="L1212" s="117" t="e">
        <f t="shared" si="389"/>
        <v>#DIV/0!</v>
      </c>
      <c r="M1212" s="179"/>
      <c r="N1212" s="179" t="s">
        <v>1262</v>
      </c>
      <c r="O1212" s="141">
        <f t="shared" ref="O1212:O1220" si="392">I1212</f>
        <v>0</v>
      </c>
      <c r="P1212" s="181" t="b">
        <f>COUNTIF('Facility Data'!$A$1:$A$1500,"*"&amp;A1212&amp;"*")&gt;0</f>
        <v>0</v>
      </c>
      <c r="Q1212" s="181" t="b">
        <f>COUNTIF('Account Data'!$A$1:$A$1000,"*"&amp;A1212&amp;"*")&gt;0</f>
        <v>0</v>
      </c>
      <c r="R1212" s="182" t="b">
        <f t="shared" si="390"/>
        <v>0</v>
      </c>
      <c r="S1212" s="182" t="b">
        <f t="shared" si="391"/>
        <v>0</v>
      </c>
      <c r="T1212" s="181" t="b">
        <f>COUNTIF('New Items'!$A$1:$A$175,A1212)&gt;0</f>
        <v>0</v>
      </c>
      <c r="U1212" s="181" t="b">
        <f>COUNTIF(Discontinued!$A$1:$A$150,A1212)&gt;0</f>
        <v>0</v>
      </c>
    </row>
    <row r="1213" spans="1:21" s="8" customFormat="1" ht="11.25" x14ac:dyDescent="0.2">
      <c r="A1213" s="152">
        <v>10120846</v>
      </c>
      <c r="B1213" s="10" t="s">
        <v>4059</v>
      </c>
      <c r="C1213" s="118" t="s">
        <v>1133</v>
      </c>
      <c r="D1213" s="119" t="s">
        <v>1134</v>
      </c>
      <c r="E1213" s="118" t="s">
        <v>772</v>
      </c>
      <c r="F1213" s="120">
        <v>12</v>
      </c>
      <c r="G1213" s="121">
        <f>Overview!$B$138</f>
        <v>24</v>
      </c>
      <c r="H1213" s="114">
        <f t="shared" si="387"/>
        <v>24</v>
      </c>
      <c r="I1213" s="114">
        <f>Overview!$E$138</f>
        <v>0</v>
      </c>
      <c r="J1213" s="115">
        <f t="shared" si="388"/>
        <v>0</v>
      </c>
      <c r="K1213" s="116">
        <f>Overview!$H$138</f>
        <v>0</v>
      </c>
      <c r="L1213" s="117" t="e">
        <f t="shared" si="389"/>
        <v>#DIV/0!</v>
      </c>
      <c r="M1213" s="179"/>
      <c r="N1213" s="179" t="s">
        <v>1262</v>
      </c>
      <c r="O1213" s="141">
        <f t="shared" si="392"/>
        <v>0</v>
      </c>
      <c r="P1213" s="181" t="b">
        <f>COUNTIF('Facility Data'!$A$1:$A$1500,"*"&amp;A1213&amp;"*")&gt;0</f>
        <v>0</v>
      </c>
      <c r="Q1213" s="181" t="b">
        <f>COUNTIF('Account Data'!$A$1:$A$1000,"*"&amp;A1213&amp;"*")&gt;0</f>
        <v>0</v>
      </c>
      <c r="R1213" s="182" t="b">
        <f t="shared" si="390"/>
        <v>0</v>
      </c>
      <c r="S1213" s="182" t="b">
        <f t="shared" si="391"/>
        <v>0</v>
      </c>
      <c r="T1213" s="181" t="b">
        <f>COUNTIF('New Items'!$A$1:$A$175,A1213)&gt;0</f>
        <v>0</v>
      </c>
      <c r="U1213" s="181" t="b">
        <f>COUNTIF(Discontinued!$A$1:$A$150,A1213)&gt;0</f>
        <v>0</v>
      </c>
    </row>
    <row r="1214" spans="1:21" s="8" customFormat="1" ht="11.25" x14ac:dyDescent="0.2">
      <c r="A1214" s="152">
        <v>10120847</v>
      </c>
      <c r="B1214" s="10" t="s">
        <v>1126</v>
      </c>
      <c r="C1214" s="118" t="s">
        <v>1135</v>
      </c>
      <c r="D1214" s="119" t="s">
        <v>1136</v>
      </c>
      <c r="E1214" s="118" t="s">
        <v>772</v>
      </c>
      <c r="F1214" s="120">
        <v>12</v>
      </c>
      <c r="G1214" s="121">
        <f>Overview!$B$138</f>
        <v>24</v>
      </c>
      <c r="H1214" s="114">
        <f t="shared" si="387"/>
        <v>24</v>
      </c>
      <c r="I1214" s="114">
        <f>Overview!$E$138</f>
        <v>0</v>
      </c>
      <c r="J1214" s="115">
        <f t="shared" si="388"/>
        <v>0</v>
      </c>
      <c r="K1214" s="116">
        <f>Overview!$H$138</f>
        <v>0</v>
      </c>
      <c r="L1214" s="117" t="e">
        <f t="shared" si="389"/>
        <v>#DIV/0!</v>
      </c>
      <c r="M1214" s="179"/>
      <c r="N1214" s="179" t="s">
        <v>1262</v>
      </c>
      <c r="O1214" s="141">
        <f t="shared" si="392"/>
        <v>0</v>
      </c>
      <c r="P1214" s="181" t="b">
        <f>COUNTIF('Facility Data'!$A$1:$A$1500,"*"&amp;A1214&amp;"*")&gt;0</f>
        <v>0</v>
      </c>
      <c r="Q1214" s="181" t="b">
        <f>COUNTIF('Account Data'!$A$1:$A$1000,"*"&amp;A1214&amp;"*")&gt;0</f>
        <v>0</v>
      </c>
      <c r="R1214" s="182" t="b">
        <f t="shared" si="390"/>
        <v>0</v>
      </c>
      <c r="S1214" s="182" t="b">
        <f t="shared" si="391"/>
        <v>0</v>
      </c>
      <c r="T1214" s="181" t="b">
        <f>COUNTIF('New Items'!$A$1:$A$175,A1214)&gt;0</f>
        <v>0</v>
      </c>
      <c r="U1214" s="181" t="b">
        <f>COUNTIF(Discontinued!$A$1:$A$150,A1214)&gt;0</f>
        <v>0</v>
      </c>
    </row>
    <row r="1215" spans="1:21" s="8" customFormat="1" ht="11.25" x14ac:dyDescent="0.2">
      <c r="A1215" s="152">
        <v>10120840</v>
      </c>
      <c r="B1215" s="10" t="s">
        <v>3345</v>
      </c>
      <c r="C1215" s="118" t="s">
        <v>1137</v>
      </c>
      <c r="D1215" s="119" t="s">
        <v>1138</v>
      </c>
      <c r="E1215" s="118" t="s">
        <v>772</v>
      </c>
      <c r="F1215" s="120">
        <v>12</v>
      </c>
      <c r="G1215" s="121">
        <f>Overview!$B$138</f>
        <v>24</v>
      </c>
      <c r="H1215" s="114">
        <f t="shared" si="387"/>
        <v>24</v>
      </c>
      <c r="I1215" s="114">
        <f>Overview!$E$138</f>
        <v>0</v>
      </c>
      <c r="J1215" s="115">
        <f t="shared" si="388"/>
        <v>0</v>
      </c>
      <c r="K1215" s="116">
        <f>Overview!$H$138</f>
        <v>0</v>
      </c>
      <c r="L1215" s="117" t="e">
        <f t="shared" si="389"/>
        <v>#DIV/0!</v>
      </c>
      <c r="M1215" s="179"/>
      <c r="N1215" s="179" t="s">
        <v>1262</v>
      </c>
      <c r="O1215" s="141">
        <f t="shared" si="392"/>
        <v>0</v>
      </c>
      <c r="P1215" s="181" t="b">
        <f>COUNTIF('Facility Data'!$A$1:$A$1500,"*"&amp;A1215&amp;"*")&gt;0</f>
        <v>0</v>
      </c>
      <c r="Q1215" s="181" t="b">
        <f>COUNTIF('Account Data'!$A$1:$A$1000,"*"&amp;A1215&amp;"*")&gt;0</f>
        <v>0</v>
      </c>
      <c r="R1215" s="182" t="b">
        <f t="shared" si="390"/>
        <v>0</v>
      </c>
      <c r="S1215" s="182" t="b">
        <f t="shared" si="391"/>
        <v>0</v>
      </c>
      <c r="T1215" s="181" t="b">
        <f>COUNTIF('New Items'!$A$1:$A$175,A1215)&gt;0</f>
        <v>0</v>
      </c>
      <c r="U1215" s="181" t="b">
        <f>COUNTIF(Discontinued!$A$1:$A$150,A1215)&gt;0</f>
        <v>0</v>
      </c>
    </row>
    <row r="1216" spans="1:21" s="8" customFormat="1" ht="11.25" x14ac:dyDescent="0.2">
      <c r="A1216" s="152">
        <v>10120842</v>
      </c>
      <c r="B1216" s="10" t="s">
        <v>1127</v>
      </c>
      <c r="C1216" s="118" t="s">
        <v>1139</v>
      </c>
      <c r="D1216" s="119" t="s">
        <v>693</v>
      </c>
      <c r="E1216" s="118" t="s">
        <v>772</v>
      </c>
      <c r="F1216" s="120">
        <v>12</v>
      </c>
      <c r="G1216" s="121">
        <f>Overview!$B$138</f>
        <v>24</v>
      </c>
      <c r="H1216" s="114">
        <f t="shared" si="387"/>
        <v>24</v>
      </c>
      <c r="I1216" s="114">
        <f>Overview!$E$138</f>
        <v>0</v>
      </c>
      <c r="J1216" s="115">
        <f t="shared" si="388"/>
        <v>0</v>
      </c>
      <c r="K1216" s="116">
        <f>Overview!$H$138</f>
        <v>0</v>
      </c>
      <c r="L1216" s="117" t="e">
        <f t="shared" si="389"/>
        <v>#DIV/0!</v>
      </c>
      <c r="M1216" s="179"/>
      <c r="N1216" s="179" t="s">
        <v>1262</v>
      </c>
      <c r="O1216" s="141">
        <f t="shared" si="392"/>
        <v>0</v>
      </c>
      <c r="P1216" s="181" t="b">
        <f>COUNTIF('Facility Data'!$A$1:$A$1500,"*"&amp;A1216&amp;"*")&gt;0</f>
        <v>0</v>
      </c>
      <c r="Q1216" s="181" t="b">
        <f>COUNTIF('Account Data'!$A$1:$A$1000,"*"&amp;A1216&amp;"*")&gt;0</f>
        <v>0</v>
      </c>
      <c r="R1216" s="182" t="b">
        <f t="shared" si="390"/>
        <v>0</v>
      </c>
      <c r="S1216" s="182" t="b">
        <f t="shared" si="391"/>
        <v>0</v>
      </c>
      <c r="T1216" s="181" t="b">
        <f>COUNTIF('New Items'!$A$1:$A$175,A1216)&gt;0</f>
        <v>0</v>
      </c>
      <c r="U1216" s="181" t="b">
        <f>COUNTIF(Discontinued!$A$1:$A$150,A1216)&gt;0</f>
        <v>0</v>
      </c>
    </row>
    <row r="1217" spans="1:21" s="8" customFormat="1" ht="11.25" x14ac:dyDescent="0.2">
      <c r="A1217" s="152">
        <v>10120843</v>
      </c>
      <c r="B1217" s="10" t="s">
        <v>3346</v>
      </c>
      <c r="C1217" s="118" t="s">
        <v>1140</v>
      </c>
      <c r="D1217" s="119" t="s">
        <v>1141</v>
      </c>
      <c r="E1217" s="118" t="s">
        <v>772</v>
      </c>
      <c r="F1217" s="120">
        <v>12</v>
      </c>
      <c r="G1217" s="121">
        <f>Overview!$B$138</f>
        <v>24</v>
      </c>
      <c r="H1217" s="114">
        <f t="shared" si="387"/>
        <v>24</v>
      </c>
      <c r="I1217" s="114">
        <f>Overview!$E$138</f>
        <v>0</v>
      </c>
      <c r="J1217" s="115">
        <f t="shared" si="388"/>
        <v>0</v>
      </c>
      <c r="K1217" s="116">
        <f>Overview!$H$138</f>
        <v>0</v>
      </c>
      <c r="L1217" s="117" t="e">
        <f t="shared" si="389"/>
        <v>#DIV/0!</v>
      </c>
      <c r="M1217" s="179"/>
      <c r="N1217" s="179" t="s">
        <v>1262</v>
      </c>
      <c r="O1217" s="141">
        <f t="shared" si="392"/>
        <v>0</v>
      </c>
      <c r="P1217" s="181" t="b">
        <f>COUNTIF('Facility Data'!$A$1:$A$1500,"*"&amp;A1217&amp;"*")&gt;0</f>
        <v>0</v>
      </c>
      <c r="Q1217" s="181" t="b">
        <f>COUNTIF('Account Data'!$A$1:$A$1000,"*"&amp;A1217&amp;"*")&gt;0</f>
        <v>0</v>
      </c>
      <c r="R1217" s="182" t="b">
        <f t="shared" si="390"/>
        <v>0</v>
      </c>
      <c r="S1217" s="182" t="b">
        <f t="shared" si="391"/>
        <v>0</v>
      </c>
      <c r="T1217" s="181" t="b">
        <f>COUNTIF('New Items'!$A$1:$A$175,A1217)&gt;0</f>
        <v>0</v>
      </c>
      <c r="U1217" s="181" t="b">
        <f>COUNTIF(Discontinued!$A$1:$A$150,A1217)&gt;0</f>
        <v>0</v>
      </c>
    </row>
    <row r="1218" spans="1:21" s="8" customFormat="1" ht="11.25" x14ac:dyDescent="0.2">
      <c r="A1218" s="152">
        <v>10120845</v>
      </c>
      <c r="B1218" s="10" t="s">
        <v>3347</v>
      </c>
      <c r="C1218" s="118" t="s">
        <v>1142</v>
      </c>
      <c r="D1218" s="119" t="s">
        <v>1143</v>
      </c>
      <c r="E1218" s="118" t="s">
        <v>772</v>
      </c>
      <c r="F1218" s="120">
        <v>12</v>
      </c>
      <c r="G1218" s="121">
        <f>Overview!$B$138</f>
        <v>24</v>
      </c>
      <c r="H1218" s="114">
        <f t="shared" si="387"/>
        <v>24</v>
      </c>
      <c r="I1218" s="114">
        <f>Overview!$E$138</f>
        <v>0</v>
      </c>
      <c r="J1218" s="115">
        <f t="shared" si="388"/>
        <v>0</v>
      </c>
      <c r="K1218" s="116">
        <f>Overview!$H$138</f>
        <v>0</v>
      </c>
      <c r="L1218" s="117" t="e">
        <f t="shared" si="389"/>
        <v>#DIV/0!</v>
      </c>
      <c r="M1218" s="179"/>
      <c r="N1218" s="179" t="s">
        <v>1262</v>
      </c>
      <c r="O1218" s="141">
        <f t="shared" si="392"/>
        <v>0</v>
      </c>
      <c r="P1218" s="181" t="b">
        <f>COUNTIF('Facility Data'!$A$1:$A$1500,"*"&amp;A1218&amp;"*")&gt;0</f>
        <v>0</v>
      </c>
      <c r="Q1218" s="181" t="b">
        <f>COUNTIF('Account Data'!$A$1:$A$1000,"*"&amp;A1218&amp;"*")&gt;0</f>
        <v>0</v>
      </c>
      <c r="R1218" s="182" t="b">
        <f t="shared" si="390"/>
        <v>0</v>
      </c>
      <c r="S1218" s="182" t="b">
        <f t="shared" si="391"/>
        <v>0</v>
      </c>
      <c r="T1218" s="181" t="b">
        <f>COUNTIF('New Items'!$A$1:$A$175,A1218)&gt;0</f>
        <v>0</v>
      </c>
      <c r="U1218" s="181" t="b">
        <f>COUNTIF(Discontinued!$A$1:$A$150,A1218)&gt;0</f>
        <v>0</v>
      </c>
    </row>
    <row r="1219" spans="1:21" s="8" customFormat="1" ht="11.25" x14ac:dyDescent="0.2">
      <c r="A1219" s="152">
        <v>10120841</v>
      </c>
      <c r="B1219" s="10" t="s">
        <v>1128</v>
      </c>
      <c r="C1219" s="118" t="s">
        <v>1144</v>
      </c>
      <c r="D1219" s="119" t="s">
        <v>1145</v>
      </c>
      <c r="E1219" s="118" t="s">
        <v>772</v>
      </c>
      <c r="F1219" s="120">
        <v>12</v>
      </c>
      <c r="G1219" s="121">
        <f>Overview!$B$138</f>
        <v>24</v>
      </c>
      <c r="H1219" s="114">
        <f t="shared" si="387"/>
        <v>24</v>
      </c>
      <c r="I1219" s="114">
        <f>Overview!$E$138</f>
        <v>0</v>
      </c>
      <c r="J1219" s="115">
        <f t="shared" si="388"/>
        <v>0</v>
      </c>
      <c r="K1219" s="116">
        <f>Overview!$H$138</f>
        <v>0</v>
      </c>
      <c r="L1219" s="117" t="e">
        <f t="shared" si="389"/>
        <v>#DIV/0!</v>
      </c>
      <c r="M1219" s="179"/>
      <c r="N1219" s="179" t="s">
        <v>1262</v>
      </c>
      <c r="O1219" s="141">
        <f t="shared" si="392"/>
        <v>0</v>
      </c>
      <c r="P1219" s="181" t="b">
        <f>COUNTIF('Facility Data'!$A$1:$A$1500,"*"&amp;A1219&amp;"*")&gt;0</f>
        <v>0</v>
      </c>
      <c r="Q1219" s="181" t="b">
        <f>COUNTIF('Account Data'!$A$1:$A$1000,"*"&amp;A1219&amp;"*")&gt;0</f>
        <v>0</v>
      </c>
      <c r="R1219" s="182" t="b">
        <f t="shared" si="390"/>
        <v>0</v>
      </c>
      <c r="S1219" s="182" t="b">
        <f t="shared" si="391"/>
        <v>0</v>
      </c>
      <c r="T1219" s="181" t="b">
        <f>COUNTIF('New Items'!$A$1:$A$175,A1219)&gt;0</f>
        <v>0</v>
      </c>
      <c r="U1219" s="181" t="b">
        <f>COUNTIF(Discontinued!$A$1:$A$150,A1219)&gt;0</f>
        <v>0</v>
      </c>
    </row>
    <row r="1220" spans="1:21" s="8" customFormat="1" ht="12" thickBot="1" x14ac:dyDescent="0.25">
      <c r="A1220" s="152">
        <v>10120849</v>
      </c>
      <c r="B1220" s="10" t="s">
        <v>1129</v>
      </c>
      <c r="C1220" s="118" t="s">
        <v>1146</v>
      </c>
      <c r="D1220" s="119" t="s">
        <v>1147</v>
      </c>
      <c r="E1220" s="118" t="s">
        <v>772</v>
      </c>
      <c r="F1220" s="120">
        <v>12</v>
      </c>
      <c r="G1220" s="121">
        <f>Overview!$B$138</f>
        <v>24</v>
      </c>
      <c r="H1220" s="114">
        <f t="shared" si="387"/>
        <v>24</v>
      </c>
      <c r="I1220" s="114">
        <f>Overview!$E$138</f>
        <v>0</v>
      </c>
      <c r="J1220" s="115">
        <f t="shared" si="388"/>
        <v>0</v>
      </c>
      <c r="K1220" s="116">
        <f>Overview!$H$138</f>
        <v>0</v>
      </c>
      <c r="L1220" s="117" t="e">
        <f t="shared" si="389"/>
        <v>#DIV/0!</v>
      </c>
      <c r="M1220" s="179"/>
      <c r="N1220" s="179" t="s">
        <v>1262</v>
      </c>
      <c r="O1220" s="141">
        <f t="shared" si="392"/>
        <v>0</v>
      </c>
      <c r="P1220" s="181" t="b">
        <f>COUNTIF('Facility Data'!$A$1:$A$1500,"*"&amp;A1220&amp;"*")&gt;0</f>
        <v>0</v>
      </c>
      <c r="Q1220" s="181" t="b">
        <f>COUNTIF('Account Data'!$A$1:$A$1000,"*"&amp;A1220&amp;"*")&gt;0</f>
        <v>0</v>
      </c>
      <c r="R1220" s="182" t="b">
        <f t="shared" si="390"/>
        <v>0</v>
      </c>
      <c r="S1220" s="182" t="b">
        <f t="shared" si="391"/>
        <v>0</v>
      </c>
      <c r="T1220" s="181" t="b">
        <f>COUNTIF('New Items'!$A$1:$A$175,A1220)&gt;0</f>
        <v>0</v>
      </c>
      <c r="U1220" s="181" t="b">
        <f>COUNTIF(Discontinued!$A$1:$A$150,A1220)&gt;0</f>
        <v>0</v>
      </c>
    </row>
    <row r="1221" spans="1:21" s="8" customFormat="1" ht="13.5" thickBot="1" x14ac:dyDescent="0.25">
      <c r="A1221" s="300" t="s">
        <v>550</v>
      </c>
      <c r="B1221" s="301"/>
      <c r="C1221" s="301"/>
      <c r="D1221" s="301"/>
      <c r="E1221" s="301"/>
      <c r="F1221" s="301"/>
      <c r="G1221" s="301"/>
      <c r="H1221" s="301"/>
      <c r="I1221" s="301"/>
      <c r="J1221" s="301"/>
      <c r="K1221" s="301"/>
      <c r="L1221" s="302"/>
      <c r="M1221" s="179" t="s">
        <v>4361</v>
      </c>
      <c r="N1221" s="179" t="s">
        <v>989</v>
      </c>
      <c r="O1221" s="141">
        <f>AVERAGE(O1222:O1229)</f>
        <v>0</v>
      </c>
      <c r="P1221" s="181" t="b">
        <f>COUNTIF(P1222:P1229,TRUE)&gt;0</f>
        <v>1</v>
      </c>
      <c r="Q1221" s="181" t="b">
        <f>COUNTIF(Q1222:Q1229,TRUE)&gt;0</f>
        <v>1</v>
      </c>
      <c r="R1221" s="181" t="b">
        <f>COUNTIF(R1222:R1229,TRUE)&gt;0</f>
        <v>1</v>
      </c>
      <c r="S1221" s="181" t="b">
        <f>COUNTIF(S1222:S1229,TRUE)&gt;0</f>
        <v>1</v>
      </c>
      <c r="T1221" s="181" t="b">
        <f>COUNTIF(T1222:T1229,TRUE)&gt;0</f>
        <v>0</v>
      </c>
      <c r="U1221" s="181"/>
    </row>
    <row r="1222" spans="1:21" s="8" customFormat="1" ht="11.25" x14ac:dyDescent="0.2">
      <c r="A1222" s="152">
        <v>10063828</v>
      </c>
      <c r="B1222" s="10" t="s">
        <v>551</v>
      </c>
      <c r="C1222" s="12" t="s">
        <v>552</v>
      </c>
      <c r="D1222" s="11" t="s">
        <v>743</v>
      </c>
      <c r="E1222" s="12" t="s">
        <v>772</v>
      </c>
      <c r="F1222" s="13">
        <v>24</v>
      </c>
      <c r="G1222" s="121">
        <f>Overview!$B$139</f>
        <v>36</v>
      </c>
      <c r="H1222" s="23">
        <f t="shared" ref="H1222:H1229" si="393">G1222-I1222</f>
        <v>36</v>
      </c>
      <c r="I1222" s="114">
        <f>Overview!$E$139</f>
        <v>0</v>
      </c>
      <c r="J1222" s="24">
        <f t="shared" ref="J1222:J1229" si="394">I1222/F1222</f>
        <v>0</v>
      </c>
      <c r="K1222" s="116">
        <f>Overview!$H$139</f>
        <v>0</v>
      </c>
      <c r="L1222" s="51" t="e">
        <f t="shared" ref="L1222:L1229" si="395">(K1222-J1222)/K1222</f>
        <v>#DIV/0!</v>
      </c>
      <c r="M1222" s="179" t="s">
        <v>955</v>
      </c>
      <c r="N1222" s="179" t="s">
        <v>989</v>
      </c>
      <c r="O1222" s="141">
        <f>I1222</f>
        <v>0</v>
      </c>
      <c r="P1222" s="181" t="b">
        <f>COUNTIF('Facility Data'!$A$1:$A$1500,"*"&amp;A1222&amp;"*")&gt;0</f>
        <v>1</v>
      </c>
      <c r="Q1222" s="181" t="b">
        <f>COUNTIF('Account Data'!$A$1:$A$1000,"*"&amp;A1222&amp;"*")&gt;0</f>
        <v>1</v>
      </c>
      <c r="R1222" s="182" t="b">
        <f t="shared" ref="R1222:R1229" si="396">IF(OR(P1222=TRUE,T1222=TRUE),TRUE,FALSE)</f>
        <v>1</v>
      </c>
      <c r="S1222" s="182" t="b">
        <f t="shared" si="381"/>
        <v>1</v>
      </c>
      <c r="T1222" s="181" t="b">
        <f>COUNTIF('New Items'!$A$1:$A$175,A1222)&gt;0</f>
        <v>0</v>
      </c>
      <c r="U1222" s="181" t="b">
        <f>COUNTIF(Discontinued!$A$1:$A$150,A1222)&gt;0</f>
        <v>0</v>
      </c>
    </row>
    <row r="1223" spans="1:21" s="8" customFormat="1" ht="11.25" x14ac:dyDescent="0.2">
      <c r="A1223" s="152">
        <v>10063829</v>
      </c>
      <c r="B1223" s="10" t="s">
        <v>555</v>
      </c>
      <c r="C1223" s="12" t="s">
        <v>556</v>
      </c>
      <c r="D1223" s="11" t="s">
        <v>745</v>
      </c>
      <c r="E1223" s="12" t="s">
        <v>772</v>
      </c>
      <c r="F1223" s="13">
        <v>24</v>
      </c>
      <c r="G1223" s="121">
        <f>Overview!$B$139</f>
        <v>36</v>
      </c>
      <c r="H1223" s="23">
        <f t="shared" si="393"/>
        <v>36</v>
      </c>
      <c r="I1223" s="114">
        <f>Overview!$E$139</f>
        <v>0</v>
      </c>
      <c r="J1223" s="24">
        <f t="shared" si="394"/>
        <v>0</v>
      </c>
      <c r="K1223" s="116">
        <f>Overview!$H$139</f>
        <v>0</v>
      </c>
      <c r="L1223" s="51" t="e">
        <f t="shared" si="395"/>
        <v>#DIV/0!</v>
      </c>
      <c r="M1223" s="179" t="s">
        <v>955</v>
      </c>
      <c r="N1223" s="179" t="s">
        <v>989</v>
      </c>
      <c r="O1223" s="141">
        <f t="shared" ref="O1223:O1229" si="397">I1223</f>
        <v>0</v>
      </c>
      <c r="P1223" s="181" t="b">
        <f>COUNTIF('Facility Data'!$A$1:$A$1500,"*"&amp;A1223&amp;"*")&gt;0</f>
        <v>1</v>
      </c>
      <c r="Q1223" s="181" t="b">
        <f>COUNTIF('Account Data'!$A$1:$A$1000,"*"&amp;A1223&amp;"*")&gt;0</f>
        <v>1</v>
      </c>
      <c r="R1223" s="182" t="b">
        <f t="shared" si="396"/>
        <v>1</v>
      </c>
      <c r="S1223" s="182" t="b">
        <f t="shared" si="381"/>
        <v>1</v>
      </c>
      <c r="T1223" s="181" t="b">
        <f>COUNTIF('New Items'!$A$1:$A$175,A1223)&gt;0</f>
        <v>0</v>
      </c>
      <c r="U1223" s="181" t="b">
        <f>COUNTIF(Discontinued!$A$1:$A$150,A1223)&gt;0</f>
        <v>0</v>
      </c>
    </row>
    <row r="1224" spans="1:21" s="8" customFormat="1" ht="11.25" x14ac:dyDescent="0.2">
      <c r="A1224" s="152">
        <v>10063830</v>
      </c>
      <c r="B1224" s="10" t="s">
        <v>557</v>
      </c>
      <c r="C1224" s="12" t="s">
        <v>558</v>
      </c>
      <c r="D1224" s="11" t="s">
        <v>746</v>
      </c>
      <c r="E1224" s="12" t="s">
        <v>772</v>
      </c>
      <c r="F1224" s="13">
        <v>24</v>
      </c>
      <c r="G1224" s="121">
        <f>Overview!$B$139</f>
        <v>36</v>
      </c>
      <c r="H1224" s="23">
        <f t="shared" si="393"/>
        <v>36</v>
      </c>
      <c r="I1224" s="114">
        <f>Overview!$E$139</f>
        <v>0</v>
      </c>
      <c r="J1224" s="24">
        <f t="shared" si="394"/>
        <v>0</v>
      </c>
      <c r="K1224" s="116">
        <f>Overview!$H$139</f>
        <v>0</v>
      </c>
      <c r="L1224" s="51" t="e">
        <f t="shared" si="395"/>
        <v>#DIV/0!</v>
      </c>
      <c r="M1224" s="179" t="s">
        <v>955</v>
      </c>
      <c r="N1224" s="179" t="s">
        <v>989</v>
      </c>
      <c r="O1224" s="141">
        <f t="shared" si="397"/>
        <v>0</v>
      </c>
      <c r="P1224" s="181" t="b">
        <f>COUNTIF('Facility Data'!$A$1:$A$1500,"*"&amp;A1224&amp;"*")&gt;0</f>
        <v>1</v>
      </c>
      <c r="Q1224" s="181" t="b">
        <f>COUNTIF('Account Data'!$A$1:$A$1000,"*"&amp;A1224&amp;"*")&gt;0</f>
        <v>1</v>
      </c>
      <c r="R1224" s="182" t="b">
        <f t="shared" si="396"/>
        <v>1</v>
      </c>
      <c r="S1224" s="182" t="b">
        <f t="shared" si="381"/>
        <v>1</v>
      </c>
      <c r="T1224" s="181" t="b">
        <f>COUNTIF('New Items'!$A$1:$A$175,A1224)&gt;0</f>
        <v>0</v>
      </c>
      <c r="U1224" s="181" t="b">
        <f>COUNTIF(Discontinued!$A$1:$A$150,A1224)&gt;0</f>
        <v>0</v>
      </c>
    </row>
    <row r="1225" spans="1:21" s="8" customFormat="1" ht="11.25" x14ac:dyDescent="0.2">
      <c r="A1225" s="152">
        <v>10090141</v>
      </c>
      <c r="B1225" s="10" t="s">
        <v>553</v>
      </c>
      <c r="C1225" s="12" t="s">
        <v>554</v>
      </c>
      <c r="D1225" s="11" t="s">
        <v>744</v>
      </c>
      <c r="E1225" s="12" t="s">
        <v>772</v>
      </c>
      <c r="F1225" s="13">
        <v>24</v>
      </c>
      <c r="G1225" s="121">
        <f>Overview!$B$139</f>
        <v>36</v>
      </c>
      <c r="H1225" s="23">
        <f t="shared" si="393"/>
        <v>36</v>
      </c>
      <c r="I1225" s="114">
        <f>Overview!$E$139</f>
        <v>0</v>
      </c>
      <c r="J1225" s="24">
        <f t="shared" si="394"/>
        <v>0</v>
      </c>
      <c r="K1225" s="116">
        <f>Overview!$H$139</f>
        <v>0</v>
      </c>
      <c r="L1225" s="51" t="e">
        <f t="shared" si="395"/>
        <v>#DIV/0!</v>
      </c>
      <c r="M1225" s="179" t="s">
        <v>955</v>
      </c>
      <c r="N1225" s="179" t="s">
        <v>989</v>
      </c>
      <c r="O1225" s="141">
        <f t="shared" si="397"/>
        <v>0</v>
      </c>
      <c r="P1225" s="181" t="b">
        <f>COUNTIF('Facility Data'!$A$1:$A$1500,"*"&amp;A1225&amp;"*")&gt;0</f>
        <v>1</v>
      </c>
      <c r="Q1225" s="181" t="b">
        <f>COUNTIF('Account Data'!$A$1:$A$1000,"*"&amp;A1225&amp;"*")&gt;0</f>
        <v>1</v>
      </c>
      <c r="R1225" s="182" t="b">
        <f t="shared" si="396"/>
        <v>1</v>
      </c>
      <c r="S1225" s="182" t="b">
        <f t="shared" si="381"/>
        <v>1</v>
      </c>
      <c r="T1225" s="181" t="b">
        <f>COUNTIF('New Items'!$A$1:$A$175,A1225)&gt;0</f>
        <v>0</v>
      </c>
      <c r="U1225" s="181" t="b">
        <f>COUNTIF(Discontinued!$A$1:$A$150,A1225)&gt;0</f>
        <v>0</v>
      </c>
    </row>
    <row r="1226" spans="1:21" s="8" customFormat="1" ht="11.25" x14ac:dyDescent="0.2">
      <c r="A1226" s="152">
        <v>10063825</v>
      </c>
      <c r="B1226" s="10" t="s">
        <v>559</v>
      </c>
      <c r="C1226" s="12" t="s">
        <v>560</v>
      </c>
      <c r="D1226" s="11" t="s">
        <v>747</v>
      </c>
      <c r="E1226" s="12" t="s">
        <v>772</v>
      </c>
      <c r="F1226" s="13">
        <v>24</v>
      </c>
      <c r="G1226" s="121">
        <f>Overview!$B$139</f>
        <v>36</v>
      </c>
      <c r="H1226" s="23">
        <f t="shared" si="393"/>
        <v>36</v>
      </c>
      <c r="I1226" s="114">
        <f>Overview!$E$139</f>
        <v>0</v>
      </c>
      <c r="J1226" s="24">
        <f t="shared" si="394"/>
        <v>0</v>
      </c>
      <c r="K1226" s="116">
        <f>Overview!$H$139</f>
        <v>0</v>
      </c>
      <c r="L1226" s="51" t="e">
        <f t="shared" si="395"/>
        <v>#DIV/0!</v>
      </c>
      <c r="M1226" s="179" t="s">
        <v>955</v>
      </c>
      <c r="N1226" s="179" t="s">
        <v>989</v>
      </c>
      <c r="O1226" s="141">
        <f t="shared" si="397"/>
        <v>0</v>
      </c>
      <c r="P1226" s="181" t="b">
        <f>COUNTIF('Facility Data'!$A$1:$A$1500,"*"&amp;A1226&amp;"*")&gt;0</f>
        <v>1</v>
      </c>
      <c r="Q1226" s="181" t="b">
        <f>COUNTIF('Account Data'!$A$1:$A$1000,"*"&amp;A1226&amp;"*")&gt;0</f>
        <v>1</v>
      </c>
      <c r="R1226" s="182" t="b">
        <f t="shared" si="396"/>
        <v>1</v>
      </c>
      <c r="S1226" s="182" t="b">
        <f t="shared" si="381"/>
        <v>1</v>
      </c>
      <c r="T1226" s="181" t="b">
        <f>COUNTIF('New Items'!$A$1:$A$175,A1226)&gt;0</f>
        <v>0</v>
      </c>
      <c r="U1226" s="181" t="b">
        <f>COUNTIF(Discontinued!$A$1:$A$150,A1226)&gt;0</f>
        <v>0</v>
      </c>
    </row>
    <row r="1227" spans="1:21" s="8" customFormat="1" ht="11.25" x14ac:dyDescent="0.2">
      <c r="A1227" s="152">
        <v>10090140</v>
      </c>
      <c r="B1227" s="10" t="s">
        <v>565</v>
      </c>
      <c r="C1227" s="12" t="s">
        <v>566</v>
      </c>
      <c r="D1227" s="11" t="s">
        <v>750</v>
      </c>
      <c r="E1227" s="12" t="s">
        <v>772</v>
      </c>
      <c r="F1227" s="13">
        <v>24</v>
      </c>
      <c r="G1227" s="121">
        <f>Overview!$B$139</f>
        <v>36</v>
      </c>
      <c r="H1227" s="23">
        <f t="shared" si="393"/>
        <v>36</v>
      </c>
      <c r="I1227" s="114">
        <f>Overview!$E$139</f>
        <v>0</v>
      </c>
      <c r="J1227" s="24">
        <f t="shared" si="394"/>
        <v>0</v>
      </c>
      <c r="K1227" s="116">
        <f>Overview!$H$139</f>
        <v>0</v>
      </c>
      <c r="L1227" s="51" t="e">
        <f t="shared" si="395"/>
        <v>#DIV/0!</v>
      </c>
      <c r="M1227" s="179" t="s">
        <v>955</v>
      </c>
      <c r="N1227" s="179" t="s">
        <v>989</v>
      </c>
      <c r="O1227" s="141">
        <f t="shared" si="397"/>
        <v>0</v>
      </c>
      <c r="P1227" s="181" t="b">
        <f>COUNTIF('Facility Data'!$A$1:$A$1500,"*"&amp;A1227&amp;"*")&gt;0</f>
        <v>1</v>
      </c>
      <c r="Q1227" s="181" t="b">
        <f>COUNTIF('Account Data'!$A$1:$A$1000,"*"&amp;A1227&amp;"*")&gt;0</f>
        <v>1</v>
      </c>
      <c r="R1227" s="182" t="b">
        <f t="shared" si="396"/>
        <v>1</v>
      </c>
      <c r="S1227" s="182" t="b">
        <f t="shared" si="381"/>
        <v>1</v>
      </c>
      <c r="T1227" s="181" t="b">
        <f>COUNTIF('New Items'!$A$1:$A$175,A1227)&gt;0</f>
        <v>0</v>
      </c>
      <c r="U1227" s="181" t="b">
        <f>COUNTIF(Discontinued!$A$1:$A$150,A1227)&gt;0</f>
        <v>0</v>
      </c>
    </row>
    <row r="1228" spans="1:21" s="8" customFormat="1" ht="11.25" x14ac:dyDescent="0.2">
      <c r="A1228" s="152">
        <v>10083917</v>
      </c>
      <c r="B1228" s="10" t="s">
        <v>563</v>
      </c>
      <c r="C1228" s="12" t="s">
        <v>564</v>
      </c>
      <c r="D1228" s="11" t="s">
        <v>749</v>
      </c>
      <c r="E1228" s="12" t="s">
        <v>772</v>
      </c>
      <c r="F1228" s="13">
        <v>24</v>
      </c>
      <c r="G1228" s="121">
        <f>Overview!$B$139</f>
        <v>36</v>
      </c>
      <c r="H1228" s="23">
        <f t="shared" si="393"/>
        <v>36</v>
      </c>
      <c r="I1228" s="114">
        <f>Overview!$E$139</f>
        <v>0</v>
      </c>
      <c r="J1228" s="24">
        <f t="shared" si="394"/>
        <v>0</v>
      </c>
      <c r="K1228" s="116">
        <f>Overview!$H$139</f>
        <v>0</v>
      </c>
      <c r="L1228" s="51" t="e">
        <f t="shared" si="395"/>
        <v>#DIV/0!</v>
      </c>
      <c r="M1228" s="179" t="s">
        <v>955</v>
      </c>
      <c r="N1228" s="179" t="s">
        <v>989</v>
      </c>
      <c r="O1228" s="141">
        <f t="shared" si="397"/>
        <v>0</v>
      </c>
      <c r="P1228" s="181" t="b">
        <f>COUNTIF('Facility Data'!$A$1:$A$1500,"*"&amp;A1228&amp;"*")&gt;0</f>
        <v>1</v>
      </c>
      <c r="Q1228" s="181" t="b">
        <f>COUNTIF('Account Data'!$A$1:$A$1000,"*"&amp;A1228&amp;"*")&gt;0</f>
        <v>1</v>
      </c>
      <c r="R1228" s="182" t="b">
        <f t="shared" si="396"/>
        <v>1</v>
      </c>
      <c r="S1228" s="182" t="b">
        <f t="shared" si="381"/>
        <v>1</v>
      </c>
      <c r="T1228" s="181" t="b">
        <f>COUNTIF('New Items'!$A$1:$A$175,A1228)&gt;0</f>
        <v>0</v>
      </c>
      <c r="U1228" s="181" t="b">
        <f>COUNTIF(Discontinued!$A$1:$A$150,A1228)&gt;0</f>
        <v>0</v>
      </c>
    </row>
    <row r="1229" spans="1:21" s="8" customFormat="1" ht="12" thickBot="1" x14ac:dyDescent="0.25">
      <c r="A1229" s="152">
        <v>10083916</v>
      </c>
      <c r="B1229" s="10" t="s">
        <v>561</v>
      </c>
      <c r="C1229" s="12" t="s">
        <v>562</v>
      </c>
      <c r="D1229" s="11" t="s">
        <v>748</v>
      </c>
      <c r="E1229" s="12" t="s">
        <v>772</v>
      </c>
      <c r="F1229" s="13">
        <v>24</v>
      </c>
      <c r="G1229" s="121">
        <f>Overview!$B$139</f>
        <v>36</v>
      </c>
      <c r="H1229" s="23">
        <f t="shared" si="393"/>
        <v>36</v>
      </c>
      <c r="I1229" s="114">
        <f>Overview!$E$139</f>
        <v>0</v>
      </c>
      <c r="J1229" s="24">
        <f t="shared" si="394"/>
        <v>0</v>
      </c>
      <c r="K1229" s="116">
        <f>Overview!$H$139</f>
        <v>0</v>
      </c>
      <c r="L1229" s="51" t="e">
        <f t="shared" si="395"/>
        <v>#DIV/0!</v>
      </c>
      <c r="M1229" s="179" t="s">
        <v>955</v>
      </c>
      <c r="N1229" s="179" t="s">
        <v>989</v>
      </c>
      <c r="O1229" s="141">
        <f t="shared" si="397"/>
        <v>0</v>
      </c>
      <c r="P1229" s="181" t="b">
        <f>COUNTIF('Facility Data'!$A$1:$A$1500,"*"&amp;A1229&amp;"*")&gt;0</f>
        <v>1</v>
      </c>
      <c r="Q1229" s="181" t="b">
        <f>COUNTIF('Account Data'!$A$1:$A$1000,"*"&amp;A1229&amp;"*")&gt;0</f>
        <v>1</v>
      </c>
      <c r="R1229" s="182" t="b">
        <f t="shared" si="396"/>
        <v>1</v>
      </c>
      <c r="S1229" s="182" t="b">
        <f t="shared" si="381"/>
        <v>1</v>
      </c>
      <c r="T1229" s="181" t="b">
        <f>COUNTIF('New Items'!$A$1:$A$175,A1229)&gt;0</f>
        <v>0</v>
      </c>
      <c r="U1229" s="181" t="b">
        <f>COUNTIF(Discontinued!$A$1:$A$150,A1229)&gt;0</f>
        <v>0</v>
      </c>
    </row>
    <row r="1230" spans="1:21" s="8" customFormat="1" ht="13.5" thickBot="1" x14ac:dyDescent="0.25">
      <c r="A1230" s="300" t="s">
        <v>3710</v>
      </c>
      <c r="B1230" s="301"/>
      <c r="C1230" s="301"/>
      <c r="D1230" s="301"/>
      <c r="E1230" s="301"/>
      <c r="F1230" s="301"/>
      <c r="G1230" s="301"/>
      <c r="H1230" s="301"/>
      <c r="I1230" s="301"/>
      <c r="J1230" s="301"/>
      <c r="K1230" s="301"/>
      <c r="L1230" s="302"/>
      <c r="M1230" s="179" t="s">
        <v>4361</v>
      </c>
      <c r="N1230" s="179" t="s">
        <v>3732</v>
      </c>
      <c r="O1230" s="141">
        <f>AVERAGE(O1231:O1238)</f>
        <v>0</v>
      </c>
      <c r="P1230" s="181" t="b">
        <f>COUNTIF(P1231:P1238,TRUE)&gt;0</f>
        <v>1</v>
      </c>
      <c r="Q1230" s="181" t="b">
        <f>COUNTIF(Q1231:Q1238,TRUE)&gt;0</f>
        <v>0</v>
      </c>
      <c r="R1230" s="181" t="b">
        <f>COUNTIF(R1231:R1238,TRUE)&gt;0</f>
        <v>1</v>
      </c>
      <c r="S1230" s="181" t="b">
        <f>COUNTIF(S1231:S1238,TRUE)&gt;0</f>
        <v>0</v>
      </c>
      <c r="T1230" s="181" t="b">
        <f>COUNTIF(T1231:T1238,TRUE)&gt;0</f>
        <v>0</v>
      </c>
      <c r="U1230" s="181"/>
    </row>
    <row r="1231" spans="1:21" s="8" customFormat="1" ht="11.25" x14ac:dyDescent="0.2">
      <c r="A1231" s="152">
        <v>20029370</v>
      </c>
      <c r="B1231" s="10" t="s">
        <v>3711</v>
      </c>
      <c r="C1231" s="118" t="s">
        <v>3723</v>
      </c>
      <c r="D1231" s="119" t="s">
        <v>3712</v>
      </c>
      <c r="E1231" s="118" t="s">
        <v>772</v>
      </c>
      <c r="F1231" s="120">
        <v>12</v>
      </c>
      <c r="G1231" s="121">
        <f>Overview!$B$140</f>
        <v>24</v>
      </c>
      <c r="H1231" s="114">
        <f t="shared" ref="H1231:H1238" si="398">G1231-I1231</f>
        <v>24</v>
      </c>
      <c r="I1231" s="114">
        <f>Overview!$E$140</f>
        <v>0</v>
      </c>
      <c r="J1231" s="115">
        <f t="shared" ref="J1231:J1238" si="399">I1231/F1231</f>
        <v>0</v>
      </c>
      <c r="K1231" s="116">
        <f>Overview!$H$140</f>
        <v>0</v>
      </c>
      <c r="L1231" s="117" t="e">
        <f t="shared" ref="L1231:L1238" si="400">(K1231-J1231)/K1231</f>
        <v>#DIV/0!</v>
      </c>
      <c r="M1231" s="179"/>
      <c r="N1231" s="179" t="s">
        <v>3732</v>
      </c>
      <c r="O1231" s="141">
        <f>I1231</f>
        <v>0</v>
      </c>
      <c r="P1231" s="181" t="b">
        <f>COUNTIF('Facility Data'!$A$1:$A$1500,"*"&amp;A1231&amp;"*")&gt;0</f>
        <v>1</v>
      </c>
      <c r="Q1231" s="181" t="b">
        <f>COUNTIF('Account Data'!$A$1:$A$1000,"*"&amp;A1231&amp;"*")&gt;0</f>
        <v>0</v>
      </c>
      <c r="R1231" s="182" t="b">
        <f t="shared" ref="R1231:R1238" si="401">IF(OR(P1231=TRUE,T1231=TRUE),TRUE,FALSE)</f>
        <v>1</v>
      </c>
      <c r="S1231" s="182" t="b">
        <f t="shared" ref="S1231:S1238" si="402">IF(OR(Q1231=TRUE,T1231=TRUE),TRUE,FALSE)</f>
        <v>0</v>
      </c>
      <c r="T1231" s="181" t="b">
        <f>COUNTIF('New Items'!$A$1:$A$175,A1231)&gt;0</f>
        <v>0</v>
      </c>
      <c r="U1231" s="181" t="b">
        <f>COUNTIF(Discontinued!$A$1:$A$150,A1231)&gt;0</f>
        <v>0</v>
      </c>
    </row>
    <row r="1232" spans="1:21" s="8" customFormat="1" ht="11.25" x14ac:dyDescent="0.2">
      <c r="A1232" s="152">
        <v>20029371</v>
      </c>
      <c r="B1232" s="10" t="s">
        <v>3713</v>
      </c>
      <c r="C1232" s="118" t="s">
        <v>3724</v>
      </c>
      <c r="D1232" s="119" t="s">
        <v>3714</v>
      </c>
      <c r="E1232" s="118" t="s">
        <v>772</v>
      </c>
      <c r="F1232" s="120">
        <v>12</v>
      </c>
      <c r="G1232" s="121">
        <f>Overview!$B$140</f>
        <v>24</v>
      </c>
      <c r="H1232" s="114">
        <f t="shared" si="398"/>
        <v>24</v>
      </c>
      <c r="I1232" s="114">
        <f>Overview!$E$140</f>
        <v>0</v>
      </c>
      <c r="J1232" s="115">
        <f t="shared" si="399"/>
        <v>0</v>
      </c>
      <c r="K1232" s="116">
        <f>Overview!$H$140</f>
        <v>0</v>
      </c>
      <c r="L1232" s="117" t="e">
        <f t="shared" si="400"/>
        <v>#DIV/0!</v>
      </c>
      <c r="M1232" s="179"/>
      <c r="N1232" s="179" t="s">
        <v>3732</v>
      </c>
      <c r="O1232" s="141">
        <f t="shared" ref="O1232:O1238" si="403">I1232</f>
        <v>0</v>
      </c>
      <c r="P1232" s="181" t="b">
        <f>COUNTIF('Facility Data'!$A$1:$A$1500,"*"&amp;A1232&amp;"*")&gt;0</f>
        <v>1</v>
      </c>
      <c r="Q1232" s="181" t="b">
        <f>COUNTIF('Account Data'!$A$1:$A$1000,"*"&amp;A1232&amp;"*")&gt;0</f>
        <v>0</v>
      </c>
      <c r="R1232" s="182" t="b">
        <f t="shared" si="401"/>
        <v>1</v>
      </c>
      <c r="S1232" s="182" t="b">
        <f t="shared" si="402"/>
        <v>0</v>
      </c>
      <c r="T1232" s="181" t="b">
        <f>COUNTIF('New Items'!$A$1:$A$175,A1232)&gt;0</f>
        <v>0</v>
      </c>
      <c r="U1232" s="181" t="b">
        <f>COUNTIF(Discontinued!$A$1:$A$150,A1232)&gt;0</f>
        <v>0</v>
      </c>
    </row>
    <row r="1233" spans="1:21" s="8" customFormat="1" ht="11.25" x14ac:dyDescent="0.2">
      <c r="A1233" s="152">
        <v>20029373</v>
      </c>
      <c r="B1233" s="10" t="s">
        <v>3715</v>
      </c>
      <c r="C1233" s="118" t="s">
        <v>3725</v>
      </c>
      <c r="D1233" s="119" t="s">
        <v>3716</v>
      </c>
      <c r="E1233" s="118" t="s">
        <v>772</v>
      </c>
      <c r="F1233" s="120">
        <v>12</v>
      </c>
      <c r="G1233" s="121">
        <f>Overview!$B$140</f>
        <v>24</v>
      </c>
      <c r="H1233" s="114">
        <f t="shared" si="398"/>
        <v>24</v>
      </c>
      <c r="I1233" s="114">
        <f>Overview!$E$140</f>
        <v>0</v>
      </c>
      <c r="J1233" s="115">
        <f t="shared" si="399"/>
        <v>0</v>
      </c>
      <c r="K1233" s="116">
        <f>Overview!$H$140</f>
        <v>0</v>
      </c>
      <c r="L1233" s="117" t="e">
        <f t="shared" si="400"/>
        <v>#DIV/0!</v>
      </c>
      <c r="M1233" s="179"/>
      <c r="N1233" s="179" t="s">
        <v>3732</v>
      </c>
      <c r="O1233" s="141">
        <f t="shared" si="403"/>
        <v>0</v>
      </c>
      <c r="P1233" s="181" t="b">
        <f>COUNTIF('Facility Data'!$A$1:$A$1500,"*"&amp;A1233&amp;"*")&gt;0</f>
        <v>1</v>
      </c>
      <c r="Q1233" s="181" t="b">
        <f>COUNTIF('Account Data'!$A$1:$A$1000,"*"&amp;A1233&amp;"*")&gt;0</f>
        <v>0</v>
      </c>
      <c r="R1233" s="182" t="b">
        <f t="shared" si="401"/>
        <v>1</v>
      </c>
      <c r="S1233" s="182" t="b">
        <f t="shared" si="402"/>
        <v>0</v>
      </c>
      <c r="T1233" s="181" t="b">
        <f>COUNTIF('New Items'!$A$1:$A$175,A1233)&gt;0</f>
        <v>0</v>
      </c>
      <c r="U1233" s="181" t="b">
        <f>COUNTIF(Discontinued!$A$1:$A$150,A1233)&gt;0</f>
        <v>0</v>
      </c>
    </row>
    <row r="1234" spans="1:21" s="8" customFormat="1" ht="11.25" x14ac:dyDescent="0.2">
      <c r="A1234" s="152">
        <v>20029375</v>
      </c>
      <c r="B1234" s="10" t="s">
        <v>3717</v>
      </c>
      <c r="C1234" s="118" t="s">
        <v>3726</v>
      </c>
      <c r="D1234" s="119" t="s">
        <v>693</v>
      </c>
      <c r="E1234" s="118" t="s">
        <v>772</v>
      </c>
      <c r="F1234" s="120">
        <v>12</v>
      </c>
      <c r="G1234" s="121">
        <f>Overview!$B$140</f>
        <v>24</v>
      </c>
      <c r="H1234" s="114">
        <f t="shared" si="398"/>
        <v>24</v>
      </c>
      <c r="I1234" s="114">
        <f>Overview!$E$140</f>
        <v>0</v>
      </c>
      <c r="J1234" s="115">
        <f t="shared" si="399"/>
        <v>0</v>
      </c>
      <c r="K1234" s="116">
        <f>Overview!$H$140</f>
        <v>0</v>
      </c>
      <c r="L1234" s="117" t="e">
        <f t="shared" si="400"/>
        <v>#DIV/0!</v>
      </c>
      <c r="M1234" s="179"/>
      <c r="N1234" s="179" t="s">
        <v>3732</v>
      </c>
      <c r="O1234" s="141">
        <f t="shared" si="403"/>
        <v>0</v>
      </c>
      <c r="P1234" s="181" t="b">
        <f>COUNTIF('Facility Data'!$A$1:$A$1500,"*"&amp;A1234&amp;"*")&gt;0</f>
        <v>1</v>
      </c>
      <c r="Q1234" s="181" t="b">
        <f>COUNTIF('Account Data'!$A$1:$A$1000,"*"&amp;A1234&amp;"*")&gt;0</f>
        <v>0</v>
      </c>
      <c r="R1234" s="182" t="b">
        <f t="shared" si="401"/>
        <v>1</v>
      </c>
      <c r="S1234" s="182" t="b">
        <f t="shared" si="402"/>
        <v>0</v>
      </c>
      <c r="T1234" s="181" t="b">
        <f>COUNTIF('New Items'!$A$1:$A$175,A1234)&gt;0</f>
        <v>0</v>
      </c>
      <c r="U1234" s="181" t="b">
        <f>COUNTIF(Discontinued!$A$1:$A$150,A1234)&gt;0</f>
        <v>0</v>
      </c>
    </row>
    <row r="1235" spans="1:21" s="8" customFormat="1" ht="11.25" x14ac:dyDescent="0.2">
      <c r="A1235" s="152">
        <v>20029372</v>
      </c>
      <c r="B1235" s="10" t="s">
        <v>3718</v>
      </c>
      <c r="C1235" s="118" t="s">
        <v>3727</v>
      </c>
      <c r="D1235" s="119" t="s">
        <v>730</v>
      </c>
      <c r="E1235" s="118" t="s">
        <v>772</v>
      </c>
      <c r="F1235" s="120">
        <v>12</v>
      </c>
      <c r="G1235" s="121">
        <f>Overview!$B$140</f>
        <v>24</v>
      </c>
      <c r="H1235" s="114">
        <f t="shared" si="398"/>
        <v>24</v>
      </c>
      <c r="I1235" s="114">
        <f>Overview!$E$140</f>
        <v>0</v>
      </c>
      <c r="J1235" s="115">
        <f t="shared" si="399"/>
        <v>0</v>
      </c>
      <c r="K1235" s="116">
        <f>Overview!$H$140</f>
        <v>0</v>
      </c>
      <c r="L1235" s="117" t="e">
        <f t="shared" si="400"/>
        <v>#DIV/0!</v>
      </c>
      <c r="M1235" s="179"/>
      <c r="N1235" s="179" t="s">
        <v>3732</v>
      </c>
      <c r="O1235" s="141">
        <f t="shared" si="403"/>
        <v>0</v>
      </c>
      <c r="P1235" s="181" t="b">
        <f>COUNTIF('Facility Data'!$A$1:$A$1500,"*"&amp;A1235&amp;"*")&gt;0</f>
        <v>1</v>
      </c>
      <c r="Q1235" s="181" t="b">
        <f>COUNTIF('Account Data'!$A$1:$A$1000,"*"&amp;A1235&amp;"*")&gt;0</f>
        <v>0</v>
      </c>
      <c r="R1235" s="182" t="b">
        <f t="shared" si="401"/>
        <v>1</v>
      </c>
      <c r="S1235" s="182" t="b">
        <f t="shared" si="402"/>
        <v>0</v>
      </c>
      <c r="T1235" s="181" t="b">
        <f>COUNTIF('New Items'!$A$1:$A$175,A1235)&gt;0</f>
        <v>0</v>
      </c>
      <c r="U1235" s="181" t="b">
        <f>COUNTIF(Discontinued!$A$1:$A$150,A1235)&gt;0</f>
        <v>0</v>
      </c>
    </row>
    <row r="1236" spans="1:21" s="8" customFormat="1" ht="11.25" x14ac:dyDescent="0.2">
      <c r="A1236" s="152">
        <v>20029374</v>
      </c>
      <c r="B1236" s="10" t="s">
        <v>3719</v>
      </c>
      <c r="C1236" s="118" t="s">
        <v>3728</v>
      </c>
      <c r="D1236" s="119" t="s">
        <v>3731</v>
      </c>
      <c r="E1236" s="118" t="s">
        <v>772</v>
      </c>
      <c r="F1236" s="120">
        <v>12</v>
      </c>
      <c r="G1236" s="121">
        <f>Overview!$B$140</f>
        <v>24</v>
      </c>
      <c r="H1236" s="114">
        <f t="shared" si="398"/>
        <v>24</v>
      </c>
      <c r="I1236" s="114">
        <f>Overview!$E$140</f>
        <v>0</v>
      </c>
      <c r="J1236" s="115">
        <f t="shared" si="399"/>
        <v>0</v>
      </c>
      <c r="K1236" s="116">
        <f>Overview!$H$140</f>
        <v>0</v>
      </c>
      <c r="L1236" s="117" t="e">
        <f t="shared" si="400"/>
        <v>#DIV/0!</v>
      </c>
      <c r="M1236" s="179"/>
      <c r="N1236" s="179" t="s">
        <v>3732</v>
      </c>
      <c r="O1236" s="141">
        <f t="shared" si="403"/>
        <v>0</v>
      </c>
      <c r="P1236" s="181" t="b">
        <f>COUNTIF('Facility Data'!$A$1:$A$1500,"*"&amp;A1236&amp;"*")&gt;0</f>
        <v>1</v>
      </c>
      <c r="Q1236" s="181" t="b">
        <f>COUNTIF('Account Data'!$A$1:$A$1000,"*"&amp;A1236&amp;"*")&gt;0</f>
        <v>0</v>
      </c>
      <c r="R1236" s="182" t="b">
        <f t="shared" si="401"/>
        <v>1</v>
      </c>
      <c r="S1236" s="182" t="b">
        <f t="shared" si="402"/>
        <v>0</v>
      </c>
      <c r="T1236" s="181" t="b">
        <f>COUNTIF('New Items'!$A$1:$A$175,A1236)&gt;0</f>
        <v>0</v>
      </c>
      <c r="U1236" s="181" t="b">
        <f>COUNTIF(Discontinued!$A$1:$A$150,A1236)&gt;0</f>
        <v>0</v>
      </c>
    </row>
    <row r="1237" spans="1:21" s="8" customFormat="1" ht="11.25" x14ac:dyDescent="0.2">
      <c r="A1237" s="152">
        <v>20029376</v>
      </c>
      <c r="B1237" s="10" t="s">
        <v>3720</v>
      </c>
      <c r="C1237" s="118" t="s">
        <v>3729</v>
      </c>
      <c r="D1237" s="119" t="s">
        <v>3721</v>
      </c>
      <c r="E1237" s="118" t="s">
        <v>772</v>
      </c>
      <c r="F1237" s="120">
        <v>12</v>
      </c>
      <c r="G1237" s="121">
        <f>Overview!$B$140</f>
        <v>24</v>
      </c>
      <c r="H1237" s="114">
        <f t="shared" si="398"/>
        <v>24</v>
      </c>
      <c r="I1237" s="114">
        <f>Overview!$E$140</f>
        <v>0</v>
      </c>
      <c r="J1237" s="115">
        <f t="shared" si="399"/>
        <v>0</v>
      </c>
      <c r="K1237" s="116">
        <f>Overview!$H$140</f>
        <v>0</v>
      </c>
      <c r="L1237" s="117" t="e">
        <f t="shared" si="400"/>
        <v>#DIV/0!</v>
      </c>
      <c r="M1237" s="179"/>
      <c r="N1237" s="179" t="s">
        <v>3732</v>
      </c>
      <c r="O1237" s="141">
        <f t="shared" si="403"/>
        <v>0</v>
      </c>
      <c r="P1237" s="181" t="b">
        <f>COUNTIF('Facility Data'!$A$1:$A$1500,"*"&amp;A1237&amp;"*")&gt;0</f>
        <v>1</v>
      </c>
      <c r="Q1237" s="181" t="b">
        <f>COUNTIF('Account Data'!$A$1:$A$1000,"*"&amp;A1237&amp;"*")&gt;0</f>
        <v>0</v>
      </c>
      <c r="R1237" s="182" t="b">
        <f t="shared" si="401"/>
        <v>1</v>
      </c>
      <c r="S1237" s="182" t="b">
        <f t="shared" si="402"/>
        <v>0</v>
      </c>
      <c r="T1237" s="181" t="b">
        <f>COUNTIF('New Items'!$A$1:$A$175,A1237)&gt;0</f>
        <v>0</v>
      </c>
      <c r="U1237" s="181" t="b">
        <f>COUNTIF(Discontinued!$A$1:$A$150,A1237)&gt;0</f>
        <v>0</v>
      </c>
    </row>
    <row r="1238" spans="1:21" s="8" customFormat="1" ht="12" thickBot="1" x14ac:dyDescent="0.25">
      <c r="A1238" s="152">
        <v>20029377</v>
      </c>
      <c r="B1238" s="10" t="s">
        <v>3722</v>
      </c>
      <c r="C1238" s="118" t="s">
        <v>3730</v>
      </c>
      <c r="D1238" s="119" t="s">
        <v>722</v>
      </c>
      <c r="E1238" s="118" t="s">
        <v>772</v>
      </c>
      <c r="F1238" s="120">
        <v>12</v>
      </c>
      <c r="G1238" s="121">
        <f>Overview!$B$140</f>
        <v>24</v>
      </c>
      <c r="H1238" s="114">
        <f t="shared" si="398"/>
        <v>24</v>
      </c>
      <c r="I1238" s="114">
        <f>Overview!$E$140</f>
        <v>0</v>
      </c>
      <c r="J1238" s="115">
        <f t="shared" si="399"/>
        <v>0</v>
      </c>
      <c r="K1238" s="116">
        <f>Overview!$H$140</f>
        <v>0</v>
      </c>
      <c r="L1238" s="117" t="e">
        <f t="shared" si="400"/>
        <v>#DIV/0!</v>
      </c>
      <c r="M1238" s="179"/>
      <c r="N1238" s="179" t="s">
        <v>3732</v>
      </c>
      <c r="O1238" s="141">
        <f t="shared" si="403"/>
        <v>0</v>
      </c>
      <c r="P1238" s="181" t="b">
        <f>COUNTIF('Facility Data'!$A$1:$A$1500,"*"&amp;A1238&amp;"*")&gt;0</f>
        <v>1</v>
      </c>
      <c r="Q1238" s="181" t="b">
        <f>COUNTIF('Account Data'!$A$1:$A$1000,"*"&amp;A1238&amp;"*")&gt;0</f>
        <v>0</v>
      </c>
      <c r="R1238" s="182" t="b">
        <f t="shared" si="401"/>
        <v>1</v>
      </c>
      <c r="S1238" s="182" t="b">
        <f t="shared" si="402"/>
        <v>0</v>
      </c>
      <c r="T1238" s="181" t="b">
        <f>COUNTIF('New Items'!$A$1:$A$175,A1238)&gt;0</f>
        <v>0</v>
      </c>
      <c r="U1238" s="181" t="b">
        <f>COUNTIF(Discontinued!$A$1:$A$150,A1238)&gt;0</f>
        <v>0</v>
      </c>
    </row>
    <row r="1239" spans="1:21" s="8" customFormat="1" ht="13.5" thickBot="1" x14ac:dyDescent="0.25">
      <c r="A1239" s="300" t="s">
        <v>1184</v>
      </c>
      <c r="B1239" s="301"/>
      <c r="C1239" s="301"/>
      <c r="D1239" s="301"/>
      <c r="E1239" s="301"/>
      <c r="F1239" s="301"/>
      <c r="G1239" s="301"/>
      <c r="H1239" s="301"/>
      <c r="I1239" s="301"/>
      <c r="J1239" s="301"/>
      <c r="K1239" s="301"/>
      <c r="L1239" s="302"/>
      <c r="M1239" s="179" t="s">
        <v>4361</v>
      </c>
      <c r="N1239" s="179" t="s">
        <v>1257</v>
      </c>
      <c r="O1239" s="141">
        <f>AVERAGE(O1240:O1245)</f>
        <v>0</v>
      </c>
      <c r="P1239" s="181" t="b">
        <f>COUNTIF(P1240:P1245,TRUE)&gt;0</f>
        <v>1</v>
      </c>
      <c r="Q1239" s="181" t="b">
        <f>COUNTIF(Q1240:Q1245,TRUE)&gt;0</f>
        <v>0</v>
      </c>
      <c r="R1239" s="181" t="b">
        <f>COUNTIF(R1240:R1245,TRUE)&gt;0</f>
        <v>1</v>
      </c>
      <c r="S1239" s="181" t="b">
        <f>COUNTIF(S1240:S1245,TRUE)&gt;0</f>
        <v>0</v>
      </c>
      <c r="T1239" s="181" t="b">
        <f>COUNTIF(T1240:T1245,TRUE)&gt;0</f>
        <v>0</v>
      </c>
      <c r="U1239" s="181"/>
    </row>
    <row r="1240" spans="1:21" s="8" customFormat="1" ht="11.25" x14ac:dyDescent="0.2">
      <c r="A1240" s="152">
        <v>20028105</v>
      </c>
      <c r="B1240" s="10" t="s">
        <v>1185</v>
      </c>
      <c r="C1240" s="118" t="s">
        <v>1186</v>
      </c>
      <c r="D1240" s="119" t="s">
        <v>1187</v>
      </c>
      <c r="E1240" s="118" t="s">
        <v>769</v>
      </c>
      <c r="F1240" s="120">
        <v>12</v>
      </c>
      <c r="G1240" s="121">
        <f>Overview!$B$141</f>
        <v>26</v>
      </c>
      <c r="H1240" s="114">
        <f t="shared" ref="H1240:H1245" si="404">G1240-I1240</f>
        <v>26</v>
      </c>
      <c r="I1240" s="114">
        <f>Overview!$E$141</f>
        <v>0</v>
      </c>
      <c r="J1240" s="115">
        <f t="shared" ref="J1240:J1245" si="405">I1240/F1240</f>
        <v>0</v>
      </c>
      <c r="K1240" s="116">
        <f>Overview!$H$141</f>
        <v>0</v>
      </c>
      <c r="L1240" s="117" t="e">
        <f t="shared" ref="L1240:L1245" si="406">(K1240-J1240)/K1240</f>
        <v>#DIV/0!</v>
      </c>
      <c r="M1240" s="179"/>
      <c r="N1240" s="179" t="s">
        <v>1257</v>
      </c>
      <c r="O1240" s="141">
        <f t="shared" ref="O1240:O1245" si="407">I1240</f>
        <v>0</v>
      </c>
      <c r="P1240" s="181" t="b">
        <f>COUNTIF('Facility Data'!$A$1:$A$1500,"*"&amp;A1240&amp;"*")&gt;0</f>
        <v>0</v>
      </c>
      <c r="Q1240" s="181" t="b">
        <f>COUNTIF('Account Data'!$A$1:$A$1000,"*"&amp;A1240&amp;"*")&gt;0</f>
        <v>0</v>
      </c>
      <c r="R1240" s="182" t="b">
        <f t="shared" ref="R1240:R1245" si="408">IF(OR(P1240=TRUE,T1240=TRUE),TRUE,FALSE)</f>
        <v>0</v>
      </c>
      <c r="S1240" s="182" t="b">
        <f t="shared" ref="S1240:S1278" si="409">IF(OR(Q1240=TRUE,T1240=TRUE),TRUE,FALSE)</f>
        <v>0</v>
      </c>
      <c r="T1240" s="181" t="b">
        <f>COUNTIF('New Items'!$A$1:$A$175,A1240)&gt;0</f>
        <v>0</v>
      </c>
      <c r="U1240" s="181" t="b">
        <f>COUNTIF(Discontinued!$A$1:$A$150,A1240)&gt;0</f>
        <v>0</v>
      </c>
    </row>
    <row r="1241" spans="1:21" s="8" customFormat="1" ht="11.25" x14ac:dyDescent="0.2">
      <c r="A1241" s="152">
        <v>20028106</v>
      </c>
      <c r="B1241" s="10" t="s">
        <v>1188</v>
      </c>
      <c r="C1241" s="118" t="s">
        <v>1189</v>
      </c>
      <c r="D1241" s="119" t="s">
        <v>1190</v>
      </c>
      <c r="E1241" s="118" t="s">
        <v>769</v>
      </c>
      <c r="F1241" s="120">
        <v>12</v>
      </c>
      <c r="G1241" s="121">
        <f>Overview!$B$141</f>
        <v>26</v>
      </c>
      <c r="H1241" s="114">
        <f t="shared" si="404"/>
        <v>26</v>
      </c>
      <c r="I1241" s="114">
        <f>Overview!$E$141</f>
        <v>0</v>
      </c>
      <c r="J1241" s="115">
        <f t="shared" si="405"/>
        <v>0</v>
      </c>
      <c r="K1241" s="116">
        <f>Overview!$H$141</f>
        <v>0</v>
      </c>
      <c r="L1241" s="117" t="e">
        <f t="shared" si="406"/>
        <v>#DIV/0!</v>
      </c>
      <c r="M1241" s="179"/>
      <c r="N1241" s="179" t="s">
        <v>1257</v>
      </c>
      <c r="O1241" s="141">
        <f t="shared" si="407"/>
        <v>0</v>
      </c>
      <c r="P1241" s="181" t="b">
        <f>COUNTIF('Facility Data'!$A$1:$A$1500,"*"&amp;A1241&amp;"*")&gt;0</f>
        <v>0</v>
      </c>
      <c r="Q1241" s="181" t="b">
        <f>COUNTIF('Account Data'!$A$1:$A$1000,"*"&amp;A1241&amp;"*")&gt;0</f>
        <v>0</v>
      </c>
      <c r="R1241" s="182" t="b">
        <f t="shared" si="408"/>
        <v>0</v>
      </c>
      <c r="S1241" s="182" t="b">
        <f t="shared" si="409"/>
        <v>0</v>
      </c>
      <c r="T1241" s="181" t="b">
        <f>COUNTIF('New Items'!$A$1:$A$175,A1241)&gt;0</f>
        <v>0</v>
      </c>
      <c r="U1241" s="181" t="b">
        <f>COUNTIF(Discontinued!$A$1:$A$150,A1241)&gt;0</f>
        <v>0</v>
      </c>
    </row>
    <row r="1242" spans="1:21" s="8" customFormat="1" ht="11.25" x14ac:dyDescent="0.2">
      <c r="A1242" s="152">
        <v>20028108</v>
      </c>
      <c r="B1242" s="10" t="s">
        <v>1191</v>
      </c>
      <c r="C1242" s="118" t="s">
        <v>1192</v>
      </c>
      <c r="D1242" s="119" t="s">
        <v>754</v>
      </c>
      <c r="E1242" s="118" t="s">
        <v>769</v>
      </c>
      <c r="F1242" s="120">
        <v>12</v>
      </c>
      <c r="G1242" s="121">
        <f>Overview!$B$141</f>
        <v>26</v>
      </c>
      <c r="H1242" s="114">
        <f t="shared" si="404"/>
        <v>26</v>
      </c>
      <c r="I1242" s="114">
        <f>Overview!$E$141</f>
        <v>0</v>
      </c>
      <c r="J1242" s="115">
        <f t="shared" si="405"/>
        <v>0</v>
      </c>
      <c r="K1242" s="116">
        <f>Overview!$H$141</f>
        <v>0</v>
      </c>
      <c r="L1242" s="117" t="e">
        <f t="shared" si="406"/>
        <v>#DIV/0!</v>
      </c>
      <c r="M1242" s="179"/>
      <c r="N1242" s="179" t="s">
        <v>1257</v>
      </c>
      <c r="O1242" s="141">
        <f t="shared" si="407"/>
        <v>0</v>
      </c>
      <c r="P1242" s="181" t="b">
        <f>COUNTIF('Facility Data'!$A$1:$A$1500,"*"&amp;A1242&amp;"*")&gt;0</f>
        <v>1</v>
      </c>
      <c r="Q1242" s="181" t="b">
        <f>COUNTIF('Account Data'!$A$1:$A$1000,"*"&amp;A1242&amp;"*")&gt;0</f>
        <v>0</v>
      </c>
      <c r="R1242" s="182" t="b">
        <f t="shared" si="408"/>
        <v>1</v>
      </c>
      <c r="S1242" s="182" t="b">
        <f t="shared" si="409"/>
        <v>0</v>
      </c>
      <c r="T1242" s="181" t="b">
        <f>COUNTIF('New Items'!$A$1:$A$175,A1242)&gt;0</f>
        <v>0</v>
      </c>
      <c r="U1242" s="181" t="b">
        <f>COUNTIF(Discontinued!$A$1:$A$150,A1242)&gt;0</f>
        <v>0</v>
      </c>
    </row>
    <row r="1243" spans="1:21" s="8" customFormat="1" ht="11.25" x14ac:dyDescent="0.2">
      <c r="A1243" s="152">
        <v>20028107</v>
      </c>
      <c r="B1243" s="10" t="s">
        <v>1193</v>
      </c>
      <c r="C1243" s="118" t="s">
        <v>1194</v>
      </c>
      <c r="D1243" s="119" t="s">
        <v>1195</v>
      </c>
      <c r="E1243" s="118" t="s">
        <v>769</v>
      </c>
      <c r="F1243" s="120">
        <v>12</v>
      </c>
      <c r="G1243" s="121">
        <f>Overview!$B$141</f>
        <v>26</v>
      </c>
      <c r="H1243" s="114">
        <f t="shared" si="404"/>
        <v>26</v>
      </c>
      <c r="I1243" s="114">
        <f>Overview!$E$141</f>
        <v>0</v>
      </c>
      <c r="J1243" s="115">
        <f t="shared" si="405"/>
        <v>0</v>
      </c>
      <c r="K1243" s="116">
        <f>Overview!$H$141</f>
        <v>0</v>
      </c>
      <c r="L1243" s="117" t="e">
        <f t="shared" si="406"/>
        <v>#DIV/0!</v>
      </c>
      <c r="M1243" s="179"/>
      <c r="N1243" s="179" t="s">
        <v>1257</v>
      </c>
      <c r="O1243" s="141">
        <f t="shared" si="407"/>
        <v>0</v>
      </c>
      <c r="P1243" s="181" t="b">
        <f>COUNTIF('Facility Data'!$A$1:$A$1500,"*"&amp;A1243&amp;"*")&gt;0</f>
        <v>0</v>
      </c>
      <c r="Q1243" s="181" t="b">
        <f>COUNTIF('Account Data'!$A$1:$A$1000,"*"&amp;A1243&amp;"*")&gt;0</f>
        <v>0</v>
      </c>
      <c r="R1243" s="182" t="b">
        <f t="shared" si="408"/>
        <v>0</v>
      </c>
      <c r="S1243" s="182" t="b">
        <f t="shared" si="409"/>
        <v>0</v>
      </c>
      <c r="T1243" s="181" t="b">
        <f>COUNTIF('New Items'!$A$1:$A$175,A1243)&gt;0</f>
        <v>0</v>
      </c>
      <c r="U1243" s="181" t="b">
        <f>COUNTIF(Discontinued!$A$1:$A$150,A1243)&gt;0</f>
        <v>0</v>
      </c>
    </row>
    <row r="1244" spans="1:21" s="8" customFormat="1" ht="11.25" x14ac:dyDescent="0.2">
      <c r="A1244" s="152">
        <v>20028109</v>
      </c>
      <c r="B1244" s="10" t="s">
        <v>1196</v>
      </c>
      <c r="C1244" s="118" t="s">
        <v>1197</v>
      </c>
      <c r="D1244" s="119" t="s">
        <v>1198</v>
      </c>
      <c r="E1244" s="118" t="s">
        <v>769</v>
      </c>
      <c r="F1244" s="120">
        <v>12</v>
      </c>
      <c r="G1244" s="121">
        <f>Overview!$B$141</f>
        <v>26</v>
      </c>
      <c r="H1244" s="114">
        <f t="shared" si="404"/>
        <v>26</v>
      </c>
      <c r="I1244" s="114">
        <f>Overview!$E$141</f>
        <v>0</v>
      </c>
      <c r="J1244" s="115">
        <f t="shared" si="405"/>
        <v>0</v>
      </c>
      <c r="K1244" s="116">
        <f>Overview!$H$141</f>
        <v>0</v>
      </c>
      <c r="L1244" s="117" t="e">
        <f t="shared" si="406"/>
        <v>#DIV/0!</v>
      </c>
      <c r="M1244" s="179"/>
      <c r="N1244" s="179" t="s">
        <v>1257</v>
      </c>
      <c r="O1244" s="141">
        <f t="shared" si="407"/>
        <v>0</v>
      </c>
      <c r="P1244" s="181" t="b">
        <f>COUNTIF('Facility Data'!$A$1:$A$1500,"*"&amp;A1244&amp;"*")&gt;0</f>
        <v>0</v>
      </c>
      <c r="Q1244" s="181" t="b">
        <f>COUNTIF('Account Data'!$A$1:$A$1000,"*"&amp;A1244&amp;"*")&gt;0</f>
        <v>0</v>
      </c>
      <c r="R1244" s="182" t="b">
        <f t="shared" si="408"/>
        <v>0</v>
      </c>
      <c r="S1244" s="182" t="b">
        <f t="shared" si="409"/>
        <v>0</v>
      </c>
      <c r="T1244" s="181" t="b">
        <f>COUNTIF('New Items'!$A$1:$A$175,A1244)&gt;0</f>
        <v>0</v>
      </c>
      <c r="U1244" s="181" t="b">
        <f>COUNTIF(Discontinued!$A$1:$A$150,A1244)&gt;0</f>
        <v>0</v>
      </c>
    </row>
    <row r="1245" spans="1:21" s="8" customFormat="1" ht="12" thickBot="1" x14ac:dyDescent="0.25">
      <c r="A1245" s="152">
        <v>20028116</v>
      </c>
      <c r="B1245" s="10" t="s">
        <v>1199</v>
      </c>
      <c r="C1245" s="118" t="s">
        <v>1200</v>
      </c>
      <c r="D1245" s="119" t="s">
        <v>1201</v>
      </c>
      <c r="E1245" s="118" t="s">
        <v>769</v>
      </c>
      <c r="F1245" s="120">
        <v>12</v>
      </c>
      <c r="G1245" s="121">
        <f>Overview!$B$141</f>
        <v>26</v>
      </c>
      <c r="H1245" s="114">
        <f t="shared" si="404"/>
        <v>26</v>
      </c>
      <c r="I1245" s="114">
        <f>Overview!$E$141</f>
        <v>0</v>
      </c>
      <c r="J1245" s="115">
        <f t="shared" si="405"/>
        <v>0</v>
      </c>
      <c r="K1245" s="116">
        <f>Overview!$H$141</f>
        <v>0</v>
      </c>
      <c r="L1245" s="117" t="e">
        <f t="shared" si="406"/>
        <v>#DIV/0!</v>
      </c>
      <c r="M1245" s="179"/>
      <c r="N1245" s="179" t="s">
        <v>1257</v>
      </c>
      <c r="O1245" s="141">
        <f t="shared" si="407"/>
        <v>0</v>
      </c>
      <c r="P1245" s="181" t="b">
        <f>COUNTIF('Facility Data'!$A$1:$A$1500,"*"&amp;A1245&amp;"*")&gt;0</f>
        <v>0</v>
      </c>
      <c r="Q1245" s="181" t="b">
        <f>COUNTIF('Account Data'!$A$1:$A$1000,"*"&amp;A1245&amp;"*")&gt;0</f>
        <v>0</v>
      </c>
      <c r="R1245" s="182" t="b">
        <f t="shared" si="408"/>
        <v>0</v>
      </c>
      <c r="S1245" s="182" t="b">
        <f t="shared" si="409"/>
        <v>0</v>
      </c>
      <c r="T1245" s="181" t="b">
        <f>COUNTIF('New Items'!$A$1:$A$175,A1245)&gt;0</f>
        <v>0</v>
      </c>
      <c r="U1245" s="181" t="b">
        <f>COUNTIF(Discontinued!$A$1:$A$150,A1245)&gt;0</f>
        <v>0</v>
      </c>
    </row>
    <row r="1246" spans="1:21" s="8" customFormat="1" ht="13.5" thickBot="1" x14ac:dyDescent="0.25">
      <c r="A1246" s="300" t="s">
        <v>4076</v>
      </c>
      <c r="B1246" s="301"/>
      <c r="C1246" s="301"/>
      <c r="D1246" s="301"/>
      <c r="E1246" s="301"/>
      <c r="F1246" s="301"/>
      <c r="G1246" s="301"/>
      <c r="H1246" s="301"/>
      <c r="I1246" s="301"/>
      <c r="J1246" s="301"/>
      <c r="K1246" s="301"/>
      <c r="L1246" s="302"/>
      <c r="M1246" s="179" t="s">
        <v>4361</v>
      </c>
      <c r="N1246" s="179" t="s">
        <v>1258</v>
      </c>
      <c r="O1246" s="141">
        <f>AVERAGE(O1247:O1251)</f>
        <v>0</v>
      </c>
      <c r="P1246" s="181" t="b">
        <f>COUNTIF(P1247:P1251,TRUE)&gt;0</f>
        <v>0</v>
      </c>
      <c r="Q1246" s="181" t="b">
        <f>COUNTIF(Q1247:Q1251,TRUE)&gt;0</f>
        <v>0</v>
      </c>
      <c r="R1246" s="181" t="b">
        <f>COUNTIF(R1247:R1251,TRUE)&gt;0</f>
        <v>0</v>
      </c>
      <c r="S1246" s="181" t="b">
        <f>COUNTIF(S1247:S1251,TRUE)&gt;0</f>
        <v>0</v>
      </c>
      <c r="T1246" s="181" t="b">
        <f>COUNTIF(T1247:T1251,TRUE)&gt;0</f>
        <v>0</v>
      </c>
      <c r="U1246" s="181"/>
    </row>
    <row r="1247" spans="1:21" s="8" customFormat="1" ht="11.25" x14ac:dyDescent="0.2">
      <c r="A1247" s="152">
        <v>20028278</v>
      </c>
      <c r="B1247" s="231" t="s">
        <v>4071</v>
      </c>
      <c r="C1247" s="118" t="s">
        <v>1202</v>
      </c>
      <c r="D1247" s="119" t="s">
        <v>1203</v>
      </c>
      <c r="E1247" s="118" t="s">
        <v>1204</v>
      </c>
      <c r="F1247" s="120">
        <v>12</v>
      </c>
      <c r="G1247" s="121">
        <f>Overview!$B$142</f>
        <v>36</v>
      </c>
      <c r="H1247" s="114">
        <f>G1247-I1247</f>
        <v>36</v>
      </c>
      <c r="I1247" s="114">
        <f>Overview!$E$142</f>
        <v>0</v>
      </c>
      <c r="J1247" s="115">
        <f>I1247/F1247</f>
        <v>0</v>
      </c>
      <c r="K1247" s="116">
        <f>Overview!$H$142</f>
        <v>0</v>
      </c>
      <c r="L1247" s="117" t="e">
        <f>(K1247-J1247)/K1247</f>
        <v>#DIV/0!</v>
      </c>
      <c r="M1247" s="179"/>
      <c r="N1247" s="179" t="s">
        <v>1258</v>
      </c>
      <c r="O1247" s="141">
        <f>I1247</f>
        <v>0</v>
      </c>
      <c r="P1247" s="181" t="b">
        <f>COUNTIF('Facility Data'!$A$1:$A$1500,"*"&amp;A1247&amp;"*")&gt;0</f>
        <v>0</v>
      </c>
      <c r="Q1247" s="181" t="b">
        <f>COUNTIF('Account Data'!$A$1:$A$1000,"*"&amp;A1247&amp;"*")&gt;0</f>
        <v>0</v>
      </c>
      <c r="R1247" s="182" t="b">
        <f>IF(OR(P1247=TRUE,T1247=TRUE),TRUE,FALSE)</f>
        <v>0</v>
      </c>
      <c r="S1247" s="182" t="b">
        <f t="shared" si="409"/>
        <v>0</v>
      </c>
      <c r="T1247" s="181" t="b">
        <f>COUNTIF('New Items'!$A$1:$A$175,A1247)&gt;0</f>
        <v>0</v>
      </c>
      <c r="U1247" s="181" t="b">
        <f>COUNTIF(Discontinued!$A$1:$A$150,A1247)&gt;0</f>
        <v>0</v>
      </c>
    </row>
    <row r="1248" spans="1:21" s="8" customFormat="1" ht="11.25" x14ac:dyDescent="0.2">
      <c r="A1248" s="152">
        <v>20028280</v>
      </c>
      <c r="B1248" s="231" t="s">
        <v>4073</v>
      </c>
      <c r="C1248" s="118" t="s">
        <v>1207</v>
      </c>
      <c r="D1248" s="119" t="s">
        <v>1208</v>
      </c>
      <c r="E1248" s="118" t="s">
        <v>1204</v>
      </c>
      <c r="F1248" s="120">
        <v>12</v>
      </c>
      <c r="G1248" s="121">
        <f>Overview!$B$142</f>
        <v>36</v>
      </c>
      <c r="H1248" s="114">
        <f>G1248-I1248</f>
        <v>36</v>
      </c>
      <c r="I1248" s="114">
        <f>Overview!$E$142</f>
        <v>0</v>
      </c>
      <c r="J1248" s="115">
        <f>I1248/F1248</f>
        <v>0</v>
      </c>
      <c r="K1248" s="116">
        <f>Overview!$H$142</f>
        <v>0</v>
      </c>
      <c r="L1248" s="117" t="e">
        <f>(K1248-J1248)/K1248</f>
        <v>#DIV/0!</v>
      </c>
      <c r="M1248" s="179"/>
      <c r="N1248" s="179" t="s">
        <v>1258</v>
      </c>
      <c r="O1248" s="141">
        <f>I1248</f>
        <v>0</v>
      </c>
      <c r="P1248" s="181" t="b">
        <f>COUNTIF('Facility Data'!$A$1:$A$1500,"*"&amp;A1248&amp;"*")&gt;0</f>
        <v>0</v>
      </c>
      <c r="Q1248" s="181" t="b">
        <f>COUNTIF('Account Data'!$A$1:$A$1000,"*"&amp;A1248&amp;"*")&gt;0</f>
        <v>0</v>
      </c>
      <c r="R1248" s="182" t="b">
        <f>IF(OR(P1248=TRUE,T1248=TRUE),TRUE,FALSE)</f>
        <v>0</v>
      </c>
      <c r="S1248" s="182" t="b">
        <f>IF(OR(Q1248=TRUE,T1248=TRUE),TRUE,FALSE)</f>
        <v>0</v>
      </c>
      <c r="T1248" s="181" t="b">
        <f>COUNTIF('New Items'!$A$1:$A$175,A1248)&gt;0</f>
        <v>0</v>
      </c>
      <c r="U1248" s="181" t="b">
        <f>COUNTIF(Discontinued!$A$1:$A$150,A1248)&gt;0</f>
        <v>0</v>
      </c>
    </row>
    <row r="1249" spans="1:21" s="8" customFormat="1" ht="11.25" x14ac:dyDescent="0.2">
      <c r="A1249" s="152">
        <v>20028279</v>
      </c>
      <c r="B1249" s="231" t="s">
        <v>4072</v>
      </c>
      <c r="C1249" s="118" t="s">
        <v>1205</v>
      </c>
      <c r="D1249" s="119" t="s">
        <v>1206</v>
      </c>
      <c r="E1249" s="118" t="s">
        <v>1204</v>
      </c>
      <c r="F1249" s="120">
        <v>12</v>
      </c>
      <c r="G1249" s="121">
        <f>Overview!$B$142</f>
        <v>36</v>
      </c>
      <c r="H1249" s="114">
        <f>G1249-I1249</f>
        <v>36</v>
      </c>
      <c r="I1249" s="114">
        <f>Overview!$E$142</f>
        <v>0</v>
      </c>
      <c r="J1249" s="115">
        <f>I1249/F1249</f>
        <v>0</v>
      </c>
      <c r="K1249" s="116">
        <f>Overview!$H$142</f>
        <v>0</v>
      </c>
      <c r="L1249" s="117" t="e">
        <f>(K1249-J1249)/K1249</f>
        <v>#DIV/0!</v>
      </c>
      <c r="M1249" s="179"/>
      <c r="N1249" s="179" t="s">
        <v>1258</v>
      </c>
      <c r="O1249" s="141">
        <f>I1249</f>
        <v>0</v>
      </c>
      <c r="P1249" s="181" t="b">
        <f>COUNTIF('Facility Data'!$A$1:$A$1500,"*"&amp;A1249&amp;"*")&gt;0</f>
        <v>0</v>
      </c>
      <c r="Q1249" s="181" t="b">
        <f>COUNTIF('Account Data'!$A$1:$A$1000,"*"&amp;A1249&amp;"*")&gt;0</f>
        <v>0</v>
      </c>
      <c r="R1249" s="182" t="b">
        <f>IF(OR(P1249=TRUE,T1249=TRUE),TRUE,FALSE)</f>
        <v>0</v>
      </c>
      <c r="S1249" s="182" t="b">
        <f>IF(OR(Q1249=TRUE,T1249=TRUE),TRUE,FALSE)</f>
        <v>0</v>
      </c>
      <c r="T1249" s="181" t="b">
        <f>COUNTIF('New Items'!$A$1:$A$175,A1249)&gt;0</f>
        <v>0</v>
      </c>
      <c r="U1249" s="181" t="b">
        <f>COUNTIF(Discontinued!$A$1:$A$150,A1249)&gt;0</f>
        <v>0</v>
      </c>
    </row>
    <row r="1250" spans="1:21" s="8" customFormat="1" ht="11.25" x14ac:dyDescent="0.2">
      <c r="A1250" s="152" t="s">
        <v>1248</v>
      </c>
      <c r="B1250" s="231" t="s">
        <v>4074</v>
      </c>
      <c r="C1250" s="118" t="s">
        <v>3987</v>
      </c>
      <c r="D1250" s="119" t="s">
        <v>3985</v>
      </c>
      <c r="E1250" s="118" t="s">
        <v>1204</v>
      </c>
      <c r="F1250" s="120">
        <v>12</v>
      </c>
      <c r="G1250" s="121">
        <f>Overview!$B$142</f>
        <v>36</v>
      </c>
      <c r="H1250" s="114">
        <f>G1250-I1250</f>
        <v>36</v>
      </c>
      <c r="I1250" s="114">
        <f>Overview!$E$142</f>
        <v>0</v>
      </c>
      <c r="J1250" s="115">
        <f>I1250/F1250</f>
        <v>0</v>
      </c>
      <c r="K1250" s="116">
        <f>Overview!$H$142</f>
        <v>0</v>
      </c>
      <c r="L1250" s="117" t="e">
        <f>(K1250-J1250)/K1250</f>
        <v>#DIV/0!</v>
      </c>
      <c r="M1250" s="179"/>
      <c r="N1250" s="179" t="s">
        <v>1258</v>
      </c>
      <c r="O1250" s="141">
        <f>I1250</f>
        <v>0</v>
      </c>
      <c r="P1250" s="181" t="b">
        <f>COUNTIF('Facility Data'!$A$1:$A$1500,"*"&amp;A1250&amp;"*")&gt;0</f>
        <v>0</v>
      </c>
      <c r="Q1250" s="181" t="b">
        <f>COUNTIF('Account Data'!$A$1:$A$1000,"*"&amp;A1250&amp;"*")&gt;0</f>
        <v>0</v>
      </c>
      <c r="R1250" s="182" t="b">
        <f>IF(OR(P1250=TRUE,T1250=TRUE),TRUE,FALSE)</f>
        <v>0</v>
      </c>
      <c r="S1250" s="182" t="b">
        <f t="shared" si="409"/>
        <v>0</v>
      </c>
      <c r="T1250" s="181" t="b">
        <f>COUNTIF('New Items'!$A$1:$A$175,A1250)&gt;0</f>
        <v>0</v>
      </c>
      <c r="U1250" s="181" t="b">
        <f>COUNTIF(Discontinued!$A$1:$A$150,A1250)&gt;0</f>
        <v>0</v>
      </c>
    </row>
    <row r="1251" spans="1:21" s="8" customFormat="1" ht="12" thickBot="1" x14ac:dyDescent="0.25">
      <c r="A1251" s="152" t="s">
        <v>1248</v>
      </c>
      <c r="B1251" s="231" t="s">
        <v>4075</v>
      </c>
      <c r="C1251" s="118" t="s">
        <v>3988</v>
      </c>
      <c r="D1251" s="119" t="s">
        <v>3986</v>
      </c>
      <c r="E1251" s="118" t="s">
        <v>1204</v>
      </c>
      <c r="F1251" s="120">
        <v>12</v>
      </c>
      <c r="G1251" s="121">
        <f>Overview!$B$142</f>
        <v>36</v>
      </c>
      <c r="H1251" s="114">
        <f>G1251-I1251</f>
        <v>36</v>
      </c>
      <c r="I1251" s="114">
        <f>Overview!$E$142</f>
        <v>0</v>
      </c>
      <c r="J1251" s="115">
        <f>I1251/F1251</f>
        <v>0</v>
      </c>
      <c r="K1251" s="116">
        <f>Overview!$H$142</f>
        <v>0</v>
      </c>
      <c r="L1251" s="117" t="e">
        <f>(K1251-J1251)/K1251</f>
        <v>#DIV/0!</v>
      </c>
      <c r="M1251" s="179"/>
      <c r="N1251" s="179" t="s">
        <v>1258</v>
      </c>
      <c r="O1251" s="141">
        <f>I1251</f>
        <v>0</v>
      </c>
      <c r="P1251" s="181" t="b">
        <f>COUNTIF('Facility Data'!$A$1:$A$1500,"*"&amp;A1251&amp;"*")&gt;0</f>
        <v>0</v>
      </c>
      <c r="Q1251" s="181" t="b">
        <f>COUNTIF('Account Data'!$A$1:$A$1000,"*"&amp;A1251&amp;"*")&gt;0</f>
        <v>0</v>
      </c>
      <c r="R1251" s="182" t="b">
        <f>IF(OR(P1251=TRUE,T1251=TRUE),TRUE,FALSE)</f>
        <v>0</v>
      </c>
      <c r="S1251" s="182" t="b">
        <f t="shared" si="409"/>
        <v>0</v>
      </c>
      <c r="T1251" s="181" t="b">
        <f>COUNTIF('New Items'!$A$1:$A$175,A1251)&gt;0</f>
        <v>0</v>
      </c>
      <c r="U1251" s="181" t="b">
        <f>COUNTIF(Discontinued!$A$1:$A$150,A1251)&gt;0</f>
        <v>0</v>
      </c>
    </row>
    <row r="1252" spans="1:21" s="8" customFormat="1" ht="13.5" thickBot="1" x14ac:dyDescent="0.25">
      <c r="A1252" s="300" t="s">
        <v>3430</v>
      </c>
      <c r="B1252" s="301"/>
      <c r="C1252" s="301"/>
      <c r="D1252" s="301"/>
      <c r="E1252" s="301"/>
      <c r="F1252" s="301"/>
      <c r="G1252" s="301"/>
      <c r="H1252" s="301"/>
      <c r="I1252" s="301"/>
      <c r="J1252" s="301"/>
      <c r="K1252" s="301"/>
      <c r="L1252" s="302"/>
      <c r="M1252" s="179" t="s">
        <v>4361</v>
      </c>
      <c r="N1252" s="179" t="s">
        <v>3431</v>
      </c>
      <c r="O1252" s="141">
        <f>AVERAGE(O1253:O1263)</f>
        <v>0</v>
      </c>
      <c r="P1252" s="181" t="b">
        <f>COUNTIF(P1253:P1263,TRUE)&gt;0</f>
        <v>1</v>
      </c>
      <c r="Q1252" s="181" t="b">
        <f>COUNTIF(Q1253:Q1263,TRUE)&gt;0</f>
        <v>1</v>
      </c>
      <c r="R1252" s="181" t="b">
        <f>COUNTIF(R1253:R1263,TRUE)&gt;0</f>
        <v>1</v>
      </c>
      <c r="S1252" s="181" t="b">
        <f>COUNTIF(S1253:S1263,TRUE)&gt;0</f>
        <v>1</v>
      </c>
      <c r="T1252" s="181" t="b">
        <f>COUNTIF(T1253:T1263,TRUE)&gt;0</f>
        <v>0</v>
      </c>
      <c r="U1252" s="181"/>
    </row>
    <row r="1253" spans="1:21" s="8" customFormat="1" ht="11.25" x14ac:dyDescent="0.2">
      <c r="A1253" s="152">
        <v>20000453</v>
      </c>
      <c r="B1253" s="9" t="s">
        <v>582</v>
      </c>
      <c r="C1253" s="14" t="s">
        <v>617</v>
      </c>
      <c r="D1253" s="11" t="s">
        <v>1164</v>
      </c>
      <c r="E1253" s="14" t="s">
        <v>762</v>
      </c>
      <c r="F1253" s="13">
        <v>12</v>
      </c>
      <c r="G1253" s="121">
        <f>Overview!$B$145</f>
        <v>20</v>
      </c>
      <c r="H1253" s="23">
        <f t="shared" ref="H1253:H1261" si="410">G1253-I1253</f>
        <v>20</v>
      </c>
      <c r="I1253" s="114">
        <f>Overview!$E$145</f>
        <v>0</v>
      </c>
      <c r="J1253" s="24">
        <f t="shared" ref="J1253:J1261" si="411">I1253/F1253</f>
        <v>0</v>
      </c>
      <c r="K1253" s="116">
        <f>Overview!$H$145</f>
        <v>0</v>
      </c>
      <c r="L1253" s="51" t="e">
        <f t="shared" ref="L1253:L1263" si="412">(K1253-J1253)/K1253</f>
        <v>#DIV/0!</v>
      </c>
      <c r="M1253" s="179"/>
      <c r="N1253" s="179" t="s">
        <v>993</v>
      </c>
      <c r="O1253" s="141">
        <f t="shared" ref="O1253:O1261" si="413">I1253</f>
        <v>0</v>
      </c>
      <c r="P1253" s="181" t="b">
        <f>COUNTIF('Facility Data'!$A$1:$A$1500,"*"&amp;A1253&amp;"*")&gt;0</f>
        <v>1</v>
      </c>
      <c r="Q1253" s="181" t="b">
        <f>COUNTIF('Account Data'!$A$1:$A$1000,"*"&amp;A1253&amp;"*")&gt;0</f>
        <v>0</v>
      </c>
      <c r="R1253" s="182" t="b">
        <f t="shared" ref="R1253:R1263" si="414">IF(OR(P1253=TRUE,T1253=TRUE),TRUE,FALSE)</f>
        <v>1</v>
      </c>
      <c r="S1253" s="182" t="b">
        <f t="shared" ref="S1253:S1259" si="415">IF(OR(Q1253=TRUE,T1253=TRUE),TRUE,FALSE)</f>
        <v>0</v>
      </c>
      <c r="T1253" s="181" t="b">
        <f>COUNTIF('New Items'!$A$1:$A$175,A1253)&gt;0</f>
        <v>0</v>
      </c>
      <c r="U1253" s="181" t="b">
        <f>COUNTIF(Discontinued!$A$1:$A$150,A1253)&gt;0</f>
        <v>0</v>
      </c>
    </row>
    <row r="1254" spans="1:21" s="8" customFormat="1" ht="11.25" x14ac:dyDescent="0.2">
      <c r="A1254" s="152">
        <v>20029715</v>
      </c>
      <c r="B1254" s="9" t="s">
        <v>3782</v>
      </c>
      <c r="C1254" s="14" t="s">
        <v>3783</v>
      </c>
      <c r="D1254" s="11" t="s">
        <v>1161</v>
      </c>
      <c r="E1254" s="14" t="s">
        <v>762</v>
      </c>
      <c r="F1254" s="13">
        <v>12</v>
      </c>
      <c r="G1254" s="121">
        <f>Overview!$B$145</f>
        <v>20</v>
      </c>
      <c r="H1254" s="23">
        <f>G1254-I1254</f>
        <v>20</v>
      </c>
      <c r="I1254" s="114">
        <f>Overview!$E$145</f>
        <v>0</v>
      </c>
      <c r="J1254" s="24">
        <f>I1254/F1254</f>
        <v>0</v>
      </c>
      <c r="K1254" s="116">
        <f>Overview!$H$145</f>
        <v>0</v>
      </c>
      <c r="L1254" s="51" t="e">
        <f t="shared" si="412"/>
        <v>#DIV/0!</v>
      </c>
      <c r="M1254" s="179"/>
      <c r="N1254" s="179" t="s">
        <v>993</v>
      </c>
      <c r="O1254" s="141">
        <f>I1254</f>
        <v>0</v>
      </c>
      <c r="P1254" s="181" t="b">
        <f>COUNTIF('Facility Data'!$A$1:$A$1500,"*"&amp;A1254&amp;"*")&gt;0</f>
        <v>0</v>
      </c>
      <c r="Q1254" s="181" t="b">
        <f>COUNTIF('Account Data'!$A$1:$A$1000,"*"&amp;A1254&amp;"*")&gt;0</f>
        <v>0</v>
      </c>
      <c r="R1254" s="182" t="b">
        <f t="shared" si="414"/>
        <v>0</v>
      </c>
      <c r="S1254" s="182" t="b">
        <f t="shared" si="415"/>
        <v>0</v>
      </c>
      <c r="T1254" s="181" t="b">
        <f>COUNTIF('New Items'!$A$1:$A$175,A1254)&gt;0</f>
        <v>0</v>
      </c>
      <c r="U1254" s="181" t="b">
        <f>COUNTIF(Discontinued!$A$1:$A$150,A1254)&gt;0</f>
        <v>0</v>
      </c>
    </row>
    <row r="1255" spans="1:21" s="8" customFormat="1" ht="11.25" x14ac:dyDescent="0.2">
      <c r="A1255" s="152">
        <v>20000642</v>
      </c>
      <c r="B1255" s="9" t="s">
        <v>583</v>
      </c>
      <c r="C1255" s="14" t="s">
        <v>612</v>
      </c>
      <c r="D1255" s="11" t="s">
        <v>1164</v>
      </c>
      <c r="E1255" s="14" t="s">
        <v>774</v>
      </c>
      <c r="F1255" s="13">
        <v>12</v>
      </c>
      <c r="G1255" s="121">
        <f>Overview!$B$146</f>
        <v>30</v>
      </c>
      <c r="H1255" s="23">
        <f t="shared" si="410"/>
        <v>30</v>
      </c>
      <c r="I1255" s="114">
        <f>Overview!$E$146</f>
        <v>0</v>
      </c>
      <c r="J1255" s="24">
        <f t="shared" si="411"/>
        <v>0</v>
      </c>
      <c r="K1255" s="116">
        <f>Overview!$H$146</f>
        <v>0</v>
      </c>
      <c r="L1255" s="51" t="e">
        <f t="shared" si="412"/>
        <v>#DIV/0!</v>
      </c>
      <c r="M1255" s="179"/>
      <c r="N1255" s="179" t="s">
        <v>992</v>
      </c>
      <c r="O1255" s="141">
        <f t="shared" si="413"/>
        <v>0</v>
      </c>
      <c r="P1255" s="181" t="b">
        <f>COUNTIF('Facility Data'!$A$1:$A$1500,"*"&amp;A1255&amp;"*")&gt;0</f>
        <v>1</v>
      </c>
      <c r="Q1255" s="181" t="b">
        <f>COUNTIF('Account Data'!$A$1:$A$1000,"*"&amp;A1255&amp;"*")&gt;0</f>
        <v>1</v>
      </c>
      <c r="R1255" s="182" t="b">
        <f t="shared" si="414"/>
        <v>1</v>
      </c>
      <c r="S1255" s="182" t="b">
        <f t="shared" si="415"/>
        <v>1</v>
      </c>
      <c r="T1255" s="181" t="b">
        <f>COUNTIF('New Items'!$A$1:$A$175,A1255)&gt;0</f>
        <v>0</v>
      </c>
      <c r="U1255" s="181" t="b">
        <f>COUNTIF(Discontinued!$A$1:$A$150,A1255)&gt;0</f>
        <v>0</v>
      </c>
    </row>
    <row r="1256" spans="1:21" s="8" customFormat="1" ht="11.25" x14ac:dyDescent="0.2">
      <c r="A1256" s="152">
        <v>20026703</v>
      </c>
      <c r="B1256" s="9" t="s">
        <v>3348</v>
      </c>
      <c r="C1256" s="15" t="s">
        <v>874</v>
      </c>
      <c r="D1256" s="11" t="s">
        <v>1161</v>
      </c>
      <c r="E1256" s="14" t="s">
        <v>774</v>
      </c>
      <c r="F1256" s="13">
        <v>12</v>
      </c>
      <c r="G1256" s="121">
        <f>Overview!$B$146</f>
        <v>30</v>
      </c>
      <c r="H1256" s="23">
        <f t="shared" si="410"/>
        <v>30</v>
      </c>
      <c r="I1256" s="114">
        <f>Overview!$E$146</f>
        <v>0</v>
      </c>
      <c r="J1256" s="24">
        <f t="shared" si="411"/>
        <v>0</v>
      </c>
      <c r="K1256" s="116">
        <f>Overview!$H$146</f>
        <v>0</v>
      </c>
      <c r="L1256" s="51" t="e">
        <f t="shared" si="412"/>
        <v>#DIV/0!</v>
      </c>
      <c r="M1256" s="179"/>
      <c r="N1256" s="179" t="s">
        <v>992</v>
      </c>
      <c r="O1256" s="141">
        <f t="shared" si="413"/>
        <v>0</v>
      </c>
      <c r="P1256" s="181" t="b">
        <f>COUNTIF('Facility Data'!$A$1:$A$1500,"*"&amp;A1256&amp;"*")&gt;0</f>
        <v>1</v>
      </c>
      <c r="Q1256" s="181" t="b">
        <f>COUNTIF('Account Data'!$A$1:$A$1000,"*"&amp;A1256&amp;"*")&gt;0</f>
        <v>1</v>
      </c>
      <c r="R1256" s="182" t="b">
        <f t="shared" si="414"/>
        <v>1</v>
      </c>
      <c r="S1256" s="182" t="b">
        <f t="shared" si="415"/>
        <v>1</v>
      </c>
      <c r="T1256" s="181" t="b">
        <f>COUNTIF('New Items'!$A$1:$A$175,A1256)&gt;0</f>
        <v>0</v>
      </c>
      <c r="U1256" s="181" t="b">
        <f>COUNTIF(Discontinued!$A$1:$A$150,A1256)&gt;0</f>
        <v>0</v>
      </c>
    </row>
    <row r="1257" spans="1:21" s="8" customFormat="1" ht="11.25" x14ac:dyDescent="0.2">
      <c r="A1257" s="152">
        <v>20000643</v>
      </c>
      <c r="B1257" s="9" t="s">
        <v>585</v>
      </c>
      <c r="C1257" s="14" t="s">
        <v>613</v>
      </c>
      <c r="D1257" s="11" t="s">
        <v>754</v>
      </c>
      <c r="E1257" s="14" t="s">
        <v>774</v>
      </c>
      <c r="F1257" s="13">
        <v>12</v>
      </c>
      <c r="G1257" s="121">
        <f>Overview!$B$146</f>
        <v>30</v>
      </c>
      <c r="H1257" s="23">
        <f t="shared" si="410"/>
        <v>30</v>
      </c>
      <c r="I1257" s="114">
        <f>Overview!$E$146</f>
        <v>0</v>
      </c>
      <c r="J1257" s="24">
        <f t="shared" si="411"/>
        <v>0</v>
      </c>
      <c r="K1257" s="116">
        <f>Overview!$H$146</f>
        <v>0</v>
      </c>
      <c r="L1257" s="51" t="e">
        <f t="shared" si="412"/>
        <v>#DIV/0!</v>
      </c>
      <c r="M1257" s="179"/>
      <c r="N1257" s="179" t="s">
        <v>992</v>
      </c>
      <c r="O1257" s="141">
        <f t="shared" si="413"/>
        <v>0</v>
      </c>
      <c r="P1257" s="181" t="b">
        <f>COUNTIF('Facility Data'!$A$1:$A$1500,"*"&amp;A1257&amp;"*")&gt;0</f>
        <v>1</v>
      </c>
      <c r="Q1257" s="181" t="b">
        <f>COUNTIF('Account Data'!$A$1:$A$1000,"*"&amp;A1257&amp;"*")&gt;0</f>
        <v>1</v>
      </c>
      <c r="R1257" s="182" t="b">
        <f t="shared" si="414"/>
        <v>1</v>
      </c>
      <c r="S1257" s="182" t="b">
        <f t="shared" si="415"/>
        <v>1</v>
      </c>
      <c r="T1257" s="181" t="b">
        <f>COUNTIF('New Items'!$A$1:$A$175,A1257)&gt;0</f>
        <v>0</v>
      </c>
      <c r="U1257" s="181" t="b">
        <f>COUNTIF(Discontinued!$A$1:$A$150,A1257)&gt;0</f>
        <v>0</v>
      </c>
    </row>
    <row r="1258" spans="1:21" s="8" customFormat="1" ht="11.25" x14ac:dyDescent="0.2">
      <c r="A1258" s="152">
        <v>20000644</v>
      </c>
      <c r="B1258" s="9" t="s">
        <v>586</v>
      </c>
      <c r="C1258" s="14" t="s">
        <v>614</v>
      </c>
      <c r="D1258" s="11" t="s">
        <v>755</v>
      </c>
      <c r="E1258" s="14" t="s">
        <v>774</v>
      </c>
      <c r="F1258" s="13">
        <v>12</v>
      </c>
      <c r="G1258" s="121">
        <f>Overview!$B$146</f>
        <v>30</v>
      </c>
      <c r="H1258" s="23">
        <f t="shared" si="410"/>
        <v>30</v>
      </c>
      <c r="I1258" s="114">
        <f>Overview!$E$146</f>
        <v>0</v>
      </c>
      <c r="J1258" s="24">
        <f t="shared" si="411"/>
        <v>0</v>
      </c>
      <c r="K1258" s="116">
        <f>Overview!$H$146</f>
        <v>0</v>
      </c>
      <c r="L1258" s="51" t="e">
        <f t="shared" si="412"/>
        <v>#DIV/0!</v>
      </c>
      <c r="M1258" s="179"/>
      <c r="N1258" s="179" t="s">
        <v>992</v>
      </c>
      <c r="O1258" s="141">
        <f t="shared" si="413"/>
        <v>0</v>
      </c>
      <c r="P1258" s="181" t="b">
        <f>COUNTIF('Facility Data'!$A$1:$A$1500,"*"&amp;A1258&amp;"*")&gt;0</f>
        <v>1</v>
      </c>
      <c r="Q1258" s="181" t="b">
        <f>COUNTIF('Account Data'!$A$1:$A$1000,"*"&amp;A1258&amp;"*")&gt;0</f>
        <v>1</v>
      </c>
      <c r="R1258" s="182" t="b">
        <f t="shared" si="414"/>
        <v>1</v>
      </c>
      <c r="S1258" s="182" t="b">
        <f t="shared" si="415"/>
        <v>1</v>
      </c>
      <c r="T1258" s="181" t="b">
        <f>COUNTIF('New Items'!$A$1:$A$175,A1258)&gt;0</f>
        <v>0</v>
      </c>
      <c r="U1258" s="181" t="b">
        <f>COUNTIF(Discontinued!$A$1:$A$150,A1258)&gt;0</f>
        <v>0</v>
      </c>
    </row>
    <row r="1259" spans="1:21" s="8" customFormat="1" ht="11.25" x14ac:dyDescent="0.2">
      <c r="A1259" s="152">
        <v>20025411</v>
      </c>
      <c r="B1259" s="9" t="s">
        <v>584</v>
      </c>
      <c r="C1259" s="15" t="s">
        <v>621</v>
      </c>
      <c r="D1259" s="11" t="s">
        <v>753</v>
      </c>
      <c r="E1259" s="14" t="s">
        <v>774</v>
      </c>
      <c r="F1259" s="13">
        <v>12</v>
      </c>
      <c r="G1259" s="121">
        <f>Overview!$B$146</f>
        <v>30</v>
      </c>
      <c r="H1259" s="23">
        <f t="shared" si="410"/>
        <v>30</v>
      </c>
      <c r="I1259" s="114">
        <f>Overview!$E$146</f>
        <v>0</v>
      </c>
      <c r="J1259" s="24">
        <f t="shared" si="411"/>
        <v>0</v>
      </c>
      <c r="K1259" s="116">
        <f>Overview!$H$146</f>
        <v>0</v>
      </c>
      <c r="L1259" s="51" t="e">
        <f t="shared" si="412"/>
        <v>#DIV/0!</v>
      </c>
      <c r="M1259" s="179"/>
      <c r="N1259" s="179" t="s">
        <v>992</v>
      </c>
      <c r="O1259" s="141">
        <f t="shared" si="413"/>
        <v>0</v>
      </c>
      <c r="P1259" s="181" t="b">
        <f>COUNTIF('Facility Data'!$A$1:$A$1500,"*"&amp;A1259&amp;"*")&gt;0</f>
        <v>0</v>
      </c>
      <c r="Q1259" s="181" t="b">
        <f>COUNTIF('Account Data'!$A$1:$A$1000,"*"&amp;A1259&amp;"*")&gt;0</f>
        <v>1</v>
      </c>
      <c r="R1259" s="182" t="b">
        <f t="shared" si="414"/>
        <v>0</v>
      </c>
      <c r="S1259" s="182" t="b">
        <f t="shared" si="415"/>
        <v>1</v>
      </c>
      <c r="T1259" s="181" t="b">
        <f>COUNTIF('New Items'!$A$1:$A$175,A1259)&gt;0</f>
        <v>0</v>
      </c>
      <c r="U1259" s="181" t="b">
        <f>COUNTIF(Discontinued!$A$1:$A$150,A1259)&gt;0</f>
        <v>0</v>
      </c>
    </row>
    <row r="1260" spans="1:21" s="8" customFormat="1" ht="11.25" x14ac:dyDescent="0.2">
      <c r="A1260" s="152">
        <v>20000631</v>
      </c>
      <c r="B1260" s="9" t="s">
        <v>587</v>
      </c>
      <c r="C1260" s="124" t="s">
        <v>605</v>
      </c>
      <c r="D1260" s="119" t="s">
        <v>1164</v>
      </c>
      <c r="E1260" s="124" t="s">
        <v>761</v>
      </c>
      <c r="F1260" s="120">
        <v>12</v>
      </c>
      <c r="G1260" s="121">
        <f>Overview!$B$147</f>
        <v>52</v>
      </c>
      <c r="H1260" s="114">
        <f t="shared" si="410"/>
        <v>52</v>
      </c>
      <c r="I1260" s="114">
        <f>Overview!$E$147</f>
        <v>0</v>
      </c>
      <c r="J1260" s="115">
        <f t="shared" si="411"/>
        <v>0</v>
      </c>
      <c r="K1260" s="116">
        <f>Overview!$H$147</f>
        <v>0</v>
      </c>
      <c r="L1260" s="117" t="e">
        <f t="shared" si="412"/>
        <v>#DIV/0!</v>
      </c>
      <c r="M1260" s="179"/>
      <c r="N1260" s="179" t="s">
        <v>991</v>
      </c>
      <c r="O1260" s="141">
        <f t="shared" si="413"/>
        <v>0</v>
      </c>
      <c r="P1260" s="181" t="b">
        <f>COUNTIF('Facility Data'!$A$1:$A$1500,"*"&amp;A1260&amp;"*")&gt;0</f>
        <v>1</v>
      </c>
      <c r="Q1260" s="181" t="b">
        <f>COUNTIF('Account Data'!$A$1:$A$1000,"*"&amp;A1260&amp;"*")&gt;0</f>
        <v>0</v>
      </c>
      <c r="R1260" s="182" t="b">
        <f t="shared" si="414"/>
        <v>1</v>
      </c>
      <c r="S1260" s="182" t="b">
        <f t="shared" si="409"/>
        <v>0</v>
      </c>
      <c r="T1260" s="181" t="b">
        <f>COUNTIF('New Items'!$A$1:$A$175,A1260)&gt;0</f>
        <v>0</v>
      </c>
      <c r="U1260" s="181" t="b">
        <f>COUNTIF(Discontinued!$A$1:$A$150,A1260)&gt;0</f>
        <v>0</v>
      </c>
    </row>
    <row r="1261" spans="1:21" s="8" customFormat="1" ht="11.25" x14ac:dyDescent="0.2">
      <c r="A1261" s="152">
        <v>20028242</v>
      </c>
      <c r="B1261" s="9" t="s">
        <v>1159</v>
      </c>
      <c r="C1261" s="124" t="s">
        <v>1160</v>
      </c>
      <c r="D1261" s="119" t="s">
        <v>1161</v>
      </c>
      <c r="E1261" s="124" t="s">
        <v>761</v>
      </c>
      <c r="F1261" s="120">
        <v>12</v>
      </c>
      <c r="G1261" s="121">
        <f>Overview!$B$147</f>
        <v>52</v>
      </c>
      <c r="H1261" s="114">
        <f t="shared" si="410"/>
        <v>52</v>
      </c>
      <c r="I1261" s="114">
        <f>Overview!$E$147</f>
        <v>0</v>
      </c>
      <c r="J1261" s="115">
        <f t="shared" si="411"/>
        <v>0</v>
      </c>
      <c r="K1261" s="116">
        <f>Overview!$H$147</f>
        <v>0</v>
      </c>
      <c r="L1261" s="117" t="e">
        <f t="shared" si="412"/>
        <v>#DIV/0!</v>
      </c>
      <c r="M1261" s="179"/>
      <c r="N1261" s="179" t="s">
        <v>991</v>
      </c>
      <c r="O1261" s="141">
        <f t="shared" si="413"/>
        <v>0</v>
      </c>
      <c r="P1261" s="181" t="b">
        <f>COUNTIF('Facility Data'!$A$1:$A$1500,"*"&amp;A1261&amp;"*")&gt;0</f>
        <v>1</v>
      </c>
      <c r="Q1261" s="181" t="b">
        <f>COUNTIF('Account Data'!$A$1:$A$1000,"*"&amp;A1261&amp;"*")&gt;0</f>
        <v>0</v>
      </c>
      <c r="R1261" s="182" t="b">
        <f t="shared" si="414"/>
        <v>1</v>
      </c>
      <c r="S1261" s="182" t="b">
        <f t="shared" si="409"/>
        <v>0</v>
      </c>
      <c r="T1261" s="181" t="b">
        <f>COUNTIF('New Items'!$A$1:$A$175,A1261)&gt;0</f>
        <v>0</v>
      </c>
      <c r="U1261" s="181" t="b">
        <f>COUNTIF(Discontinued!$A$1:$A$150,A1261)&gt;0</f>
        <v>0</v>
      </c>
    </row>
    <row r="1262" spans="1:21" s="8" customFormat="1" ht="11.25" x14ac:dyDescent="0.2">
      <c r="A1262" s="152">
        <v>20020822</v>
      </c>
      <c r="B1262" s="9" t="s">
        <v>588</v>
      </c>
      <c r="C1262" s="124" t="s">
        <v>606</v>
      </c>
      <c r="D1262" s="119" t="s">
        <v>754</v>
      </c>
      <c r="E1262" s="124" t="s">
        <v>761</v>
      </c>
      <c r="F1262" s="120">
        <v>12</v>
      </c>
      <c r="G1262" s="121">
        <f>Overview!$B$147</f>
        <v>52</v>
      </c>
      <c r="H1262" s="114">
        <f>G1262-I1262</f>
        <v>52</v>
      </c>
      <c r="I1262" s="114">
        <f>Overview!$E$147</f>
        <v>0</v>
      </c>
      <c r="J1262" s="115">
        <f>I1262/F1262</f>
        <v>0</v>
      </c>
      <c r="K1262" s="116">
        <f>Overview!$H$147</f>
        <v>0</v>
      </c>
      <c r="L1262" s="117" t="e">
        <f t="shared" si="412"/>
        <v>#DIV/0!</v>
      </c>
      <c r="M1262" s="179"/>
      <c r="N1262" s="179" t="s">
        <v>991</v>
      </c>
      <c r="O1262" s="141">
        <f>I1262</f>
        <v>0</v>
      </c>
      <c r="P1262" s="181" t="b">
        <f>COUNTIF('Facility Data'!$A$1:$A$1500,"*"&amp;A1262&amp;"*")&gt;0</f>
        <v>1</v>
      </c>
      <c r="Q1262" s="181" t="b">
        <f>COUNTIF('Account Data'!$A$1:$A$1000,"*"&amp;A1262&amp;"*")&gt;0</f>
        <v>0</v>
      </c>
      <c r="R1262" s="182" t="b">
        <f t="shared" si="414"/>
        <v>1</v>
      </c>
      <c r="S1262" s="182" t="b">
        <f>IF(OR(Q1262=TRUE,T1262=TRUE),TRUE,FALSE)</f>
        <v>0</v>
      </c>
      <c r="T1262" s="181" t="b">
        <f>COUNTIF('New Items'!$A$1:$A$175,A1262)&gt;0</f>
        <v>0</v>
      </c>
      <c r="U1262" s="181" t="b">
        <f>COUNTIF(Discontinued!$A$1:$A$150,A1262)&gt;0</f>
        <v>0</v>
      </c>
    </row>
    <row r="1263" spans="1:21" s="8" customFormat="1" ht="12" thickBot="1" x14ac:dyDescent="0.25">
      <c r="A1263" s="152">
        <v>20007583</v>
      </c>
      <c r="B1263" s="9" t="s">
        <v>589</v>
      </c>
      <c r="C1263" s="14" t="s">
        <v>615</v>
      </c>
      <c r="D1263" s="11" t="s">
        <v>3989</v>
      </c>
      <c r="E1263" s="14" t="s">
        <v>774</v>
      </c>
      <c r="F1263" s="13">
        <v>6</v>
      </c>
      <c r="G1263" s="121">
        <f>Overview!$B$148</f>
        <v>50</v>
      </c>
      <c r="H1263" s="23">
        <f>G1263-I1263</f>
        <v>50</v>
      </c>
      <c r="I1263" s="114">
        <f>Overview!$E$148</f>
        <v>0</v>
      </c>
      <c r="J1263" s="24">
        <f>I1263/F1263</f>
        <v>0</v>
      </c>
      <c r="K1263" s="116">
        <f>Overview!$H$148</f>
        <v>0</v>
      </c>
      <c r="L1263" s="51" t="e">
        <f t="shared" si="412"/>
        <v>#DIV/0!</v>
      </c>
      <c r="M1263" s="179"/>
      <c r="N1263" s="179" t="s">
        <v>994</v>
      </c>
      <c r="O1263" s="141">
        <f>I1263</f>
        <v>0</v>
      </c>
      <c r="P1263" s="181" t="b">
        <f>COUNTIF('Facility Data'!$A$1:$A$1500,"*"&amp;A1263&amp;"*")&gt;0</f>
        <v>1</v>
      </c>
      <c r="Q1263" s="181" t="b">
        <f>COUNTIF('Account Data'!$A$1:$A$1000,"*"&amp;A1263&amp;"*")&gt;0</f>
        <v>0</v>
      </c>
      <c r="R1263" s="182" t="b">
        <f t="shared" si="414"/>
        <v>1</v>
      </c>
      <c r="S1263" s="182" t="b">
        <f>IF(OR(Q1263=TRUE,T1263=TRUE),TRUE,FALSE)</f>
        <v>0</v>
      </c>
      <c r="T1263" s="181" t="b">
        <f>COUNTIF('New Items'!$A$1:$A$175,A1263)&gt;0</f>
        <v>0</v>
      </c>
      <c r="U1263" s="181" t="b">
        <f>COUNTIF(Discontinued!$A$1:$A$150,A1263)&gt;0</f>
        <v>0</v>
      </c>
    </row>
    <row r="1264" spans="1:21" s="8" customFormat="1" ht="13.5" thickBot="1" x14ac:dyDescent="0.25">
      <c r="A1264" s="300" t="s">
        <v>1162</v>
      </c>
      <c r="B1264" s="301"/>
      <c r="C1264" s="301"/>
      <c r="D1264" s="301"/>
      <c r="E1264" s="301"/>
      <c r="F1264" s="301"/>
      <c r="G1264" s="301"/>
      <c r="H1264" s="301"/>
      <c r="I1264" s="301"/>
      <c r="J1264" s="301"/>
      <c r="K1264" s="301"/>
      <c r="L1264" s="302"/>
      <c r="M1264" s="179" t="s">
        <v>4361</v>
      </c>
      <c r="N1264" s="179" t="s">
        <v>1253</v>
      </c>
      <c r="O1264" s="141">
        <f>AVERAGE(O1265:O1269)</f>
        <v>0</v>
      </c>
      <c r="P1264" s="181" t="b">
        <f>COUNTIF(P1265:P1269,TRUE)&gt;0</f>
        <v>1</v>
      </c>
      <c r="Q1264" s="181" t="b">
        <f>COUNTIF(Q1265:Q1269,TRUE)&gt;0</f>
        <v>0</v>
      </c>
      <c r="R1264" s="181" t="b">
        <f>COUNTIF(R1265:R1269,TRUE)&gt;0</f>
        <v>1</v>
      </c>
      <c r="S1264" s="181" t="b">
        <f>COUNTIF(S1265:S1269,TRUE)&gt;0</f>
        <v>0</v>
      </c>
      <c r="T1264" s="181" t="b">
        <f>COUNTIF(T1265:T1269,TRUE)&gt;0</f>
        <v>0</v>
      </c>
      <c r="U1264" s="181"/>
    </row>
    <row r="1265" spans="1:21" s="8" customFormat="1" ht="11.25" x14ac:dyDescent="0.2">
      <c r="A1265" s="152">
        <v>20028241</v>
      </c>
      <c r="B1265" s="123" t="s">
        <v>4064</v>
      </c>
      <c r="C1265" s="124" t="s">
        <v>1163</v>
      </c>
      <c r="D1265" s="119" t="s">
        <v>1164</v>
      </c>
      <c r="E1265" s="118" t="s">
        <v>792</v>
      </c>
      <c r="F1265" s="120">
        <v>12</v>
      </c>
      <c r="G1265" s="121">
        <f>Overview!$B$149</f>
        <v>30</v>
      </c>
      <c r="H1265" s="114">
        <f>G1265-I1265</f>
        <v>30</v>
      </c>
      <c r="I1265" s="114">
        <f>Overview!$E$149</f>
        <v>0</v>
      </c>
      <c r="J1265" s="115">
        <f>I1265/F1265</f>
        <v>0</v>
      </c>
      <c r="K1265" s="116">
        <f>Overview!$H$149</f>
        <v>0</v>
      </c>
      <c r="L1265" s="117" t="e">
        <f>(K1265-J1265)/K1265</f>
        <v>#DIV/0!</v>
      </c>
      <c r="M1265" s="179" t="s">
        <v>1252</v>
      </c>
      <c r="N1265" s="179" t="s">
        <v>1253</v>
      </c>
      <c r="O1265" s="141">
        <f>I1265</f>
        <v>0</v>
      </c>
      <c r="P1265" s="181" t="b">
        <f>COUNTIF('Facility Data'!$A$1:$A$1500,"*"&amp;A1265&amp;"*")&gt;0</f>
        <v>1</v>
      </c>
      <c r="Q1265" s="181" t="b">
        <f>COUNTIF('Account Data'!$A$1:$A$1000,"*"&amp;A1265&amp;"*")&gt;0</f>
        <v>0</v>
      </c>
      <c r="R1265" s="182" t="b">
        <f>IF(OR(P1265=TRUE,T1265=TRUE),TRUE,FALSE)</f>
        <v>1</v>
      </c>
      <c r="S1265" s="182" t="b">
        <f t="shared" si="409"/>
        <v>0</v>
      </c>
      <c r="T1265" s="181" t="b">
        <f>COUNTIF('New Items'!$A$1:$A$175,A1265)&gt;0</f>
        <v>0</v>
      </c>
      <c r="U1265" s="181" t="b">
        <f>COUNTIF(Discontinued!$A$1:$A$150,A1265)&gt;0</f>
        <v>0</v>
      </c>
    </row>
    <row r="1266" spans="1:21" s="8" customFormat="1" ht="11.25" x14ac:dyDescent="0.2">
      <c r="A1266" s="152">
        <v>20028240</v>
      </c>
      <c r="B1266" s="123" t="s">
        <v>4065</v>
      </c>
      <c r="C1266" s="124" t="s">
        <v>1165</v>
      </c>
      <c r="D1266" s="119" t="s">
        <v>1161</v>
      </c>
      <c r="E1266" s="118" t="s">
        <v>792</v>
      </c>
      <c r="F1266" s="120">
        <v>12</v>
      </c>
      <c r="G1266" s="121">
        <f>Overview!$B$149</f>
        <v>30</v>
      </c>
      <c r="H1266" s="114">
        <f>G1266-I1266</f>
        <v>30</v>
      </c>
      <c r="I1266" s="114">
        <f>Overview!$E$149</f>
        <v>0</v>
      </c>
      <c r="J1266" s="115">
        <f>I1266/F1266</f>
        <v>0</v>
      </c>
      <c r="K1266" s="116">
        <f>Overview!$H$149</f>
        <v>0</v>
      </c>
      <c r="L1266" s="117" t="e">
        <f>(K1266-J1266)/K1266</f>
        <v>#DIV/0!</v>
      </c>
      <c r="M1266" s="179" t="s">
        <v>1252</v>
      </c>
      <c r="N1266" s="179" t="s">
        <v>1253</v>
      </c>
      <c r="O1266" s="141">
        <f>I1266</f>
        <v>0</v>
      </c>
      <c r="P1266" s="181" t="b">
        <f>COUNTIF('Facility Data'!$A$1:$A$1500,"*"&amp;A1266&amp;"*")&gt;0</f>
        <v>1</v>
      </c>
      <c r="Q1266" s="181" t="b">
        <f>COUNTIF('Account Data'!$A$1:$A$1000,"*"&amp;A1266&amp;"*")&gt;0</f>
        <v>0</v>
      </c>
      <c r="R1266" s="182" t="b">
        <f>IF(OR(P1266=TRUE,T1266=TRUE),TRUE,FALSE)</f>
        <v>1</v>
      </c>
      <c r="S1266" s="182" t="b">
        <f t="shared" si="409"/>
        <v>0</v>
      </c>
      <c r="T1266" s="181" t="b">
        <f>COUNTIF('New Items'!$A$1:$A$175,A1266)&gt;0</f>
        <v>0</v>
      </c>
      <c r="U1266" s="181" t="b">
        <f>COUNTIF(Discontinued!$A$1:$A$150,A1266)&gt;0</f>
        <v>0</v>
      </c>
    </row>
    <row r="1267" spans="1:21" s="8" customFormat="1" ht="11.25" x14ac:dyDescent="0.2">
      <c r="A1267" s="152">
        <v>20028239</v>
      </c>
      <c r="B1267" s="123" t="s">
        <v>3888</v>
      </c>
      <c r="C1267" s="124" t="s">
        <v>1166</v>
      </c>
      <c r="D1267" s="119" t="s">
        <v>3990</v>
      </c>
      <c r="E1267" s="118" t="s">
        <v>792</v>
      </c>
      <c r="F1267" s="120">
        <v>12</v>
      </c>
      <c r="G1267" s="121">
        <f>Overview!$B$149</f>
        <v>30</v>
      </c>
      <c r="H1267" s="114">
        <f>G1267-I1267</f>
        <v>30</v>
      </c>
      <c r="I1267" s="114">
        <f>Overview!$E$149</f>
        <v>0</v>
      </c>
      <c r="J1267" s="115">
        <f>I1267/F1267</f>
        <v>0</v>
      </c>
      <c r="K1267" s="116">
        <f>Overview!$H$149</f>
        <v>0</v>
      </c>
      <c r="L1267" s="117" t="e">
        <f>(K1267-J1267)/K1267</f>
        <v>#DIV/0!</v>
      </c>
      <c r="M1267" s="179" t="s">
        <v>1252</v>
      </c>
      <c r="N1267" s="179" t="s">
        <v>1253</v>
      </c>
      <c r="O1267" s="141">
        <f>I1267</f>
        <v>0</v>
      </c>
      <c r="P1267" s="181" t="b">
        <f>COUNTIF('Facility Data'!$A$1:$A$1500,"*"&amp;A1267&amp;"*")&gt;0</f>
        <v>1</v>
      </c>
      <c r="Q1267" s="181" t="b">
        <f>COUNTIF('Account Data'!$A$1:$A$1000,"*"&amp;A1267&amp;"*")&gt;0</f>
        <v>0</v>
      </c>
      <c r="R1267" s="182" t="b">
        <f>IF(OR(P1267=TRUE,T1267=TRUE),TRUE,FALSE)</f>
        <v>1</v>
      </c>
      <c r="S1267" s="182" t="b">
        <f t="shared" si="409"/>
        <v>0</v>
      </c>
      <c r="T1267" s="181" t="b">
        <f>COUNTIF('New Items'!$A$1:$A$175,A1267)&gt;0</f>
        <v>0</v>
      </c>
      <c r="U1267" s="181" t="b">
        <f>COUNTIF(Discontinued!$A$1:$A$150,A1267)&gt;0</f>
        <v>0</v>
      </c>
    </row>
    <row r="1268" spans="1:21" s="8" customFormat="1" ht="11.25" x14ac:dyDescent="0.2">
      <c r="A1268" s="152">
        <v>20031511</v>
      </c>
      <c r="B1268" s="123" t="s">
        <v>4066</v>
      </c>
      <c r="C1268" s="124" t="s">
        <v>3993</v>
      </c>
      <c r="D1268" s="119" t="s">
        <v>3991</v>
      </c>
      <c r="E1268" s="118" t="s">
        <v>792</v>
      </c>
      <c r="F1268" s="120">
        <v>12</v>
      </c>
      <c r="G1268" s="121">
        <f>Overview!$B$149</f>
        <v>30</v>
      </c>
      <c r="H1268" s="114">
        <f>G1268-I1268</f>
        <v>30</v>
      </c>
      <c r="I1268" s="114">
        <f>Overview!$E$149</f>
        <v>0</v>
      </c>
      <c r="J1268" s="115">
        <f>I1268/F1268</f>
        <v>0</v>
      </c>
      <c r="K1268" s="116">
        <f>Overview!$H$149</f>
        <v>0</v>
      </c>
      <c r="L1268" s="117" t="e">
        <f>(K1268-J1268)/K1268</f>
        <v>#DIV/0!</v>
      </c>
      <c r="M1268" s="179" t="s">
        <v>1252</v>
      </c>
      <c r="N1268" s="179" t="s">
        <v>1253</v>
      </c>
      <c r="O1268" s="141">
        <f>I1268</f>
        <v>0</v>
      </c>
      <c r="P1268" s="181" t="b">
        <f>COUNTIF('Facility Data'!$A$1:$A$1500,"*"&amp;A1268&amp;"*")&gt;0</f>
        <v>1</v>
      </c>
      <c r="Q1268" s="181" t="b">
        <f>COUNTIF('Account Data'!$A$1:$A$1000,"*"&amp;A1268&amp;"*")&gt;0</f>
        <v>0</v>
      </c>
      <c r="R1268" s="182" t="b">
        <f>IF(OR(P1268=TRUE,T1268=TRUE),TRUE,FALSE)</f>
        <v>1</v>
      </c>
      <c r="S1268" s="182" t="b">
        <f>IF(OR(Q1268=TRUE,T1268=TRUE),TRUE,FALSE)</f>
        <v>0</v>
      </c>
      <c r="T1268" s="181" t="b">
        <f>COUNTIF('New Items'!$A$1:$A$175,A1268)&gt;0</f>
        <v>0</v>
      </c>
      <c r="U1268" s="181" t="b">
        <f>COUNTIF(Discontinued!$A$1:$A$150,A1268)&gt;0</f>
        <v>0</v>
      </c>
    </row>
    <row r="1269" spans="1:21" s="8" customFormat="1" ht="12" thickBot="1" x14ac:dyDescent="0.25">
      <c r="A1269" s="152">
        <v>20031512</v>
      </c>
      <c r="B1269" s="123" t="s">
        <v>4067</v>
      </c>
      <c r="C1269" s="124" t="s">
        <v>3994</v>
      </c>
      <c r="D1269" s="119" t="s">
        <v>3992</v>
      </c>
      <c r="E1269" s="118" t="s">
        <v>792</v>
      </c>
      <c r="F1269" s="120">
        <v>12</v>
      </c>
      <c r="G1269" s="121">
        <f>Overview!$B$149</f>
        <v>30</v>
      </c>
      <c r="H1269" s="114">
        <f>G1269-I1269</f>
        <v>30</v>
      </c>
      <c r="I1269" s="114">
        <f>Overview!$E$149</f>
        <v>0</v>
      </c>
      <c r="J1269" s="115">
        <f>I1269/F1269</f>
        <v>0</v>
      </c>
      <c r="K1269" s="116">
        <f>Overview!$H$149</f>
        <v>0</v>
      </c>
      <c r="L1269" s="117" t="e">
        <f>(K1269-J1269)/K1269</f>
        <v>#DIV/0!</v>
      </c>
      <c r="M1269" s="179" t="s">
        <v>1252</v>
      </c>
      <c r="N1269" s="179" t="s">
        <v>1253</v>
      </c>
      <c r="O1269" s="141">
        <f>I1269</f>
        <v>0</v>
      </c>
      <c r="P1269" s="181" t="b">
        <f>COUNTIF('Facility Data'!$A$1:$A$1500,"*"&amp;A1269&amp;"*")&gt;0</f>
        <v>1</v>
      </c>
      <c r="Q1269" s="181" t="b">
        <f>COUNTIF('Account Data'!$A$1:$A$1000,"*"&amp;A1269&amp;"*")&gt;0</f>
        <v>0</v>
      </c>
      <c r="R1269" s="182" t="b">
        <f>IF(OR(P1269=TRUE,T1269=TRUE),TRUE,FALSE)</f>
        <v>1</v>
      </c>
      <c r="S1269" s="182" t="b">
        <f t="shared" si="409"/>
        <v>0</v>
      </c>
      <c r="T1269" s="181" t="b">
        <f>COUNTIF('New Items'!$A$1:$A$175,A1269)&gt;0</f>
        <v>0</v>
      </c>
      <c r="U1269" s="181" t="b">
        <f>COUNTIF(Discontinued!$A$1:$A$150,A1269)&gt;0</f>
        <v>0</v>
      </c>
    </row>
    <row r="1270" spans="1:21" s="8" customFormat="1" ht="13.5" thickBot="1" x14ac:dyDescent="0.25">
      <c r="A1270" s="300" t="s">
        <v>1167</v>
      </c>
      <c r="B1270" s="301"/>
      <c r="C1270" s="301"/>
      <c r="D1270" s="301"/>
      <c r="E1270" s="301"/>
      <c r="F1270" s="301"/>
      <c r="G1270" s="301"/>
      <c r="H1270" s="301"/>
      <c r="I1270" s="301"/>
      <c r="J1270" s="301"/>
      <c r="K1270" s="301"/>
      <c r="L1270" s="302"/>
      <c r="M1270" s="179" t="s">
        <v>4361</v>
      </c>
      <c r="N1270" s="179" t="s">
        <v>1254</v>
      </c>
      <c r="O1270" s="141">
        <f>AVERAGE(O1271:O1274)</f>
        <v>0</v>
      </c>
      <c r="P1270" s="181" t="b">
        <f>COUNTIF(P1271:P1274,TRUE)&gt;0</f>
        <v>1</v>
      </c>
      <c r="Q1270" s="181" t="b">
        <f>COUNTIF(Q1271:Q1274,TRUE)&gt;0</f>
        <v>0</v>
      </c>
      <c r="R1270" s="181" t="b">
        <f>COUNTIF(R1271:R1274,TRUE)&gt;0</f>
        <v>1</v>
      </c>
      <c r="S1270" s="181" t="b">
        <f>COUNTIF(S1271:S1274,TRUE)&gt;0</f>
        <v>0</v>
      </c>
      <c r="T1270" s="181" t="b">
        <f>COUNTIF(T1271:T1274,TRUE)&gt;0</f>
        <v>0</v>
      </c>
      <c r="U1270" s="181"/>
    </row>
    <row r="1271" spans="1:21" s="8" customFormat="1" ht="11.25" x14ac:dyDescent="0.2">
      <c r="A1271" s="152">
        <v>20027689</v>
      </c>
      <c r="B1271" s="9" t="s">
        <v>1168</v>
      </c>
      <c r="C1271" s="124" t="s">
        <v>1169</v>
      </c>
      <c r="D1271" s="119" t="s">
        <v>1170</v>
      </c>
      <c r="E1271" s="118" t="s">
        <v>769</v>
      </c>
      <c r="F1271" s="120">
        <v>12</v>
      </c>
      <c r="G1271" s="121">
        <f>Overview!$B$150</f>
        <v>20</v>
      </c>
      <c r="H1271" s="114">
        <f>G1271-I1271</f>
        <v>20</v>
      </c>
      <c r="I1271" s="114">
        <f>Overview!$E$150</f>
        <v>0</v>
      </c>
      <c r="J1271" s="115">
        <f>I1271/F1271</f>
        <v>0</v>
      </c>
      <c r="K1271" s="116">
        <f>Overview!$H$150</f>
        <v>0</v>
      </c>
      <c r="L1271" s="117" t="e">
        <f>(K1271-J1271)/K1271</f>
        <v>#DIV/0!</v>
      </c>
      <c r="M1271" s="179"/>
      <c r="N1271" s="179" t="s">
        <v>1254</v>
      </c>
      <c r="O1271" s="141">
        <f>I1271</f>
        <v>0</v>
      </c>
      <c r="P1271" s="181" t="b">
        <f>COUNTIF('Facility Data'!$A$1:$A$1500,"*"&amp;A1271&amp;"*")&gt;0</f>
        <v>1</v>
      </c>
      <c r="Q1271" s="181" t="b">
        <f>COUNTIF('Account Data'!$A$1:$A$1000,"*"&amp;A1271&amp;"*")&gt;0</f>
        <v>0</v>
      </c>
      <c r="R1271" s="182" t="b">
        <f>IF(OR(P1271=TRUE,T1271=TRUE),TRUE,FALSE)</f>
        <v>1</v>
      </c>
      <c r="S1271" s="182" t="b">
        <f t="shared" si="409"/>
        <v>0</v>
      </c>
      <c r="T1271" s="181" t="b">
        <f>COUNTIF('New Items'!$A$1:$A$175,A1271)&gt;0</f>
        <v>0</v>
      </c>
      <c r="U1271" s="181" t="b">
        <f>COUNTIF(Discontinued!$A$1:$A$150,A1271)&gt;0</f>
        <v>0</v>
      </c>
    </row>
    <row r="1272" spans="1:21" s="8" customFormat="1" ht="11.25" x14ac:dyDescent="0.2">
      <c r="A1272" s="152">
        <v>20027688</v>
      </c>
      <c r="B1272" s="9" t="s">
        <v>1171</v>
      </c>
      <c r="C1272" s="124" t="s">
        <v>1172</v>
      </c>
      <c r="D1272" s="119" t="s">
        <v>1173</v>
      </c>
      <c r="E1272" s="118" t="s">
        <v>769</v>
      </c>
      <c r="F1272" s="120">
        <v>12</v>
      </c>
      <c r="G1272" s="121">
        <f>Overview!$B$150</f>
        <v>20</v>
      </c>
      <c r="H1272" s="114">
        <f>G1272-I1272</f>
        <v>20</v>
      </c>
      <c r="I1272" s="114">
        <f>Overview!$E$150</f>
        <v>0</v>
      </c>
      <c r="J1272" s="115">
        <f>I1272/F1272</f>
        <v>0</v>
      </c>
      <c r="K1272" s="116">
        <f>Overview!$H$150</f>
        <v>0</v>
      </c>
      <c r="L1272" s="117" t="e">
        <f>(K1272-J1272)/K1272</f>
        <v>#DIV/0!</v>
      </c>
      <c r="M1272" s="179"/>
      <c r="N1272" s="179" t="s">
        <v>1254</v>
      </c>
      <c r="O1272" s="141">
        <f>I1272</f>
        <v>0</v>
      </c>
      <c r="P1272" s="181" t="b">
        <f>COUNTIF('Facility Data'!$A$1:$A$1500,"*"&amp;A1272&amp;"*")&gt;0</f>
        <v>1</v>
      </c>
      <c r="Q1272" s="181" t="b">
        <f>COUNTIF('Account Data'!$A$1:$A$1000,"*"&amp;A1272&amp;"*")&gt;0</f>
        <v>0</v>
      </c>
      <c r="R1272" s="182" t="b">
        <f>IF(OR(P1272=TRUE,T1272=TRUE),TRUE,FALSE)</f>
        <v>1</v>
      </c>
      <c r="S1272" s="182" t="b">
        <f t="shared" si="409"/>
        <v>0</v>
      </c>
      <c r="T1272" s="181" t="b">
        <f>COUNTIF('New Items'!$A$1:$A$175,A1272)&gt;0</f>
        <v>0</v>
      </c>
      <c r="U1272" s="181" t="b">
        <f>COUNTIF(Discontinued!$A$1:$A$150,A1272)&gt;0</f>
        <v>0</v>
      </c>
    </row>
    <row r="1273" spans="1:21" s="8" customFormat="1" ht="11.25" x14ac:dyDescent="0.2">
      <c r="A1273" s="152">
        <v>20027687</v>
      </c>
      <c r="B1273" s="9" t="s">
        <v>1174</v>
      </c>
      <c r="C1273" s="124" t="s">
        <v>1175</v>
      </c>
      <c r="D1273" s="119" t="s">
        <v>1176</v>
      </c>
      <c r="E1273" s="118" t="s">
        <v>769</v>
      </c>
      <c r="F1273" s="120">
        <v>12</v>
      </c>
      <c r="G1273" s="121">
        <f>Overview!$B$150</f>
        <v>20</v>
      </c>
      <c r="H1273" s="114">
        <f>G1273-I1273</f>
        <v>20</v>
      </c>
      <c r="I1273" s="114">
        <f>Overview!$E$150</f>
        <v>0</v>
      </c>
      <c r="J1273" s="115">
        <f>I1273/F1273</f>
        <v>0</v>
      </c>
      <c r="K1273" s="116">
        <f>Overview!$H$150</f>
        <v>0</v>
      </c>
      <c r="L1273" s="117" t="e">
        <f>(K1273-J1273)/K1273</f>
        <v>#DIV/0!</v>
      </c>
      <c r="M1273" s="179"/>
      <c r="N1273" s="179" t="s">
        <v>1254</v>
      </c>
      <c r="O1273" s="141">
        <f>I1273</f>
        <v>0</v>
      </c>
      <c r="P1273" s="181" t="b">
        <f>COUNTIF('Facility Data'!$A$1:$A$1500,"*"&amp;A1273&amp;"*")&gt;0</f>
        <v>1</v>
      </c>
      <c r="Q1273" s="181" t="b">
        <f>COUNTIF('Account Data'!$A$1:$A$1000,"*"&amp;A1273&amp;"*")&gt;0</f>
        <v>0</v>
      </c>
      <c r="R1273" s="182" t="b">
        <f>IF(OR(P1273=TRUE,T1273=TRUE),TRUE,FALSE)</f>
        <v>1</v>
      </c>
      <c r="S1273" s="182" t="b">
        <f t="shared" si="409"/>
        <v>0</v>
      </c>
      <c r="T1273" s="181" t="b">
        <f>COUNTIF('New Items'!$A$1:$A$175,A1273)&gt;0</f>
        <v>0</v>
      </c>
      <c r="U1273" s="181" t="b">
        <f>COUNTIF(Discontinued!$A$1:$A$150,A1273)&gt;0</f>
        <v>0</v>
      </c>
    </row>
    <row r="1274" spans="1:21" s="8" customFormat="1" ht="12" thickBot="1" x14ac:dyDescent="0.25">
      <c r="A1274" s="152">
        <v>20027690</v>
      </c>
      <c r="B1274" s="9" t="s">
        <v>1177</v>
      </c>
      <c r="C1274" s="124" t="s">
        <v>1178</v>
      </c>
      <c r="D1274" s="119" t="s">
        <v>1179</v>
      </c>
      <c r="E1274" s="118" t="s">
        <v>769</v>
      </c>
      <c r="F1274" s="120">
        <v>12</v>
      </c>
      <c r="G1274" s="121">
        <f>Overview!$B$150</f>
        <v>20</v>
      </c>
      <c r="H1274" s="114">
        <f>G1274-I1274</f>
        <v>20</v>
      </c>
      <c r="I1274" s="114">
        <f>Overview!$E$150</f>
        <v>0</v>
      </c>
      <c r="J1274" s="115">
        <f>I1274/F1274</f>
        <v>0</v>
      </c>
      <c r="K1274" s="116">
        <f>Overview!$H$150</f>
        <v>0</v>
      </c>
      <c r="L1274" s="117" t="e">
        <f>(K1274-J1274)/K1274</f>
        <v>#DIV/0!</v>
      </c>
      <c r="M1274" s="179"/>
      <c r="N1274" s="179" t="s">
        <v>1254</v>
      </c>
      <c r="O1274" s="141">
        <f>I1274</f>
        <v>0</v>
      </c>
      <c r="P1274" s="181" t="b">
        <f>COUNTIF('Facility Data'!$A$1:$A$1500,"*"&amp;A1274&amp;"*")&gt;0</f>
        <v>1</v>
      </c>
      <c r="Q1274" s="181" t="b">
        <f>COUNTIF('Account Data'!$A$1:$A$1000,"*"&amp;A1274&amp;"*")&gt;0</f>
        <v>0</v>
      </c>
      <c r="R1274" s="182" t="b">
        <f>IF(OR(P1274=TRUE,T1274=TRUE),TRUE,FALSE)</f>
        <v>1</v>
      </c>
      <c r="S1274" s="182" t="b">
        <f t="shared" si="409"/>
        <v>0</v>
      </c>
      <c r="T1274" s="181" t="b">
        <f>COUNTIF('New Items'!$A$1:$A$175,A1274)&gt;0</f>
        <v>0</v>
      </c>
      <c r="U1274" s="181" t="b">
        <f>COUNTIF(Discontinued!$A$1:$A$150,A1274)&gt;0</f>
        <v>0</v>
      </c>
    </row>
    <row r="1275" spans="1:21" s="8" customFormat="1" ht="13.5" thickBot="1" x14ac:dyDescent="0.25">
      <c r="A1275" s="300" t="s">
        <v>1151</v>
      </c>
      <c r="B1275" s="301"/>
      <c r="C1275" s="301"/>
      <c r="D1275" s="301"/>
      <c r="E1275" s="301"/>
      <c r="F1275" s="301"/>
      <c r="G1275" s="301"/>
      <c r="H1275" s="301"/>
      <c r="I1275" s="301"/>
      <c r="J1275" s="301"/>
      <c r="K1275" s="301"/>
      <c r="L1275" s="302"/>
      <c r="M1275" s="179" t="s">
        <v>4361</v>
      </c>
      <c r="N1275" s="179" t="s">
        <v>3149</v>
      </c>
      <c r="O1275" s="141">
        <f>AVERAGE(O1276:O1284)</f>
        <v>0</v>
      </c>
      <c r="P1275" s="181" t="b">
        <f>COUNTIF(P1276:P1284,TRUE)&gt;0</f>
        <v>0</v>
      </c>
      <c r="Q1275" s="181" t="b">
        <f>COUNTIF(Q1276:Q1284,TRUE)&gt;0</f>
        <v>1</v>
      </c>
      <c r="R1275" s="181" t="b">
        <f>COUNTIF(R1276:R1284,TRUE)&gt;0</f>
        <v>0</v>
      </c>
      <c r="S1275" s="181" t="b">
        <f>COUNTIF(S1276:S1284,TRUE)&gt;0</f>
        <v>1</v>
      </c>
      <c r="T1275" s="181" t="b">
        <f>COUNTIF(T1276:T1284,TRUE)&gt;0</f>
        <v>0</v>
      </c>
      <c r="U1275" s="181"/>
    </row>
    <row r="1276" spans="1:21" s="8" customFormat="1" ht="11.25" x14ac:dyDescent="0.2">
      <c r="A1276" s="152">
        <v>20020466</v>
      </c>
      <c r="B1276" s="9" t="s">
        <v>592</v>
      </c>
      <c r="C1276" s="12" t="s">
        <v>611</v>
      </c>
      <c r="D1276" s="11" t="s">
        <v>1152</v>
      </c>
      <c r="E1276" s="12" t="s">
        <v>788</v>
      </c>
      <c r="F1276" s="13">
        <v>12</v>
      </c>
      <c r="G1276" s="121">
        <f>Overview!$B$153</f>
        <v>12</v>
      </c>
      <c r="H1276" s="23">
        <f t="shared" ref="H1276:H1282" si="416">G1276-I1276</f>
        <v>12</v>
      </c>
      <c r="I1276" s="114">
        <f>Overview!$E$153</f>
        <v>0</v>
      </c>
      <c r="J1276" s="24">
        <f t="shared" ref="J1276:J1282" si="417">I1276/F1276</f>
        <v>0</v>
      </c>
      <c r="K1276" s="116">
        <f>Overview!$H$153</f>
        <v>0</v>
      </c>
      <c r="L1276" s="51" t="e">
        <f t="shared" ref="L1276:L1282" si="418">(K1276-J1276)/K1276</f>
        <v>#DIV/0!</v>
      </c>
      <c r="M1276" s="179"/>
      <c r="N1276" s="179" t="s">
        <v>3149</v>
      </c>
      <c r="O1276" s="141">
        <f>I1276</f>
        <v>0</v>
      </c>
      <c r="P1276" s="181" t="b">
        <f>COUNTIF('Facility Data'!$A$1:$A$1500,"*"&amp;A1276&amp;"*")&gt;0</f>
        <v>0</v>
      </c>
      <c r="Q1276" s="181" t="b">
        <f>COUNTIF('Account Data'!$A$1:$A$1000,"*"&amp;A1276&amp;"*")&gt;0</f>
        <v>1</v>
      </c>
      <c r="R1276" s="182" t="b">
        <f t="shared" ref="R1276:R1284" si="419">IF(OR(P1276=TRUE,T1276=TRUE),TRUE,FALSE)</f>
        <v>0</v>
      </c>
      <c r="S1276" s="182" t="b">
        <f t="shared" si="409"/>
        <v>1</v>
      </c>
      <c r="T1276" s="181" t="b">
        <f>COUNTIF('New Items'!$A$1:$A$175,A1276)&gt;0</f>
        <v>0</v>
      </c>
      <c r="U1276" s="181" t="b">
        <f>COUNTIF(Discontinued!$A$1:$A$150,A1276)&gt;0</f>
        <v>0</v>
      </c>
    </row>
    <row r="1277" spans="1:21" s="8" customFormat="1" ht="11.25" x14ac:dyDescent="0.2">
      <c r="A1277" s="152">
        <v>20020468</v>
      </c>
      <c r="B1277" s="9" t="s">
        <v>590</v>
      </c>
      <c r="C1277" s="12" t="s">
        <v>610</v>
      </c>
      <c r="D1277" s="11" t="s">
        <v>1153</v>
      </c>
      <c r="E1277" s="12" t="s">
        <v>788</v>
      </c>
      <c r="F1277" s="13">
        <v>12</v>
      </c>
      <c r="G1277" s="121">
        <f>Overview!$B$153</f>
        <v>12</v>
      </c>
      <c r="H1277" s="23">
        <f t="shared" si="416"/>
        <v>12</v>
      </c>
      <c r="I1277" s="114">
        <f>Overview!$E$153</f>
        <v>0</v>
      </c>
      <c r="J1277" s="24">
        <f t="shared" si="417"/>
        <v>0</v>
      </c>
      <c r="K1277" s="116">
        <f>Overview!$H$153</f>
        <v>0</v>
      </c>
      <c r="L1277" s="51" t="e">
        <f t="shared" si="418"/>
        <v>#DIV/0!</v>
      </c>
      <c r="M1277" s="179"/>
      <c r="N1277" s="179" t="s">
        <v>3149</v>
      </c>
      <c r="O1277" s="141">
        <f t="shared" ref="O1277:O1282" si="420">I1277</f>
        <v>0</v>
      </c>
      <c r="P1277" s="181" t="b">
        <f>COUNTIF('Facility Data'!$A$1:$A$1500,"*"&amp;A1277&amp;"*")&gt;0</f>
        <v>0</v>
      </c>
      <c r="Q1277" s="181" t="b">
        <f>COUNTIF('Account Data'!$A$1:$A$1000,"*"&amp;A1277&amp;"*")&gt;0</f>
        <v>1</v>
      </c>
      <c r="R1277" s="182" t="b">
        <f t="shared" si="419"/>
        <v>0</v>
      </c>
      <c r="S1277" s="182" t="b">
        <f t="shared" si="409"/>
        <v>1</v>
      </c>
      <c r="T1277" s="181" t="b">
        <f>COUNTIF('New Items'!$A$1:$A$175,A1277)&gt;0</f>
        <v>0</v>
      </c>
      <c r="U1277" s="181" t="b">
        <f>COUNTIF(Discontinued!$A$1:$A$150,A1277)&gt;0</f>
        <v>0</v>
      </c>
    </row>
    <row r="1278" spans="1:21" s="8" customFormat="1" ht="11.25" x14ac:dyDescent="0.2">
      <c r="A1278" s="152">
        <v>20020470</v>
      </c>
      <c r="B1278" s="9" t="s">
        <v>591</v>
      </c>
      <c r="C1278" s="12" t="s">
        <v>609</v>
      </c>
      <c r="D1278" s="11" t="s">
        <v>1154</v>
      </c>
      <c r="E1278" s="12" t="s">
        <v>788</v>
      </c>
      <c r="F1278" s="13">
        <v>12</v>
      </c>
      <c r="G1278" s="121">
        <f>Overview!$B$153</f>
        <v>12</v>
      </c>
      <c r="H1278" s="23">
        <f t="shared" si="416"/>
        <v>12</v>
      </c>
      <c r="I1278" s="114">
        <f>Overview!$E$153</f>
        <v>0</v>
      </c>
      <c r="J1278" s="24">
        <f t="shared" si="417"/>
        <v>0</v>
      </c>
      <c r="K1278" s="116">
        <f>Overview!$H$153</f>
        <v>0</v>
      </c>
      <c r="L1278" s="51" t="e">
        <f t="shared" si="418"/>
        <v>#DIV/0!</v>
      </c>
      <c r="M1278" s="179"/>
      <c r="N1278" s="179" t="s">
        <v>3149</v>
      </c>
      <c r="O1278" s="141">
        <f t="shared" si="420"/>
        <v>0</v>
      </c>
      <c r="P1278" s="181" t="b">
        <f>COUNTIF('Facility Data'!$A$1:$A$1500,"*"&amp;A1278&amp;"*")&gt;0</f>
        <v>0</v>
      </c>
      <c r="Q1278" s="181" t="b">
        <f>COUNTIF('Account Data'!$A$1:$A$1000,"*"&amp;A1278&amp;"*")&gt;0</f>
        <v>1</v>
      </c>
      <c r="R1278" s="182" t="b">
        <f t="shared" si="419"/>
        <v>0</v>
      </c>
      <c r="S1278" s="182" t="b">
        <f t="shared" si="409"/>
        <v>1</v>
      </c>
      <c r="T1278" s="181" t="b">
        <f>COUNTIF('New Items'!$A$1:$A$175,A1278)&gt;0</f>
        <v>0</v>
      </c>
      <c r="U1278" s="181" t="b">
        <f>COUNTIF(Discontinued!$A$1:$A$150,A1278)&gt;0</f>
        <v>0</v>
      </c>
    </row>
    <row r="1279" spans="1:21" s="8" customFormat="1" ht="11.25" x14ac:dyDescent="0.2">
      <c r="A1279" s="152">
        <v>20020467</v>
      </c>
      <c r="B1279" s="9" t="s">
        <v>1371</v>
      </c>
      <c r="C1279" s="118" t="s">
        <v>1372</v>
      </c>
      <c r="D1279" s="119" t="s">
        <v>1368</v>
      </c>
      <c r="E1279" s="118" t="s">
        <v>788</v>
      </c>
      <c r="F1279" s="120">
        <v>12</v>
      </c>
      <c r="G1279" s="121">
        <f>Overview!$B$153</f>
        <v>12</v>
      </c>
      <c r="H1279" s="114">
        <f>G1279-I1279</f>
        <v>12</v>
      </c>
      <c r="I1279" s="114">
        <f>Overview!$E$153</f>
        <v>0</v>
      </c>
      <c r="J1279" s="115">
        <f>I1279/F1279</f>
        <v>0</v>
      </c>
      <c r="K1279" s="116">
        <f>Overview!$H$153</f>
        <v>0</v>
      </c>
      <c r="L1279" s="117" t="e">
        <f>(K1279-J1279)/K1279</f>
        <v>#DIV/0!</v>
      </c>
      <c r="M1279" s="179"/>
      <c r="N1279" s="179" t="s">
        <v>3149</v>
      </c>
      <c r="O1279" s="141">
        <f>I1279</f>
        <v>0</v>
      </c>
      <c r="P1279" s="181" t="b">
        <f>COUNTIF('Facility Data'!$A$1:$A$1500,"*"&amp;A1279&amp;"*")&gt;0</f>
        <v>0</v>
      </c>
      <c r="Q1279" s="181" t="b">
        <f>COUNTIF('Account Data'!$A$1:$A$1000,"*"&amp;A1279&amp;"*")&gt;0</f>
        <v>0</v>
      </c>
      <c r="R1279" s="182" t="b">
        <f t="shared" si="419"/>
        <v>0</v>
      </c>
      <c r="S1279" s="182" t="b">
        <f>IF(OR(Q1279=TRUE,T1279=TRUE),TRUE,FALSE)</f>
        <v>0</v>
      </c>
      <c r="T1279" s="181" t="b">
        <f>COUNTIF('New Items'!$A$1:$A$175,A1279)&gt;0</f>
        <v>0</v>
      </c>
      <c r="U1279" s="181" t="b">
        <f>COUNTIF(Discontinued!$A$1:$A$150,A1279)&gt;0</f>
        <v>0</v>
      </c>
    </row>
    <row r="1280" spans="1:21" s="8" customFormat="1" ht="11.25" x14ac:dyDescent="0.2">
      <c r="A1280" s="152">
        <v>20020469</v>
      </c>
      <c r="B1280" s="9" t="s">
        <v>1373</v>
      </c>
      <c r="C1280" s="118" t="s">
        <v>1374</v>
      </c>
      <c r="D1280" s="119" t="s">
        <v>1369</v>
      </c>
      <c r="E1280" s="118" t="s">
        <v>788</v>
      </c>
      <c r="F1280" s="120">
        <v>12</v>
      </c>
      <c r="G1280" s="121">
        <f>Overview!$B$153</f>
        <v>12</v>
      </c>
      <c r="H1280" s="114">
        <f t="shared" si="416"/>
        <v>12</v>
      </c>
      <c r="I1280" s="114">
        <f>Overview!$E$153</f>
        <v>0</v>
      </c>
      <c r="J1280" s="115">
        <f t="shared" si="417"/>
        <v>0</v>
      </c>
      <c r="K1280" s="116">
        <f>Overview!$H$153</f>
        <v>0</v>
      </c>
      <c r="L1280" s="117" t="e">
        <f t="shared" si="418"/>
        <v>#DIV/0!</v>
      </c>
      <c r="M1280" s="179"/>
      <c r="N1280" s="179" t="s">
        <v>3149</v>
      </c>
      <c r="O1280" s="141">
        <f>I1280</f>
        <v>0</v>
      </c>
      <c r="P1280" s="181" t="b">
        <f>COUNTIF('Facility Data'!$A$1:$A$1500,"*"&amp;A1280&amp;"*")&gt;0</f>
        <v>0</v>
      </c>
      <c r="Q1280" s="181" t="b">
        <f>COUNTIF('Account Data'!$A$1:$A$1000,"*"&amp;A1280&amp;"*")&gt;0</f>
        <v>0</v>
      </c>
      <c r="R1280" s="182" t="b">
        <f t="shared" si="419"/>
        <v>0</v>
      </c>
      <c r="S1280" s="182" t="b">
        <f>IF(OR(Q1280=TRUE,T1280=TRUE),TRUE,FALSE)</f>
        <v>0</v>
      </c>
      <c r="T1280" s="181" t="b">
        <f>COUNTIF('New Items'!$A$1:$A$175,A1280)&gt;0</f>
        <v>0</v>
      </c>
      <c r="U1280" s="181" t="b">
        <f>COUNTIF(Discontinued!$A$1:$A$150,A1280)&gt;0</f>
        <v>0</v>
      </c>
    </row>
    <row r="1281" spans="1:21" s="8" customFormat="1" ht="11.25" x14ac:dyDescent="0.2">
      <c r="A1281" s="152">
        <v>20026469</v>
      </c>
      <c r="B1281" s="9" t="s">
        <v>1148</v>
      </c>
      <c r="C1281" s="118" t="s">
        <v>1149</v>
      </c>
      <c r="D1281" s="119" t="s">
        <v>1155</v>
      </c>
      <c r="E1281" s="118" t="s">
        <v>788</v>
      </c>
      <c r="F1281" s="120">
        <v>12</v>
      </c>
      <c r="G1281" s="121">
        <f>Overview!$B$153</f>
        <v>12</v>
      </c>
      <c r="H1281" s="114">
        <f t="shared" si="416"/>
        <v>12</v>
      </c>
      <c r="I1281" s="114">
        <f>Overview!$E$153</f>
        <v>0</v>
      </c>
      <c r="J1281" s="115">
        <f t="shared" si="417"/>
        <v>0</v>
      </c>
      <c r="K1281" s="116">
        <f>Overview!$H$153</f>
        <v>0</v>
      </c>
      <c r="L1281" s="117" t="e">
        <f t="shared" si="418"/>
        <v>#DIV/0!</v>
      </c>
      <c r="M1281" s="179"/>
      <c r="N1281" s="179" t="s">
        <v>3149</v>
      </c>
      <c r="O1281" s="141">
        <f t="shared" si="420"/>
        <v>0</v>
      </c>
      <c r="P1281" s="181" t="b">
        <f>COUNTIF('Facility Data'!$A$1:$A$1500,"*"&amp;A1281&amp;"*")&gt;0</f>
        <v>0</v>
      </c>
      <c r="Q1281" s="181" t="b">
        <f>COUNTIF('Account Data'!$A$1:$A$1000,"*"&amp;A1281&amp;"*")&gt;0</f>
        <v>0</v>
      </c>
      <c r="R1281" s="182" t="b">
        <f t="shared" si="419"/>
        <v>0</v>
      </c>
      <c r="S1281" s="182" t="b">
        <f t="shared" ref="S1281:S1358" si="421">IF(OR(Q1281=TRUE,T1281=TRUE),TRUE,FALSE)</f>
        <v>0</v>
      </c>
      <c r="T1281" s="181" t="b">
        <f>COUNTIF('New Items'!$A$1:$A$175,A1281)&gt;0</f>
        <v>0</v>
      </c>
      <c r="U1281" s="181" t="b">
        <f>COUNTIF(Discontinued!$A$1:$A$150,A1281)&gt;0</f>
        <v>0</v>
      </c>
    </row>
    <row r="1282" spans="1:21" s="8" customFormat="1" ht="11.25" x14ac:dyDescent="0.2">
      <c r="A1282" s="152">
        <v>20026470</v>
      </c>
      <c r="B1282" s="9" t="s">
        <v>1150</v>
      </c>
      <c r="C1282" s="118" t="s">
        <v>1156</v>
      </c>
      <c r="D1282" s="119" t="s">
        <v>1157</v>
      </c>
      <c r="E1282" s="118" t="s">
        <v>788</v>
      </c>
      <c r="F1282" s="120">
        <v>12</v>
      </c>
      <c r="G1282" s="121">
        <f>Overview!$B$153</f>
        <v>12</v>
      </c>
      <c r="H1282" s="114">
        <f t="shared" si="416"/>
        <v>12</v>
      </c>
      <c r="I1282" s="114">
        <f>Overview!$E$153</f>
        <v>0</v>
      </c>
      <c r="J1282" s="115">
        <f t="shared" si="417"/>
        <v>0</v>
      </c>
      <c r="K1282" s="116">
        <f>Overview!$H$153</f>
        <v>0</v>
      </c>
      <c r="L1282" s="117" t="e">
        <f t="shared" si="418"/>
        <v>#DIV/0!</v>
      </c>
      <c r="M1282" s="179"/>
      <c r="N1282" s="179" t="s">
        <v>3149</v>
      </c>
      <c r="O1282" s="141">
        <f t="shared" si="420"/>
        <v>0</v>
      </c>
      <c r="P1282" s="181" t="b">
        <f>COUNTIF('Facility Data'!$A$1:$A$1500,"*"&amp;A1282&amp;"*")&gt;0</f>
        <v>0</v>
      </c>
      <c r="Q1282" s="181" t="b">
        <f>COUNTIF('Account Data'!$A$1:$A$1000,"*"&amp;A1282&amp;"*")&gt;0</f>
        <v>0</v>
      </c>
      <c r="R1282" s="182" t="b">
        <f t="shared" si="419"/>
        <v>0</v>
      </c>
      <c r="S1282" s="182" t="b">
        <f t="shared" si="421"/>
        <v>0</v>
      </c>
      <c r="T1282" s="181" t="b">
        <f>COUNTIF('New Items'!$A$1:$A$175,A1282)&gt;0</f>
        <v>0</v>
      </c>
      <c r="U1282" s="181" t="b">
        <f>COUNTIF(Discontinued!$A$1:$A$150,A1282)&gt;0</f>
        <v>0</v>
      </c>
    </row>
    <row r="1283" spans="1:21" s="8" customFormat="1" ht="11.25" x14ac:dyDescent="0.2">
      <c r="A1283" s="152">
        <v>20020669</v>
      </c>
      <c r="B1283" s="9" t="s">
        <v>1552</v>
      </c>
      <c r="C1283" s="12" t="s">
        <v>1553</v>
      </c>
      <c r="D1283" s="11" t="s">
        <v>1551</v>
      </c>
      <c r="E1283" s="12" t="s">
        <v>788</v>
      </c>
      <c r="F1283" s="13">
        <v>12</v>
      </c>
      <c r="G1283" s="121">
        <f>Overview!$B$153</f>
        <v>12</v>
      </c>
      <c r="H1283" s="23">
        <f>G1283-I1283</f>
        <v>12</v>
      </c>
      <c r="I1283" s="114">
        <f>Overview!$E$153</f>
        <v>0</v>
      </c>
      <c r="J1283" s="24">
        <f>I1283/F1283</f>
        <v>0</v>
      </c>
      <c r="K1283" s="116">
        <f>Overview!$H$153</f>
        <v>0</v>
      </c>
      <c r="L1283" s="51" t="e">
        <f>(K1283-J1283)/K1283</f>
        <v>#DIV/0!</v>
      </c>
      <c r="M1283" s="179"/>
      <c r="N1283" s="179" t="s">
        <v>3149</v>
      </c>
      <c r="O1283" s="141">
        <f>I1283</f>
        <v>0</v>
      </c>
      <c r="P1283" s="181" t="b">
        <f>COUNTIF('Facility Data'!$A$1:$A$1500,"*"&amp;A1283&amp;"*")&gt;0</f>
        <v>0</v>
      </c>
      <c r="Q1283" s="181" t="b">
        <f>COUNTIF('Account Data'!$A$1:$A$1000,"*"&amp;A1283&amp;"*")&gt;0</f>
        <v>0</v>
      </c>
      <c r="R1283" s="182" t="b">
        <f t="shared" si="419"/>
        <v>0</v>
      </c>
      <c r="S1283" s="182" t="b">
        <f>IF(OR(Q1283=TRUE,T1283=TRUE),TRUE,FALSE)</f>
        <v>0</v>
      </c>
      <c r="T1283" s="181" t="b">
        <f>COUNTIF('New Items'!$A$1:$A$175,A1283)&gt;0</f>
        <v>0</v>
      </c>
      <c r="U1283" s="181" t="b">
        <f>COUNTIF(Discontinued!$A$1:$A$150,A1283)&gt;0</f>
        <v>0</v>
      </c>
    </row>
    <row r="1284" spans="1:21" s="8" customFormat="1" ht="12" thickBot="1" x14ac:dyDescent="0.25">
      <c r="A1284" s="152">
        <v>20020668</v>
      </c>
      <c r="B1284" s="9" t="s">
        <v>1375</v>
      </c>
      <c r="C1284" s="12" t="s">
        <v>1376</v>
      </c>
      <c r="D1284" s="11" t="s">
        <v>1370</v>
      </c>
      <c r="E1284" s="12" t="s">
        <v>788</v>
      </c>
      <c r="F1284" s="13">
        <v>12</v>
      </c>
      <c r="G1284" s="121">
        <f>Overview!$B$153</f>
        <v>12</v>
      </c>
      <c r="H1284" s="23">
        <f>G1284-I1284</f>
        <v>12</v>
      </c>
      <c r="I1284" s="114">
        <f>Overview!$E$153</f>
        <v>0</v>
      </c>
      <c r="J1284" s="24">
        <f>I1284/F1284</f>
        <v>0</v>
      </c>
      <c r="K1284" s="116">
        <f>Overview!$H$153</f>
        <v>0</v>
      </c>
      <c r="L1284" s="51" t="e">
        <f>(K1284-J1284)/K1284</f>
        <v>#DIV/0!</v>
      </c>
      <c r="M1284" s="179"/>
      <c r="N1284" s="179" t="s">
        <v>3149</v>
      </c>
      <c r="O1284" s="141">
        <f>I1284</f>
        <v>0</v>
      </c>
      <c r="P1284" s="181" t="b">
        <f>COUNTIF('Facility Data'!$A$1:$A$1500,"*"&amp;A1284&amp;"*")&gt;0</f>
        <v>0</v>
      </c>
      <c r="Q1284" s="181" t="b">
        <f>COUNTIF('Account Data'!$A$1:$A$1000,"*"&amp;A1284&amp;"*")&gt;0</f>
        <v>0</v>
      </c>
      <c r="R1284" s="182" t="b">
        <f t="shared" si="419"/>
        <v>0</v>
      </c>
      <c r="S1284" s="182" t="b">
        <f>IF(OR(Q1284=TRUE,T1284=TRUE),TRUE,FALSE)</f>
        <v>0</v>
      </c>
      <c r="T1284" s="181" t="b">
        <f>COUNTIF('New Items'!$A$1:$A$175,A1284)&gt;0</f>
        <v>0</v>
      </c>
      <c r="U1284" s="181" t="b">
        <f>COUNTIF(Discontinued!$A$1:$A$150,A1284)&gt;0</f>
        <v>0</v>
      </c>
    </row>
    <row r="1285" spans="1:21" s="8" customFormat="1" ht="13.5" thickBot="1" x14ac:dyDescent="0.25">
      <c r="A1285" s="300" t="s">
        <v>1554</v>
      </c>
      <c r="B1285" s="301"/>
      <c r="C1285" s="301"/>
      <c r="D1285" s="301"/>
      <c r="E1285" s="301"/>
      <c r="F1285" s="301"/>
      <c r="G1285" s="301"/>
      <c r="H1285" s="301"/>
      <c r="I1285" s="301"/>
      <c r="J1285" s="301"/>
      <c r="K1285" s="301"/>
      <c r="L1285" s="302"/>
      <c r="M1285" s="179" t="s">
        <v>4361</v>
      </c>
      <c r="N1285" s="179" t="s">
        <v>3150</v>
      </c>
      <c r="O1285" s="141">
        <f>AVERAGE(O1286:O1290)</f>
        <v>0</v>
      </c>
      <c r="P1285" s="181" t="b">
        <f>COUNTIF(P1286:P1290,TRUE)&gt;0</f>
        <v>0</v>
      </c>
      <c r="Q1285" s="181" t="b">
        <f>COUNTIF(Q1286:Q1290,TRUE)&gt;0</f>
        <v>0</v>
      </c>
      <c r="R1285" s="181" t="b">
        <f>COUNTIF(R1286:R1290,TRUE)&gt;0</f>
        <v>0</v>
      </c>
      <c r="S1285" s="181" t="b">
        <f>COUNTIF(S1286:S1290,TRUE)&gt;0</f>
        <v>0</v>
      </c>
      <c r="T1285" s="181" t="b">
        <f>COUNTIF(T1286:T1290,TRUE)&gt;0</f>
        <v>0</v>
      </c>
      <c r="U1285" s="181"/>
    </row>
    <row r="1286" spans="1:21" s="8" customFormat="1" ht="11.25" x14ac:dyDescent="0.2">
      <c r="A1286" s="152">
        <v>20020524</v>
      </c>
      <c r="B1286" s="9" t="s">
        <v>593</v>
      </c>
      <c r="C1286" s="12" t="s">
        <v>602</v>
      </c>
      <c r="D1286" s="11" t="s">
        <v>1152</v>
      </c>
      <c r="E1286" s="12" t="s">
        <v>763</v>
      </c>
      <c r="F1286" s="13">
        <v>12</v>
      </c>
      <c r="G1286" s="121">
        <f>Overview!$B$154</f>
        <v>15</v>
      </c>
      <c r="H1286" s="23">
        <f>G1286-I1286</f>
        <v>15</v>
      </c>
      <c r="I1286" s="114">
        <f>Overview!$E$154</f>
        <v>0</v>
      </c>
      <c r="J1286" s="24">
        <f>I1286/F1286</f>
        <v>0</v>
      </c>
      <c r="K1286" s="116">
        <f>Overview!$H$154</f>
        <v>0</v>
      </c>
      <c r="L1286" s="51" t="e">
        <f>(K1286-J1286)/K1286</f>
        <v>#DIV/0!</v>
      </c>
      <c r="M1286" s="179"/>
      <c r="N1286" s="179" t="s">
        <v>3150</v>
      </c>
      <c r="O1286" s="141">
        <f>I1286</f>
        <v>0</v>
      </c>
      <c r="P1286" s="181" t="b">
        <f>COUNTIF('Facility Data'!$A$1:$A$1500,"*"&amp;A1286&amp;"*")&gt;0</f>
        <v>0</v>
      </c>
      <c r="Q1286" s="181" t="b">
        <f>COUNTIF('Account Data'!$A$1:$A$1000,"*"&amp;A1286&amp;"*")&gt;0</f>
        <v>0</v>
      </c>
      <c r="R1286" s="182" t="b">
        <f>IF(OR(P1286=TRUE,T1286=TRUE),TRUE,FALSE)</f>
        <v>0</v>
      </c>
      <c r="S1286" s="182" t="b">
        <f t="shared" si="421"/>
        <v>0</v>
      </c>
      <c r="T1286" s="181" t="b">
        <f>COUNTIF('New Items'!$A$1:$A$175,A1286)&gt;0</f>
        <v>0</v>
      </c>
      <c r="U1286" s="181" t="b">
        <f>COUNTIF(Discontinued!$A$1:$A$150,A1286)&gt;0</f>
        <v>0</v>
      </c>
    </row>
    <row r="1287" spans="1:21" s="8" customFormat="1" ht="11.25" x14ac:dyDescent="0.2">
      <c r="A1287" s="152">
        <v>20023107</v>
      </c>
      <c r="B1287" s="9" t="s">
        <v>1555</v>
      </c>
      <c r="C1287" s="12" t="s">
        <v>1556</v>
      </c>
      <c r="D1287" s="11" t="s">
        <v>1153</v>
      </c>
      <c r="E1287" s="12" t="s">
        <v>763</v>
      </c>
      <c r="F1287" s="13">
        <v>12</v>
      </c>
      <c r="G1287" s="121">
        <f>Overview!$B$154</f>
        <v>15</v>
      </c>
      <c r="H1287" s="23">
        <f>G1287-I1287</f>
        <v>15</v>
      </c>
      <c r="I1287" s="114">
        <f>Overview!$E$154</f>
        <v>0</v>
      </c>
      <c r="J1287" s="24">
        <f>I1287/F1287</f>
        <v>0</v>
      </c>
      <c r="K1287" s="116">
        <f>Overview!$H$154</f>
        <v>0</v>
      </c>
      <c r="L1287" s="51" t="e">
        <f>(K1287-J1287)/K1287</f>
        <v>#DIV/0!</v>
      </c>
      <c r="M1287" s="179"/>
      <c r="N1287" s="179" t="s">
        <v>3150</v>
      </c>
      <c r="O1287" s="141">
        <f>I1287</f>
        <v>0</v>
      </c>
      <c r="P1287" s="181" t="b">
        <f>COUNTIF('Facility Data'!$A$1:$A$1500,"*"&amp;A1287&amp;"*")&gt;0</f>
        <v>0</v>
      </c>
      <c r="Q1287" s="181" t="b">
        <f>COUNTIF('Account Data'!$A$1:$A$1000,"*"&amp;A1287&amp;"*")&gt;0</f>
        <v>0</v>
      </c>
      <c r="R1287" s="182" t="b">
        <f>IF(OR(P1287=TRUE,T1287=TRUE),TRUE,FALSE)</f>
        <v>0</v>
      </c>
      <c r="S1287" s="182" t="b">
        <f t="shared" si="421"/>
        <v>0</v>
      </c>
      <c r="T1287" s="181" t="b">
        <f>COUNTIF('New Items'!$A$1:$A$175,A1287)&gt;0</f>
        <v>0</v>
      </c>
      <c r="U1287" s="181" t="b">
        <f>COUNTIF(Discontinued!$A$1:$A$150,A1287)&gt;0</f>
        <v>0</v>
      </c>
    </row>
    <row r="1288" spans="1:21" s="8" customFormat="1" ht="11.25" x14ac:dyDescent="0.2">
      <c r="A1288" s="152">
        <v>20023108</v>
      </c>
      <c r="B1288" s="9" t="s">
        <v>1557</v>
      </c>
      <c r="C1288" s="12" t="s">
        <v>1558</v>
      </c>
      <c r="D1288" s="11" t="s">
        <v>1154</v>
      </c>
      <c r="E1288" s="12" t="s">
        <v>763</v>
      </c>
      <c r="F1288" s="13">
        <v>12</v>
      </c>
      <c r="G1288" s="121">
        <f>Overview!$B$154</f>
        <v>15</v>
      </c>
      <c r="H1288" s="23">
        <f>G1288-I1288</f>
        <v>15</v>
      </c>
      <c r="I1288" s="114">
        <f>Overview!$E$154</f>
        <v>0</v>
      </c>
      <c r="J1288" s="24">
        <f>I1288/F1288</f>
        <v>0</v>
      </c>
      <c r="K1288" s="116">
        <f>Overview!$H$154</f>
        <v>0</v>
      </c>
      <c r="L1288" s="51" t="e">
        <f>(K1288-J1288)/K1288</f>
        <v>#DIV/0!</v>
      </c>
      <c r="M1288" s="179"/>
      <c r="N1288" s="179" t="s">
        <v>3150</v>
      </c>
      <c r="O1288" s="141">
        <f>I1288</f>
        <v>0</v>
      </c>
      <c r="P1288" s="181" t="b">
        <f>COUNTIF('Facility Data'!$A$1:$A$1500,"*"&amp;A1288&amp;"*")&gt;0</f>
        <v>0</v>
      </c>
      <c r="Q1288" s="181" t="b">
        <f>COUNTIF('Account Data'!$A$1:$A$1000,"*"&amp;A1288&amp;"*")&gt;0</f>
        <v>0</v>
      </c>
      <c r="R1288" s="182" t="b">
        <f>IF(OR(P1288=TRUE,T1288=TRUE),TRUE,FALSE)</f>
        <v>0</v>
      </c>
      <c r="S1288" s="182" t="b">
        <f t="shared" si="421"/>
        <v>0</v>
      </c>
      <c r="T1288" s="181" t="b">
        <f>COUNTIF('New Items'!$A$1:$A$175,A1288)&gt;0</f>
        <v>0</v>
      </c>
      <c r="U1288" s="181" t="b">
        <f>COUNTIF(Discontinued!$A$1:$A$150,A1288)&gt;0</f>
        <v>0</v>
      </c>
    </row>
    <row r="1289" spans="1:21" s="8" customFormat="1" ht="11.25" x14ac:dyDescent="0.2">
      <c r="A1289" s="152">
        <v>20020523</v>
      </c>
      <c r="B1289" s="9" t="s">
        <v>1559</v>
      </c>
      <c r="C1289" s="12" t="s">
        <v>1560</v>
      </c>
      <c r="D1289" s="11" t="s">
        <v>1368</v>
      </c>
      <c r="E1289" s="12" t="s">
        <v>763</v>
      </c>
      <c r="F1289" s="13">
        <v>12</v>
      </c>
      <c r="G1289" s="121">
        <f>Overview!$B$154</f>
        <v>15</v>
      </c>
      <c r="H1289" s="23">
        <f>G1289-I1289</f>
        <v>15</v>
      </c>
      <c r="I1289" s="114">
        <f>Overview!$E$154</f>
        <v>0</v>
      </c>
      <c r="J1289" s="24">
        <f>I1289/F1289</f>
        <v>0</v>
      </c>
      <c r="K1289" s="116">
        <f>Overview!$H$154</f>
        <v>0</v>
      </c>
      <c r="L1289" s="51" t="e">
        <f>(K1289-J1289)/K1289</f>
        <v>#DIV/0!</v>
      </c>
      <c r="M1289" s="179"/>
      <c r="N1289" s="179" t="s">
        <v>3150</v>
      </c>
      <c r="O1289" s="141">
        <f>I1289</f>
        <v>0</v>
      </c>
      <c r="P1289" s="181" t="b">
        <f>COUNTIF('Facility Data'!$A$1:$A$1500,"*"&amp;A1289&amp;"*")&gt;0</f>
        <v>0</v>
      </c>
      <c r="Q1289" s="181" t="b">
        <f>COUNTIF('Account Data'!$A$1:$A$1000,"*"&amp;A1289&amp;"*")&gt;0</f>
        <v>0</v>
      </c>
      <c r="R1289" s="182" t="b">
        <f>IF(OR(P1289=TRUE,T1289=TRUE),TRUE,FALSE)</f>
        <v>0</v>
      </c>
      <c r="S1289" s="182" t="b">
        <f t="shared" si="421"/>
        <v>0</v>
      </c>
      <c r="T1289" s="181" t="b">
        <f>COUNTIF('New Items'!$A$1:$A$175,A1289)&gt;0</f>
        <v>0</v>
      </c>
      <c r="U1289" s="181" t="b">
        <f>COUNTIF(Discontinued!$A$1:$A$150,A1289)&gt;0</f>
        <v>0</v>
      </c>
    </row>
    <row r="1290" spans="1:21" s="8" customFormat="1" ht="12" thickBot="1" x14ac:dyDescent="0.25">
      <c r="A1290" s="152">
        <v>20020525</v>
      </c>
      <c r="B1290" s="9" t="s">
        <v>1561</v>
      </c>
      <c r="C1290" s="12" t="s">
        <v>1562</v>
      </c>
      <c r="D1290" s="11" t="s">
        <v>1369</v>
      </c>
      <c r="E1290" s="12" t="s">
        <v>763</v>
      </c>
      <c r="F1290" s="13">
        <v>12</v>
      </c>
      <c r="G1290" s="121">
        <f>Overview!$B$154</f>
        <v>15</v>
      </c>
      <c r="H1290" s="23">
        <f>G1290-I1290</f>
        <v>15</v>
      </c>
      <c r="I1290" s="114">
        <f>Overview!$E$154</f>
        <v>0</v>
      </c>
      <c r="J1290" s="24">
        <f>I1290/F1290</f>
        <v>0</v>
      </c>
      <c r="K1290" s="116">
        <f>Overview!$H$154</f>
        <v>0</v>
      </c>
      <c r="L1290" s="51" t="e">
        <f>(K1290-J1290)/K1290</f>
        <v>#DIV/0!</v>
      </c>
      <c r="M1290" s="179"/>
      <c r="N1290" s="179" t="s">
        <v>3150</v>
      </c>
      <c r="O1290" s="141">
        <f>I1290</f>
        <v>0</v>
      </c>
      <c r="P1290" s="181" t="b">
        <f>COUNTIF('Facility Data'!$A$1:$A$1500,"*"&amp;A1290&amp;"*")&gt;0</f>
        <v>0</v>
      </c>
      <c r="Q1290" s="181" t="b">
        <f>COUNTIF('Account Data'!$A$1:$A$1000,"*"&amp;A1290&amp;"*")&gt;0</f>
        <v>0</v>
      </c>
      <c r="R1290" s="182" t="b">
        <f>IF(OR(P1290=TRUE,T1290=TRUE),TRUE,FALSE)</f>
        <v>0</v>
      </c>
      <c r="S1290" s="182" t="b">
        <f t="shared" si="421"/>
        <v>0</v>
      </c>
      <c r="T1290" s="181" t="b">
        <f>COUNTIF('New Items'!$A$1:$A$175,A1290)&gt;0</f>
        <v>0</v>
      </c>
      <c r="U1290" s="181" t="b">
        <f>COUNTIF(Discontinued!$A$1:$A$150,A1290)&gt;0</f>
        <v>0</v>
      </c>
    </row>
    <row r="1291" spans="1:21" s="8" customFormat="1" ht="13.5" thickBot="1" x14ac:dyDescent="0.25">
      <c r="A1291" s="300" t="s">
        <v>3049</v>
      </c>
      <c r="B1291" s="301"/>
      <c r="C1291" s="301"/>
      <c r="D1291" s="301"/>
      <c r="E1291" s="301"/>
      <c r="F1291" s="301"/>
      <c r="G1291" s="301"/>
      <c r="H1291" s="301"/>
      <c r="I1291" s="301"/>
      <c r="J1291" s="301"/>
      <c r="K1291" s="301"/>
      <c r="L1291" s="302"/>
      <c r="M1291" s="179" t="s">
        <v>4361</v>
      </c>
      <c r="N1291" s="179" t="s">
        <v>3049</v>
      </c>
      <c r="O1291" s="141">
        <f>AVERAGE(O1292:O1298)</f>
        <v>0</v>
      </c>
      <c r="P1291" s="181" t="b">
        <f>COUNTIF(P1292:P1298,TRUE)&gt;0</f>
        <v>0</v>
      </c>
      <c r="Q1291" s="181" t="b">
        <f>COUNTIF(Q1292:Q1298,TRUE)&gt;0</f>
        <v>0</v>
      </c>
      <c r="R1291" s="181" t="b">
        <f>COUNTIF(R1292:R1298,TRUE)&gt;0</f>
        <v>0</v>
      </c>
      <c r="S1291" s="181" t="b">
        <f>COUNTIF(S1292:S1298,TRUE)&gt;0</f>
        <v>0</v>
      </c>
      <c r="T1291" s="181" t="b">
        <f>COUNTIF(T1292:T1298,TRUE)&gt;0</f>
        <v>0</v>
      </c>
      <c r="U1291" s="181"/>
    </row>
    <row r="1292" spans="1:21" s="8" customFormat="1" ht="11.25" x14ac:dyDescent="0.2">
      <c r="A1292" s="152">
        <v>20000014</v>
      </c>
      <c r="B1292" s="9" t="s">
        <v>3050</v>
      </c>
      <c r="C1292" s="14" t="s">
        <v>3051</v>
      </c>
      <c r="D1292" s="11" t="s">
        <v>3244</v>
      </c>
      <c r="E1292" s="14" t="s">
        <v>762</v>
      </c>
      <c r="F1292" s="13">
        <v>6</v>
      </c>
      <c r="G1292" s="121">
        <f>Overview!$B$155</f>
        <v>20</v>
      </c>
      <c r="H1292" s="23">
        <f>G1292-I1292</f>
        <v>20</v>
      </c>
      <c r="I1292" s="114">
        <f>Overview!$E$155</f>
        <v>0</v>
      </c>
      <c r="J1292" s="52">
        <f>I1292/F1292</f>
        <v>0</v>
      </c>
      <c r="K1292" s="174">
        <f>Overview!$H$155</f>
        <v>0</v>
      </c>
      <c r="L1292" s="54" t="e">
        <f>(K1292-J1292)/K1292</f>
        <v>#DIV/0!</v>
      </c>
      <c r="M1292" s="179"/>
      <c r="N1292" s="179" t="s">
        <v>3049</v>
      </c>
      <c r="O1292" s="141">
        <f>I1292</f>
        <v>0</v>
      </c>
      <c r="P1292" s="181" t="b">
        <f>COUNTIF('Facility Data'!$A$1:$A$1500,"*"&amp;A1292&amp;"*")&gt;0</f>
        <v>0</v>
      </c>
      <c r="Q1292" s="181" t="b">
        <f>COUNTIF('Account Data'!$A$1:$A$1000,"*"&amp;A1292&amp;"*")&gt;0</f>
        <v>0</v>
      </c>
      <c r="R1292" s="182" t="b">
        <f t="shared" ref="R1292:R1298" si="422">IF(OR(P1292=TRUE,T1292=TRUE),TRUE,FALSE)</f>
        <v>0</v>
      </c>
      <c r="S1292" s="182" t="b">
        <f t="shared" ref="S1292:S1298" si="423">IF(OR(Q1292=TRUE,T1292=TRUE),TRUE,FALSE)</f>
        <v>0</v>
      </c>
      <c r="T1292" s="181" t="b">
        <f>COUNTIF('New Items'!$A$1:$A$175,A1292)&gt;0</f>
        <v>0</v>
      </c>
      <c r="U1292" s="181" t="b">
        <f>COUNTIF(Discontinued!$A$1:$A$150,A1292)&gt;0</f>
        <v>0</v>
      </c>
    </row>
    <row r="1293" spans="1:21" s="8" customFormat="1" ht="11.25" x14ac:dyDescent="0.2">
      <c r="A1293" s="152">
        <v>20000015</v>
      </c>
      <c r="B1293" s="9" t="s">
        <v>3052</v>
      </c>
      <c r="C1293" s="14" t="s">
        <v>3053</v>
      </c>
      <c r="D1293" s="11" t="s">
        <v>3245</v>
      </c>
      <c r="E1293" s="14" t="s">
        <v>762</v>
      </c>
      <c r="F1293" s="13">
        <v>6</v>
      </c>
      <c r="G1293" s="121">
        <f>Overview!$B$155</f>
        <v>20</v>
      </c>
      <c r="H1293" s="23">
        <f t="shared" ref="H1293:H1298" si="424">G1293-I1293</f>
        <v>20</v>
      </c>
      <c r="I1293" s="114">
        <f>Overview!$E$155</f>
        <v>0</v>
      </c>
      <c r="J1293" s="52">
        <f t="shared" ref="J1293:J1298" si="425">I1293/F1293</f>
        <v>0</v>
      </c>
      <c r="K1293" s="174">
        <f>Overview!$H$155</f>
        <v>0</v>
      </c>
      <c r="L1293" s="54" t="e">
        <f t="shared" ref="L1293:L1298" si="426">(K1293-J1293)/K1293</f>
        <v>#DIV/0!</v>
      </c>
      <c r="M1293" s="179"/>
      <c r="N1293" s="179" t="s">
        <v>3049</v>
      </c>
      <c r="O1293" s="141">
        <f t="shared" ref="O1293:O1298" si="427">I1293</f>
        <v>0</v>
      </c>
      <c r="P1293" s="181" t="b">
        <f>COUNTIF('Facility Data'!$A$1:$A$1500,"*"&amp;A1293&amp;"*")&gt;0</f>
        <v>0</v>
      </c>
      <c r="Q1293" s="181" t="b">
        <f>COUNTIF('Account Data'!$A$1:$A$1000,"*"&amp;A1293&amp;"*")&gt;0</f>
        <v>0</v>
      </c>
      <c r="R1293" s="182" t="b">
        <f t="shared" si="422"/>
        <v>0</v>
      </c>
      <c r="S1293" s="182" t="b">
        <f t="shared" si="423"/>
        <v>0</v>
      </c>
      <c r="T1293" s="181" t="b">
        <f>COUNTIF('New Items'!$A$1:$A$175,A1293)&gt;0</f>
        <v>0</v>
      </c>
      <c r="U1293" s="181" t="b">
        <f>COUNTIF(Discontinued!$A$1:$A$150,A1293)&gt;0</f>
        <v>0</v>
      </c>
    </row>
    <row r="1294" spans="1:21" s="8" customFormat="1" ht="11.25" x14ac:dyDescent="0.2">
      <c r="A1294" s="152">
        <v>20000016</v>
      </c>
      <c r="B1294" s="9" t="s">
        <v>3054</v>
      </c>
      <c r="C1294" s="14" t="s">
        <v>3055</v>
      </c>
      <c r="D1294" s="11" t="s">
        <v>3246</v>
      </c>
      <c r="E1294" s="14" t="s">
        <v>762</v>
      </c>
      <c r="F1294" s="13">
        <v>6</v>
      </c>
      <c r="G1294" s="121">
        <f>Overview!$B$155</f>
        <v>20</v>
      </c>
      <c r="H1294" s="23">
        <f>G1294-I1294</f>
        <v>20</v>
      </c>
      <c r="I1294" s="114">
        <f>Overview!$E$155</f>
        <v>0</v>
      </c>
      <c r="J1294" s="52">
        <f>I1294/F1294</f>
        <v>0</v>
      </c>
      <c r="K1294" s="174">
        <f>Overview!$H$155</f>
        <v>0</v>
      </c>
      <c r="L1294" s="54" t="e">
        <f>(K1294-J1294)/K1294</f>
        <v>#DIV/0!</v>
      </c>
      <c r="M1294" s="179"/>
      <c r="N1294" s="179" t="s">
        <v>3049</v>
      </c>
      <c r="O1294" s="141">
        <f>I1294</f>
        <v>0</v>
      </c>
      <c r="P1294" s="181" t="b">
        <f>COUNTIF('Facility Data'!$A$1:$A$1500,"*"&amp;A1294&amp;"*")&gt;0</f>
        <v>0</v>
      </c>
      <c r="Q1294" s="181" t="b">
        <f>COUNTIF('Account Data'!$A$1:$A$1000,"*"&amp;A1294&amp;"*")&gt;0</f>
        <v>0</v>
      </c>
      <c r="R1294" s="182" t="b">
        <f t="shared" si="422"/>
        <v>0</v>
      </c>
      <c r="S1294" s="182" t="b">
        <f t="shared" si="423"/>
        <v>0</v>
      </c>
      <c r="T1294" s="181" t="b">
        <f>COUNTIF('New Items'!$A$1:$A$175,A1294)&gt;0</f>
        <v>0</v>
      </c>
      <c r="U1294" s="181" t="b">
        <f>COUNTIF(Discontinued!$A$1:$A$150,A1294)&gt;0</f>
        <v>0</v>
      </c>
    </row>
    <row r="1295" spans="1:21" s="8" customFormat="1" ht="11.25" x14ac:dyDescent="0.2">
      <c r="A1295" s="152">
        <v>20000022</v>
      </c>
      <c r="B1295" s="9" t="s">
        <v>3056</v>
      </c>
      <c r="C1295" s="14" t="s">
        <v>3057</v>
      </c>
      <c r="D1295" s="11" t="s">
        <v>3064</v>
      </c>
      <c r="E1295" s="14" t="s">
        <v>774</v>
      </c>
      <c r="F1295" s="13">
        <v>24</v>
      </c>
      <c r="G1295" s="121">
        <f>Overview!$B$156</f>
        <v>24</v>
      </c>
      <c r="H1295" s="23">
        <f>G1295-I1295</f>
        <v>24</v>
      </c>
      <c r="I1295" s="114">
        <f>Overview!$E$156</f>
        <v>0</v>
      </c>
      <c r="J1295" s="52">
        <f>I1295/F1295</f>
        <v>0</v>
      </c>
      <c r="K1295" s="174">
        <f>Overview!$H$156</f>
        <v>0</v>
      </c>
      <c r="L1295" s="54" t="e">
        <f>(K1295-J1295)/K1295</f>
        <v>#DIV/0!</v>
      </c>
      <c r="M1295" s="179"/>
      <c r="N1295" s="179" t="s">
        <v>3049</v>
      </c>
      <c r="O1295" s="141">
        <f>I1295</f>
        <v>0</v>
      </c>
      <c r="P1295" s="181" t="b">
        <f>COUNTIF('Facility Data'!$A$1:$A$1500,"*"&amp;A1295&amp;"*")&gt;0</f>
        <v>0</v>
      </c>
      <c r="Q1295" s="181" t="b">
        <f>COUNTIF('Account Data'!$A$1:$A$1000,"*"&amp;A1295&amp;"*")&gt;0</f>
        <v>0</v>
      </c>
      <c r="R1295" s="182" t="b">
        <f t="shared" si="422"/>
        <v>0</v>
      </c>
      <c r="S1295" s="182" t="b">
        <f t="shared" si="423"/>
        <v>0</v>
      </c>
      <c r="T1295" s="181" t="b">
        <f>COUNTIF('New Items'!$A$1:$A$175,A1295)&gt;0</f>
        <v>0</v>
      </c>
      <c r="U1295" s="181" t="b">
        <f>COUNTIF(Discontinued!$A$1:$A$150,A1295)&gt;0</f>
        <v>0</v>
      </c>
    </row>
    <row r="1296" spans="1:21" s="8" customFormat="1" ht="11.25" x14ac:dyDescent="0.2">
      <c r="A1296" s="152">
        <v>20001316</v>
      </c>
      <c r="B1296" s="9" t="s">
        <v>3058</v>
      </c>
      <c r="C1296" s="14" t="s">
        <v>3059</v>
      </c>
      <c r="D1296" s="11" t="s">
        <v>3154</v>
      </c>
      <c r="E1296" s="124" t="s">
        <v>1014</v>
      </c>
      <c r="F1296" s="120">
        <v>12</v>
      </c>
      <c r="G1296" s="121">
        <f>Overview!$B$157</f>
        <v>24</v>
      </c>
      <c r="H1296" s="23">
        <f t="shared" si="424"/>
        <v>24</v>
      </c>
      <c r="I1296" s="114">
        <f>Overview!$E$157</f>
        <v>0</v>
      </c>
      <c r="J1296" s="52">
        <f t="shared" si="425"/>
        <v>0</v>
      </c>
      <c r="K1296" s="174">
        <f>Overview!$H$157</f>
        <v>0</v>
      </c>
      <c r="L1296" s="54" t="e">
        <f t="shared" si="426"/>
        <v>#DIV/0!</v>
      </c>
      <c r="M1296" s="179"/>
      <c r="N1296" s="179" t="s">
        <v>3049</v>
      </c>
      <c r="O1296" s="141">
        <f t="shared" si="427"/>
        <v>0</v>
      </c>
      <c r="P1296" s="181" t="b">
        <f>COUNTIF('Facility Data'!$A$1:$A$1500,"*"&amp;A1296&amp;"*")&gt;0</f>
        <v>0</v>
      </c>
      <c r="Q1296" s="181" t="b">
        <f>COUNTIF('Account Data'!$A$1:$A$1000,"*"&amp;A1296&amp;"*")&gt;0</f>
        <v>0</v>
      </c>
      <c r="R1296" s="182" t="b">
        <f t="shared" si="422"/>
        <v>0</v>
      </c>
      <c r="S1296" s="182" t="b">
        <f t="shared" si="423"/>
        <v>0</v>
      </c>
      <c r="T1296" s="181" t="b">
        <f>COUNTIF('New Items'!$A$1:$A$175,A1296)&gt;0</f>
        <v>0</v>
      </c>
      <c r="U1296" s="181" t="b">
        <f>COUNTIF(Discontinued!$A$1:$A$150,A1296)&gt;0</f>
        <v>0</v>
      </c>
    </row>
    <row r="1297" spans="1:21" s="8" customFormat="1" ht="11.25" x14ac:dyDescent="0.2">
      <c r="A1297" s="152">
        <v>20001317</v>
      </c>
      <c r="B1297" s="9" t="s">
        <v>3060</v>
      </c>
      <c r="C1297" s="15" t="s">
        <v>3061</v>
      </c>
      <c r="D1297" s="11" t="s">
        <v>3155</v>
      </c>
      <c r="E1297" s="124" t="s">
        <v>1014</v>
      </c>
      <c r="F1297" s="120">
        <v>12</v>
      </c>
      <c r="G1297" s="121">
        <f>Overview!$B$157</f>
        <v>24</v>
      </c>
      <c r="H1297" s="23">
        <f t="shared" si="424"/>
        <v>24</v>
      </c>
      <c r="I1297" s="114">
        <f>Overview!$E$157</f>
        <v>0</v>
      </c>
      <c r="J1297" s="52">
        <f t="shared" si="425"/>
        <v>0</v>
      </c>
      <c r="K1297" s="174">
        <f>Overview!$H$157</f>
        <v>0</v>
      </c>
      <c r="L1297" s="54" t="e">
        <f t="shared" si="426"/>
        <v>#DIV/0!</v>
      </c>
      <c r="M1297" s="179"/>
      <c r="N1297" s="179" t="s">
        <v>3049</v>
      </c>
      <c r="O1297" s="141">
        <f t="shared" si="427"/>
        <v>0</v>
      </c>
      <c r="P1297" s="181" t="b">
        <f>COUNTIF('Facility Data'!$A$1:$A$1500,"*"&amp;A1297&amp;"*")&gt;0</f>
        <v>0</v>
      </c>
      <c r="Q1297" s="181" t="b">
        <f>COUNTIF('Account Data'!$A$1:$A$1000,"*"&amp;A1297&amp;"*")&gt;0</f>
        <v>0</v>
      </c>
      <c r="R1297" s="182" t="b">
        <f t="shared" si="422"/>
        <v>0</v>
      </c>
      <c r="S1297" s="182" t="b">
        <f t="shared" si="423"/>
        <v>0</v>
      </c>
      <c r="T1297" s="181" t="b">
        <f>COUNTIF('New Items'!$A$1:$A$175,A1297)&gt;0</f>
        <v>0</v>
      </c>
      <c r="U1297" s="181" t="b">
        <f>COUNTIF(Discontinued!$A$1:$A$150,A1297)&gt;0</f>
        <v>0</v>
      </c>
    </row>
    <row r="1298" spans="1:21" s="8" customFormat="1" ht="12" thickBot="1" x14ac:dyDescent="0.25">
      <c r="A1298" s="154">
        <v>20001318</v>
      </c>
      <c r="B1298" s="58" t="s">
        <v>3062</v>
      </c>
      <c r="C1298" s="14" t="s">
        <v>3063</v>
      </c>
      <c r="D1298" s="11" t="s">
        <v>3156</v>
      </c>
      <c r="E1298" s="124" t="s">
        <v>1014</v>
      </c>
      <c r="F1298" s="120">
        <v>12</v>
      </c>
      <c r="G1298" s="121">
        <f>Overview!$B$157</f>
        <v>24</v>
      </c>
      <c r="H1298" s="23">
        <f t="shared" si="424"/>
        <v>24</v>
      </c>
      <c r="I1298" s="114">
        <f>Overview!$E$157</f>
        <v>0</v>
      </c>
      <c r="J1298" s="52">
        <f t="shared" si="425"/>
        <v>0</v>
      </c>
      <c r="K1298" s="174">
        <f>Overview!$H$157</f>
        <v>0</v>
      </c>
      <c r="L1298" s="54" t="e">
        <f t="shared" si="426"/>
        <v>#DIV/0!</v>
      </c>
      <c r="M1298" s="179"/>
      <c r="N1298" s="179" t="s">
        <v>3049</v>
      </c>
      <c r="O1298" s="141">
        <f t="shared" si="427"/>
        <v>0</v>
      </c>
      <c r="P1298" s="181" t="b">
        <f>COUNTIF('Facility Data'!$A$1:$A$1500,"*"&amp;A1298&amp;"*")&gt;0</f>
        <v>0</v>
      </c>
      <c r="Q1298" s="181" t="b">
        <f>COUNTIF('Account Data'!$A$1:$A$1000,"*"&amp;A1298&amp;"*")&gt;0</f>
        <v>0</v>
      </c>
      <c r="R1298" s="182" t="b">
        <f t="shared" si="422"/>
        <v>0</v>
      </c>
      <c r="S1298" s="182" t="b">
        <f t="shared" si="423"/>
        <v>0</v>
      </c>
      <c r="T1298" s="181" t="b">
        <f>COUNTIF('New Items'!$A$1:$A$175,A1298)&gt;0</f>
        <v>0</v>
      </c>
      <c r="U1298" s="181" t="b">
        <f>COUNTIF(Discontinued!$A$1:$A$150,A1298)&gt;0</f>
        <v>0</v>
      </c>
    </row>
    <row r="1299" spans="1:21" s="8" customFormat="1" ht="13.5" thickBot="1" x14ac:dyDescent="0.25">
      <c r="A1299" s="300" t="s">
        <v>804</v>
      </c>
      <c r="B1299" s="301"/>
      <c r="C1299" s="301"/>
      <c r="D1299" s="301"/>
      <c r="E1299" s="301"/>
      <c r="F1299" s="301"/>
      <c r="G1299" s="301"/>
      <c r="H1299" s="301"/>
      <c r="I1299" s="301"/>
      <c r="J1299" s="301"/>
      <c r="K1299" s="301"/>
      <c r="L1299" s="302"/>
      <c r="M1299" s="179" t="s">
        <v>4361</v>
      </c>
      <c r="N1299" s="179" t="s">
        <v>804</v>
      </c>
      <c r="O1299" s="141">
        <f>AVERAGE(O1300:O1301)</f>
        <v>0</v>
      </c>
      <c r="P1299" s="181" t="b">
        <f>COUNTIF(P1300:P1301,TRUE)&gt;0</f>
        <v>1</v>
      </c>
      <c r="Q1299" s="181" t="b">
        <f>COUNTIF(Q1300:Q1301,TRUE)&gt;0</f>
        <v>1</v>
      </c>
      <c r="R1299" s="181" t="b">
        <f>COUNTIF(R1300:R1301,TRUE)&gt;0</f>
        <v>1</v>
      </c>
      <c r="S1299" s="181" t="b">
        <f>COUNTIF(S1300:S1301,TRUE)&gt;0</f>
        <v>1</v>
      </c>
      <c r="T1299" s="181" t="b">
        <f>COUNTIF(T1300:T1301,TRUE)&gt;0</f>
        <v>0</v>
      </c>
      <c r="U1299" s="181"/>
    </row>
    <row r="1300" spans="1:21" s="8" customFormat="1" ht="11.25" x14ac:dyDescent="0.2">
      <c r="A1300" s="152">
        <v>10111501</v>
      </c>
      <c r="B1300" s="10" t="s">
        <v>3349</v>
      </c>
      <c r="C1300" s="14" t="s">
        <v>3354</v>
      </c>
      <c r="D1300" s="11" t="s">
        <v>782</v>
      </c>
      <c r="E1300" s="14" t="s">
        <v>782</v>
      </c>
      <c r="F1300" s="13">
        <v>12</v>
      </c>
      <c r="G1300" s="121">
        <f>Overview!$B$160</f>
        <v>24</v>
      </c>
      <c r="H1300" s="23">
        <f>G1300-I1300</f>
        <v>24</v>
      </c>
      <c r="I1300" s="114">
        <f>Overview!$E$160</f>
        <v>0</v>
      </c>
      <c r="J1300" s="24">
        <f>I1300/F1300</f>
        <v>0</v>
      </c>
      <c r="K1300" s="116">
        <f>Overview!$H$160</f>
        <v>0</v>
      </c>
      <c r="L1300" s="51" t="e">
        <f>(K1300-J1300)/K1300</f>
        <v>#DIV/0!</v>
      </c>
      <c r="M1300" s="179"/>
      <c r="N1300" s="179" t="s">
        <v>804</v>
      </c>
      <c r="O1300" s="141">
        <f>I1300</f>
        <v>0</v>
      </c>
      <c r="P1300" s="181" t="b">
        <f>COUNTIF('Facility Data'!$A$1:$A$1500,"*"&amp;A1300&amp;"*")&gt;0</f>
        <v>1</v>
      </c>
      <c r="Q1300" s="181" t="b">
        <f>COUNTIF('Account Data'!$A$1:$A$1000,"*"&amp;A1300&amp;"*")&gt;0</f>
        <v>1</v>
      </c>
      <c r="R1300" s="182" t="b">
        <f>IF(OR(P1300=TRUE,T1300=TRUE),TRUE,FALSE)</f>
        <v>1</v>
      </c>
      <c r="S1300" s="182" t="b">
        <f>IF(OR(Q1300=TRUE,T1300=TRUE),TRUE,FALSE)</f>
        <v>1</v>
      </c>
      <c r="T1300" s="181" t="b">
        <f>COUNTIF('New Items'!$A$1:$A$175,A1300)&gt;0</f>
        <v>0</v>
      </c>
      <c r="U1300" s="181" t="b">
        <f>COUNTIF(Discontinued!$A$1:$A$150,A1300)&gt;0</f>
        <v>0</v>
      </c>
    </row>
    <row r="1301" spans="1:21" s="8" customFormat="1" ht="12" thickBot="1" x14ac:dyDescent="0.25">
      <c r="A1301" s="152">
        <v>10110362</v>
      </c>
      <c r="B1301" s="10" t="s">
        <v>3350</v>
      </c>
      <c r="C1301" s="14" t="s">
        <v>805</v>
      </c>
      <c r="D1301" s="11" t="s">
        <v>761</v>
      </c>
      <c r="E1301" s="14" t="s">
        <v>761</v>
      </c>
      <c r="F1301" s="13">
        <v>12</v>
      </c>
      <c r="G1301" s="121">
        <f>Overview!$B$161</f>
        <v>24</v>
      </c>
      <c r="H1301" s="23">
        <f>G1301-I1301</f>
        <v>24</v>
      </c>
      <c r="I1301" s="114">
        <f>Overview!$E$161</f>
        <v>0</v>
      </c>
      <c r="J1301" s="24">
        <f>I1301/F1301</f>
        <v>0</v>
      </c>
      <c r="K1301" s="116">
        <f>Overview!$H$161</f>
        <v>0</v>
      </c>
      <c r="L1301" s="51" t="e">
        <f>(K1301-J1301)/K1301</f>
        <v>#DIV/0!</v>
      </c>
      <c r="M1301" s="179"/>
      <c r="N1301" s="179" t="s">
        <v>804</v>
      </c>
      <c r="O1301" s="141">
        <f>I1301</f>
        <v>0</v>
      </c>
      <c r="P1301" s="181" t="b">
        <f>COUNTIF('Facility Data'!$A$1:$A$1500,"*"&amp;A1301&amp;"*")&gt;0</f>
        <v>1</v>
      </c>
      <c r="Q1301" s="181" t="b">
        <f>COUNTIF('Account Data'!$A$1:$A$1000,"*"&amp;A1301&amp;"*")&gt;0</f>
        <v>1</v>
      </c>
      <c r="R1301" s="182" t="b">
        <f>IF(OR(P1301=TRUE,T1301=TRUE),TRUE,FALSE)</f>
        <v>1</v>
      </c>
      <c r="S1301" s="182" t="b">
        <f>IF(OR(Q1301=TRUE,T1301=TRUE),TRUE,FALSE)</f>
        <v>1</v>
      </c>
      <c r="T1301" s="181" t="b">
        <f>COUNTIF('New Items'!$A$1:$A$175,A1301)&gt;0</f>
        <v>0</v>
      </c>
      <c r="U1301" s="181" t="b">
        <f>COUNTIF(Discontinued!$A$1:$A$150,A1301)&gt;0</f>
        <v>0</v>
      </c>
    </row>
    <row r="1302" spans="1:21" s="8" customFormat="1" ht="13.5" thickBot="1" x14ac:dyDescent="0.25">
      <c r="A1302" s="300" t="s">
        <v>597</v>
      </c>
      <c r="B1302" s="301"/>
      <c r="C1302" s="301"/>
      <c r="D1302" s="301"/>
      <c r="E1302" s="301"/>
      <c r="F1302" s="301"/>
      <c r="G1302" s="301"/>
      <c r="H1302" s="301"/>
      <c r="I1302" s="301"/>
      <c r="J1302" s="301"/>
      <c r="K1302" s="301"/>
      <c r="L1302" s="302"/>
      <c r="M1302" s="179" t="s">
        <v>4361</v>
      </c>
      <c r="N1302" s="179" t="s">
        <v>597</v>
      </c>
      <c r="O1302" s="141">
        <f>AVERAGE(O1303:O1308)</f>
        <v>0</v>
      </c>
      <c r="P1302" s="181" t="b">
        <f>COUNTIF(P1303:P1308,TRUE)&gt;0</f>
        <v>1</v>
      </c>
      <c r="Q1302" s="181" t="b">
        <f>COUNTIF(Q1303:Q1308,TRUE)&gt;0</f>
        <v>0</v>
      </c>
      <c r="R1302" s="181" t="b">
        <f>COUNTIF(R1303:R1308,TRUE)&gt;0</f>
        <v>1</v>
      </c>
      <c r="S1302" s="181" t="b">
        <f>COUNTIF(S1303:S1308,TRUE)&gt;0</f>
        <v>0</v>
      </c>
      <c r="T1302" s="181" t="b">
        <f>COUNTIF(T1303:T1308,TRUE)&gt;0</f>
        <v>0</v>
      </c>
      <c r="U1302" s="181"/>
    </row>
    <row r="1303" spans="1:21" s="8" customFormat="1" ht="11.25" x14ac:dyDescent="0.2">
      <c r="A1303" s="152">
        <v>10123486</v>
      </c>
      <c r="B1303" s="9" t="s">
        <v>598</v>
      </c>
      <c r="C1303" s="14" t="s">
        <v>608</v>
      </c>
      <c r="D1303" s="11" t="s">
        <v>757</v>
      </c>
      <c r="E1303" s="14" t="s">
        <v>757</v>
      </c>
      <c r="F1303" s="13">
        <v>24</v>
      </c>
      <c r="G1303" s="121">
        <f>Overview!$B$162</f>
        <v>36</v>
      </c>
      <c r="H1303" s="23">
        <f t="shared" ref="H1303:H1308" si="428">G1303-I1303</f>
        <v>36</v>
      </c>
      <c r="I1303" s="114">
        <f>Overview!$E$162</f>
        <v>0</v>
      </c>
      <c r="J1303" s="24">
        <f t="shared" ref="J1303:J1308" si="429">I1303/F1303</f>
        <v>0</v>
      </c>
      <c r="K1303" s="116">
        <f>Overview!$H$162</f>
        <v>0</v>
      </c>
      <c r="L1303" s="51" t="e">
        <f t="shared" ref="L1303:L1308" si="430">(K1303-J1303)/K1303</f>
        <v>#DIV/0!</v>
      </c>
      <c r="M1303" s="179"/>
      <c r="N1303" s="179" t="s">
        <v>597</v>
      </c>
      <c r="O1303" s="141">
        <f t="shared" ref="O1303:O1308" si="431">I1303</f>
        <v>0</v>
      </c>
      <c r="P1303" s="181" t="b">
        <f>COUNTIF('Facility Data'!$A$1:$A$1500,"*"&amp;A1303&amp;"*")&gt;0</f>
        <v>1</v>
      </c>
      <c r="Q1303" s="181" t="b">
        <f>COUNTIF('Account Data'!$A$1:$A$1000,"*"&amp;A1303&amp;"*")&gt;0</f>
        <v>0</v>
      </c>
      <c r="R1303" s="182" t="b">
        <f t="shared" ref="R1303:R1308" si="432">IF(OR(P1303=TRUE,T1303=TRUE),TRUE,FALSE)</f>
        <v>1</v>
      </c>
      <c r="S1303" s="182" t="b">
        <f t="shared" si="421"/>
        <v>0</v>
      </c>
      <c r="T1303" s="181" t="b">
        <f>COUNTIF('New Items'!$A$1:$A$175,A1303)&gt;0</f>
        <v>0</v>
      </c>
      <c r="U1303" s="181" t="b">
        <f>COUNTIF(Discontinued!$A$1:$A$150,A1303)&gt;0</f>
        <v>0</v>
      </c>
    </row>
    <row r="1304" spans="1:21" s="8" customFormat="1" ht="11.25" x14ac:dyDescent="0.2">
      <c r="A1304" s="152">
        <v>10123484</v>
      </c>
      <c r="B1304" s="9" t="s">
        <v>599</v>
      </c>
      <c r="C1304" s="14" t="s">
        <v>618</v>
      </c>
      <c r="D1304" s="11" t="s">
        <v>950</v>
      </c>
      <c r="E1304" s="14" t="s">
        <v>791</v>
      </c>
      <c r="F1304" s="13">
        <v>24</v>
      </c>
      <c r="G1304" s="121">
        <f>Overview!$B$163</f>
        <v>40</v>
      </c>
      <c r="H1304" s="23">
        <f t="shared" si="428"/>
        <v>40</v>
      </c>
      <c r="I1304" s="114">
        <f>Overview!$E$163</f>
        <v>0</v>
      </c>
      <c r="J1304" s="24">
        <f t="shared" si="429"/>
        <v>0</v>
      </c>
      <c r="K1304" s="116">
        <f>Overview!$H$163</f>
        <v>0</v>
      </c>
      <c r="L1304" s="51" t="e">
        <f t="shared" si="430"/>
        <v>#DIV/0!</v>
      </c>
      <c r="M1304" s="179"/>
      <c r="N1304" s="179" t="s">
        <v>597</v>
      </c>
      <c r="O1304" s="141">
        <f t="shared" si="431"/>
        <v>0</v>
      </c>
      <c r="P1304" s="181" t="b">
        <f>COUNTIF('Facility Data'!$A$1:$A$1500,"*"&amp;A1304&amp;"*")&gt;0</f>
        <v>1</v>
      </c>
      <c r="Q1304" s="181" t="b">
        <f>COUNTIF('Account Data'!$A$1:$A$1000,"*"&amp;A1304&amp;"*")&gt;0</f>
        <v>0</v>
      </c>
      <c r="R1304" s="182" t="b">
        <f t="shared" si="432"/>
        <v>1</v>
      </c>
      <c r="S1304" s="182" t="b">
        <f t="shared" si="421"/>
        <v>0</v>
      </c>
      <c r="T1304" s="181" t="b">
        <f>COUNTIF('New Items'!$A$1:$A$175,A1304)&gt;0</f>
        <v>0</v>
      </c>
      <c r="U1304" s="181" t="b">
        <f>COUNTIF(Discontinued!$A$1:$A$150,A1304)&gt;0</f>
        <v>0</v>
      </c>
    </row>
    <row r="1305" spans="1:21" s="8" customFormat="1" ht="11.25" x14ac:dyDescent="0.2">
      <c r="A1305" s="152">
        <v>10123487</v>
      </c>
      <c r="B1305" s="9" t="s">
        <v>4061</v>
      </c>
      <c r="C1305" s="14" t="s">
        <v>619</v>
      </c>
      <c r="D1305" s="11" t="s">
        <v>758</v>
      </c>
      <c r="E1305" s="14" t="s">
        <v>758</v>
      </c>
      <c r="F1305" s="13">
        <v>12</v>
      </c>
      <c r="G1305" s="121">
        <f>Overview!$B$164</f>
        <v>24</v>
      </c>
      <c r="H1305" s="23">
        <f t="shared" si="428"/>
        <v>24</v>
      </c>
      <c r="I1305" s="114">
        <f>Overview!$E$164</f>
        <v>0</v>
      </c>
      <c r="J1305" s="24">
        <f t="shared" si="429"/>
        <v>0</v>
      </c>
      <c r="K1305" s="116">
        <f>Overview!$H$164</f>
        <v>0</v>
      </c>
      <c r="L1305" s="51" t="e">
        <f t="shared" si="430"/>
        <v>#DIV/0!</v>
      </c>
      <c r="M1305" s="179"/>
      <c r="N1305" s="179" t="s">
        <v>597</v>
      </c>
      <c r="O1305" s="141">
        <f t="shared" si="431"/>
        <v>0</v>
      </c>
      <c r="P1305" s="181" t="b">
        <f>COUNTIF('Facility Data'!$A$1:$A$1500,"*"&amp;A1305&amp;"*")&gt;0</f>
        <v>1</v>
      </c>
      <c r="Q1305" s="181" t="b">
        <f>COUNTIF('Account Data'!$A$1:$A$1000,"*"&amp;A1305&amp;"*")&gt;0</f>
        <v>0</v>
      </c>
      <c r="R1305" s="182" t="b">
        <f t="shared" si="432"/>
        <v>1</v>
      </c>
      <c r="S1305" s="182" t="b">
        <f t="shared" si="421"/>
        <v>0</v>
      </c>
      <c r="T1305" s="181" t="b">
        <f>COUNTIF('New Items'!$A$1:$A$175,A1305)&gt;0</f>
        <v>0</v>
      </c>
      <c r="U1305" s="181" t="b">
        <f>COUNTIF(Discontinued!$A$1:$A$150,A1305)&gt;0</f>
        <v>0</v>
      </c>
    </row>
    <row r="1306" spans="1:21" s="8" customFormat="1" ht="11.25" x14ac:dyDescent="0.2">
      <c r="A1306" s="152">
        <v>10123488</v>
      </c>
      <c r="B1306" s="9" t="s">
        <v>600</v>
      </c>
      <c r="C1306" s="14" t="s">
        <v>603</v>
      </c>
      <c r="D1306" s="11" t="s">
        <v>759</v>
      </c>
      <c r="E1306" s="14" t="s">
        <v>759</v>
      </c>
      <c r="F1306" s="13">
        <v>12</v>
      </c>
      <c r="G1306" s="121">
        <f>Overview!$B$165</f>
        <v>24</v>
      </c>
      <c r="H1306" s="23">
        <f t="shared" si="428"/>
        <v>24</v>
      </c>
      <c r="I1306" s="114">
        <f>Overview!$E$165</f>
        <v>0</v>
      </c>
      <c r="J1306" s="24">
        <f t="shared" si="429"/>
        <v>0</v>
      </c>
      <c r="K1306" s="116">
        <f>Overview!$H$165</f>
        <v>0</v>
      </c>
      <c r="L1306" s="51" t="e">
        <f t="shared" si="430"/>
        <v>#DIV/0!</v>
      </c>
      <c r="M1306" s="179"/>
      <c r="N1306" s="179" t="s">
        <v>597</v>
      </c>
      <c r="O1306" s="141">
        <f t="shared" si="431"/>
        <v>0</v>
      </c>
      <c r="P1306" s="181" t="b">
        <f>COUNTIF('Facility Data'!$A$1:$A$1500,"*"&amp;A1306&amp;"*")&gt;0</f>
        <v>1</v>
      </c>
      <c r="Q1306" s="181" t="b">
        <f>COUNTIF('Account Data'!$A$1:$A$1000,"*"&amp;A1306&amp;"*")&gt;0</f>
        <v>0</v>
      </c>
      <c r="R1306" s="182" t="b">
        <f t="shared" si="432"/>
        <v>1</v>
      </c>
      <c r="S1306" s="182" t="b">
        <f t="shared" si="421"/>
        <v>0</v>
      </c>
      <c r="T1306" s="181" t="b">
        <f>COUNTIF('New Items'!$A$1:$A$175,A1306)&gt;0</f>
        <v>0</v>
      </c>
      <c r="U1306" s="181" t="b">
        <f>COUNTIF(Discontinued!$A$1:$A$150,A1306)&gt;0</f>
        <v>0</v>
      </c>
    </row>
    <row r="1307" spans="1:21" s="8" customFormat="1" ht="11.25" x14ac:dyDescent="0.2">
      <c r="A1307" s="152">
        <v>10123483</v>
      </c>
      <c r="B1307" s="9" t="s">
        <v>601</v>
      </c>
      <c r="C1307" s="15" t="s">
        <v>620</v>
      </c>
      <c r="D1307" s="11" t="s">
        <v>760</v>
      </c>
      <c r="E1307" s="15" t="s">
        <v>792</v>
      </c>
      <c r="F1307" s="13">
        <v>4</v>
      </c>
      <c r="G1307" s="121">
        <f>Overview!$B$166</f>
        <v>24</v>
      </c>
      <c r="H1307" s="23">
        <f t="shared" si="428"/>
        <v>24</v>
      </c>
      <c r="I1307" s="114">
        <f>Overview!$E$166</f>
        <v>0</v>
      </c>
      <c r="J1307" s="24">
        <f t="shared" si="429"/>
        <v>0</v>
      </c>
      <c r="K1307" s="116">
        <f>Overview!$H$166</f>
        <v>0</v>
      </c>
      <c r="L1307" s="51" t="e">
        <f t="shared" si="430"/>
        <v>#DIV/0!</v>
      </c>
      <c r="M1307" s="179"/>
      <c r="N1307" s="179" t="s">
        <v>597</v>
      </c>
      <c r="O1307" s="141">
        <f t="shared" si="431"/>
        <v>0</v>
      </c>
      <c r="P1307" s="181" t="b">
        <f>COUNTIF('Facility Data'!$A$1:$A$1500,"*"&amp;A1307&amp;"*")&gt;0</f>
        <v>1</v>
      </c>
      <c r="Q1307" s="181" t="b">
        <f>COUNTIF('Account Data'!$A$1:$A$1000,"*"&amp;A1307&amp;"*")&gt;0</f>
        <v>0</v>
      </c>
      <c r="R1307" s="182" t="b">
        <f t="shared" si="432"/>
        <v>1</v>
      </c>
      <c r="S1307" s="182" t="b">
        <f t="shared" si="421"/>
        <v>0</v>
      </c>
      <c r="T1307" s="181" t="b">
        <f>COUNTIF('New Items'!$A$1:$A$175,A1307)&gt;0</f>
        <v>0</v>
      </c>
      <c r="U1307" s="181" t="b">
        <f>COUNTIF(Discontinued!$A$1:$A$150,A1307)&gt;0</f>
        <v>0</v>
      </c>
    </row>
    <row r="1308" spans="1:21" s="8" customFormat="1" ht="12" thickBot="1" x14ac:dyDescent="0.25">
      <c r="A1308" s="154">
        <v>10123485</v>
      </c>
      <c r="B1308" s="58" t="s">
        <v>4060</v>
      </c>
      <c r="C1308" s="14" t="s">
        <v>3355</v>
      </c>
      <c r="D1308" s="11" t="s">
        <v>863</v>
      </c>
      <c r="E1308" s="15" t="s">
        <v>758</v>
      </c>
      <c r="F1308" s="13">
        <v>2</v>
      </c>
      <c r="G1308" s="121">
        <f>Overview!$B$167</f>
        <v>24</v>
      </c>
      <c r="H1308" s="23">
        <f t="shared" si="428"/>
        <v>24</v>
      </c>
      <c r="I1308" s="114">
        <f>Overview!$E$167</f>
        <v>0</v>
      </c>
      <c r="J1308" s="24">
        <f t="shared" si="429"/>
        <v>0</v>
      </c>
      <c r="K1308" s="116">
        <f>Overview!$H$167</f>
        <v>0</v>
      </c>
      <c r="L1308" s="51" t="e">
        <f t="shared" si="430"/>
        <v>#DIV/0!</v>
      </c>
      <c r="M1308" s="179"/>
      <c r="N1308" s="179" t="s">
        <v>597</v>
      </c>
      <c r="O1308" s="141">
        <f t="shared" si="431"/>
        <v>0</v>
      </c>
      <c r="P1308" s="181" t="b">
        <f>COUNTIF('Facility Data'!$A$1:$A$1500,"*"&amp;A1308&amp;"*")&gt;0</f>
        <v>1</v>
      </c>
      <c r="Q1308" s="181" t="b">
        <f>COUNTIF('Account Data'!$A$1:$A$1000,"*"&amp;A1308&amp;"*")&gt;0</f>
        <v>0</v>
      </c>
      <c r="R1308" s="182" t="b">
        <f t="shared" si="432"/>
        <v>1</v>
      </c>
      <c r="S1308" s="182" t="b">
        <f t="shared" si="421"/>
        <v>0</v>
      </c>
      <c r="T1308" s="181" t="b">
        <f>COUNTIF('New Items'!$A$1:$A$175,A1308)&gt;0</f>
        <v>0</v>
      </c>
      <c r="U1308" s="181" t="b">
        <f>COUNTIF(Discontinued!$A$1:$A$150,A1308)&gt;0</f>
        <v>0</v>
      </c>
    </row>
    <row r="1309" spans="1:21" s="8" customFormat="1" ht="13.5" thickBot="1" x14ac:dyDescent="0.25">
      <c r="A1309" s="300" t="s">
        <v>595</v>
      </c>
      <c r="B1309" s="301"/>
      <c r="C1309" s="301"/>
      <c r="D1309" s="301"/>
      <c r="E1309" s="301"/>
      <c r="F1309" s="301"/>
      <c r="G1309" s="301"/>
      <c r="H1309" s="301"/>
      <c r="I1309" s="301"/>
      <c r="J1309" s="301"/>
      <c r="K1309" s="301"/>
      <c r="L1309" s="302"/>
      <c r="M1309" s="179" t="s">
        <v>4361</v>
      </c>
      <c r="N1309" s="179" t="s">
        <v>595</v>
      </c>
      <c r="O1309" s="141">
        <f>AVERAGE(O1310:O1329)</f>
        <v>0</v>
      </c>
      <c r="P1309" s="181" t="b">
        <f>COUNTIF(P1310:P1329,TRUE)&gt;0</f>
        <v>1</v>
      </c>
      <c r="Q1309" s="181" t="b">
        <f>COUNTIF(Q1310:Q1329,TRUE)&gt;0</f>
        <v>1</v>
      </c>
      <c r="R1309" s="181" t="b">
        <f>COUNTIF(R1310:R1329,TRUE)&gt;0</f>
        <v>1</v>
      </c>
      <c r="S1309" s="181" t="b">
        <f>COUNTIF(S1310:S1329,TRUE)&gt;0</f>
        <v>1</v>
      </c>
      <c r="T1309" s="181" t="b">
        <f>COUNTIF(T1310:T1329,TRUE)&gt;0</f>
        <v>0</v>
      </c>
      <c r="U1309" s="181"/>
    </row>
    <row r="1310" spans="1:21" s="8" customFormat="1" ht="11.25" x14ac:dyDescent="0.2">
      <c r="A1310" s="152">
        <v>10027353</v>
      </c>
      <c r="B1310" s="9" t="s">
        <v>3122</v>
      </c>
      <c r="C1310" s="12" t="s">
        <v>3123</v>
      </c>
      <c r="D1310" s="11" t="s">
        <v>2978</v>
      </c>
      <c r="E1310" s="12" t="s">
        <v>769</v>
      </c>
      <c r="F1310" s="13">
        <v>4</v>
      </c>
      <c r="G1310" s="121">
        <f>Overview!$B$170</f>
        <v>14</v>
      </c>
      <c r="H1310" s="23">
        <f>G1310-I1310</f>
        <v>14</v>
      </c>
      <c r="I1310" s="114">
        <f>Overview!$E$170</f>
        <v>0</v>
      </c>
      <c r="J1310" s="24">
        <f>I1310/F1310</f>
        <v>0</v>
      </c>
      <c r="K1310" s="116">
        <f>Overview!$H$170</f>
        <v>0</v>
      </c>
      <c r="L1310" s="51" t="e">
        <f>(K1310-J1310)/K1310</f>
        <v>#DIV/0!</v>
      </c>
      <c r="M1310" s="179"/>
      <c r="N1310" s="179" t="s">
        <v>595</v>
      </c>
      <c r="O1310" s="141">
        <f>I1310</f>
        <v>0</v>
      </c>
      <c r="P1310" s="181" t="b">
        <f>COUNTIF('Facility Data'!$A$1:$A$1500,"*"&amp;A1310&amp;"*")&gt;0</f>
        <v>1</v>
      </c>
      <c r="Q1310" s="181" t="b">
        <f>COUNTIF('Account Data'!$A$1:$A$1000,"*"&amp;A1310&amp;"*")&gt;0</f>
        <v>0</v>
      </c>
      <c r="R1310" s="182" t="b">
        <f t="shared" ref="R1310:R1329" si="433">IF(OR(P1310=TRUE,T1310=TRUE),TRUE,FALSE)</f>
        <v>1</v>
      </c>
      <c r="S1310" s="182" t="b">
        <f>IF(OR(Q1310=TRUE,T1310=TRUE),TRUE,FALSE)</f>
        <v>0</v>
      </c>
      <c r="T1310" s="181" t="b">
        <f>COUNTIF('New Items'!$A$1:$A$175,A1310)&gt;0</f>
        <v>0</v>
      </c>
      <c r="U1310" s="181" t="b">
        <f>COUNTIF(Discontinued!$A$1:$A$150,A1310)&gt;0</f>
        <v>0</v>
      </c>
    </row>
    <row r="1311" spans="1:21" s="8" customFormat="1" ht="11.25" x14ac:dyDescent="0.2">
      <c r="A1311" s="152">
        <v>10000237</v>
      </c>
      <c r="B1311" s="9" t="s">
        <v>3114</v>
      </c>
      <c r="C1311" s="12" t="s">
        <v>3115</v>
      </c>
      <c r="D1311" s="11" t="s">
        <v>3214</v>
      </c>
      <c r="E1311" s="12" t="s">
        <v>769</v>
      </c>
      <c r="F1311" s="13">
        <v>24</v>
      </c>
      <c r="G1311" s="121">
        <f>Overview!$B$171</f>
        <v>18</v>
      </c>
      <c r="H1311" s="23">
        <f>G1311-I1311</f>
        <v>18</v>
      </c>
      <c r="I1311" s="114">
        <f>Overview!$E$171</f>
        <v>0</v>
      </c>
      <c r="J1311" s="24">
        <f>I1311/F1311</f>
        <v>0</v>
      </c>
      <c r="K1311" s="116">
        <f>Overview!$H$171</f>
        <v>0</v>
      </c>
      <c r="L1311" s="51" t="e">
        <f>(K1311-J1311)/K1311</f>
        <v>#DIV/0!</v>
      </c>
      <c r="M1311" s="179"/>
      <c r="N1311" s="179" t="s">
        <v>595</v>
      </c>
      <c r="O1311" s="141">
        <f t="shared" ref="O1311:O1318" si="434">I1311</f>
        <v>0</v>
      </c>
      <c r="P1311" s="181" t="b">
        <f>COUNTIF('Facility Data'!$A$1:$A$1500,"*"&amp;A1311&amp;"*")&gt;0</f>
        <v>0</v>
      </c>
      <c r="Q1311" s="181" t="b">
        <f>COUNTIF('Account Data'!$A$1:$A$1000,"*"&amp;A1311&amp;"*")&gt;0</f>
        <v>0</v>
      </c>
      <c r="R1311" s="182" t="b">
        <f t="shared" si="433"/>
        <v>0</v>
      </c>
      <c r="S1311" s="182" t="b">
        <f t="shared" si="421"/>
        <v>0</v>
      </c>
      <c r="T1311" s="181" t="b">
        <f>COUNTIF('New Items'!$A$1:$A$175,A1311)&gt;0</f>
        <v>0</v>
      </c>
      <c r="U1311" s="181" t="b">
        <f>COUNTIF(Discontinued!$A$1:$A$150,A1311)&gt;0</f>
        <v>0</v>
      </c>
    </row>
    <row r="1312" spans="1:21" s="8" customFormat="1" ht="11.25" x14ac:dyDescent="0.2">
      <c r="A1312" s="152">
        <v>10001402</v>
      </c>
      <c r="B1312" s="9" t="s">
        <v>3116</v>
      </c>
      <c r="C1312" s="12" t="s">
        <v>3115</v>
      </c>
      <c r="D1312" s="11" t="s">
        <v>769</v>
      </c>
      <c r="E1312" s="12" t="s">
        <v>769</v>
      </c>
      <c r="F1312" s="13">
        <v>24</v>
      </c>
      <c r="G1312" s="121">
        <f>Overview!$B$171</f>
        <v>18</v>
      </c>
      <c r="H1312" s="23">
        <f>G1312-I1312</f>
        <v>18</v>
      </c>
      <c r="I1312" s="114">
        <f>Overview!$E$171</f>
        <v>0</v>
      </c>
      <c r="J1312" s="24">
        <f>I1312/F1312</f>
        <v>0</v>
      </c>
      <c r="K1312" s="116">
        <f>Overview!$H$171</f>
        <v>0</v>
      </c>
      <c r="L1312" s="51" t="e">
        <f>(K1312-J1312)/K1312</f>
        <v>#DIV/0!</v>
      </c>
      <c r="M1312" s="179"/>
      <c r="N1312" s="179" t="s">
        <v>595</v>
      </c>
      <c r="O1312" s="141">
        <f t="shared" si="434"/>
        <v>0</v>
      </c>
      <c r="P1312" s="181" t="b">
        <f>COUNTIF('Facility Data'!$A$1:$A$1500,"*"&amp;A1312&amp;"*")&gt;0</f>
        <v>0</v>
      </c>
      <c r="Q1312" s="181" t="b">
        <f>COUNTIF('Account Data'!$A$1:$A$1000,"*"&amp;A1312&amp;"*")&gt;0</f>
        <v>0</v>
      </c>
      <c r="R1312" s="182" t="b">
        <f t="shared" si="433"/>
        <v>0</v>
      </c>
      <c r="S1312" s="182" t="b">
        <f t="shared" si="421"/>
        <v>0</v>
      </c>
      <c r="T1312" s="181" t="b">
        <f>COUNTIF('New Items'!$A$1:$A$175,A1312)&gt;0</f>
        <v>0</v>
      </c>
      <c r="U1312" s="181" t="b">
        <f>COUNTIF(Discontinued!$A$1:$A$150,A1312)&gt;0</f>
        <v>0</v>
      </c>
    </row>
    <row r="1313" spans="1:21" s="8" customFormat="1" ht="11.25" x14ac:dyDescent="0.2">
      <c r="A1313" s="152">
        <v>10000250</v>
      </c>
      <c r="B1313" s="9" t="s">
        <v>594</v>
      </c>
      <c r="C1313" s="12" t="s">
        <v>607</v>
      </c>
      <c r="D1313" s="11" t="s">
        <v>757</v>
      </c>
      <c r="E1313" s="12" t="s">
        <v>757</v>
      </c>
      <c r="F1313" s="13">
        <v>24</v>
      </c>
      <c r="G1313" s="121">
        <f>Overview!$B$172</f>
        <v>36</v>
      </c>
      <c r="H1313" s="23">
        <f>G1313-I1313</f>
        <v>36</v>
      </c>
      <c r="I1313" s="114">
        <f>Overview!$E$172</f>
        <v>0</v>
      </c>
      <c r="J1313" s="24">
        <f>I1313/F1313</f>
        <v>0</v>
      </c>
      <c r="K1313" s="116">
        <f>Overview!$H$172</f>
        <v>0</v>
      </c>
      <c r="L1313" s="51" t="e">
        <f>(K1313-J1313)/K1313</f>
        <v>#DIV/0!</v>
      </c>
      <c r="M1313" s="179"/>
      <c r="N1313" s="179" t="s">
        <v>595</v>
      </c>
      <c r="O1313" s="141">
        <f t="shared" si="434"/>
        <v>0</v>
      </c>
      <c r="P1313" s="181" t="b">
        <f>COUNTIF('Facility Data'!$A$1:$A$1500,"*"&amp;A1313&amp;"*")&gt;0</f>
        <v>0</v>
      </c>
      <c r="Q1313" s="181" t="b">
        <f>COUNTIF('Account Data'!$A$1:$A$1000,"*"&amp;A1313&amp;"*")&gt;0</f>
        <v>1</v>
      </c>
      <c r="R1313" s="182" t="b">
        <f t="shared" si="433"/>
        <v>0</v>
      </c>
      <c r="S1313" s="182" t="b">
        <f t="shared" si="421"/>
        <v>1</v>
      </c>
      <c r="T1313" s="181" t="b">
        <f>COUNTIF('New Items'!$A$1:$A$175,A1313)&gt;0</f>
        <v>0</v>
      </c>
      <c r="U1313" s="181" t="b">
        <f>COUNTIF(Discontinued!$A$1:$A$150,A1313)&gt;0</f>
        <v>0</v>
      </c>
    </row>
    <row r="1314" spans="1:21" s="8" customFormat="1" ht="11.25" x14ac:dyDescent="0.2">
      <c r="A1314" s="152">
        <v>10000252</v>
      </c>
      <c r="B1314" s="9" t="s">
        <v>3096</v>
      </c>
      <c r="C1314" s="12" t="s">
        <v>607</v>
      </c>
      <c r="D1314" s="11" t="s">
        <v>3097</v>
      </c>
      <c r="E1314" s="12" t="s">
        <v>757</v>
      </c>
      <c r="F1314" s="13">
        <v>24</v>
      </c>
      <c r="G1314" s="121">
        <f>Overview!$B$172</f>
        <v>36</v>
      </c>
      <c r="H1314" s="23">
        <f t="shared" ref="H1314:H1326" si="435">G1314-I1314</f>
        <v>36</v>
      </c>
      <c r="I1314" s="114">
        <f>Overview!$E$172</f>
        <v>0</v>
      </c>
      <c r="J1314" s="24">
        <f t="shared" ref="J1314:J1326" si="436">I1314/F1314</f>
        <v>0</v>
      </c>
      <c r="K1314" s="116">
        <f>Overview!$H$172</f>
        <v>0</v>
      </c>
      <c r="L1314" s="51" t="e">
        <f t="shared" ref="L1314:L1326" si="437">(K1314-J1314)/K1314</f>
        <v>#DIV/0!</v>
      </c>
      <c r="M1314" s="179"/>
      <c r="N1314" s="179" t="s">
        <v>595</v>
      </c>
      <c r="O1314" s="141">
        <f t="shared" si="434"/>
        <v>0</v>
      </c>
      <c r="P1314" s="181" t="b">
        <f>COUNTIF('Facility Data'!$A$1:$A$1500,"*"&amp;A1314&amp;"*")&gt;0</f>
        <v>1</v>
      </c>
      <c r="Q1314" s="181" t="b">
        <f>COUNTIF('Account Data'!$A$1:$A$1000,"*"&amp;A1314&amp;"*")&gt;0</f>
        <v>0</v>
      </c>
      <c r="R1314" s="182" t="b">
        <f t="shared" si="433"/>
        <v>1</v>
      </c>
      <c r="S1314" s="182" t="b">
        <f t="shared" si="421"/>
        <v>0</v>
      </c>
      <c r="T1314" s="181" t="b">
        <f>COUNTIF('New Items'!$A$1:$A$175,A1314)&gt;0</f>
        <v>0</v>
      </c>
      <c r="U1314" s="181" t="b">
        <f>COUNTIF(Discontinued!$A$1:$A$150,A1314)&gt;0</f>
        <v>0</v>
      </c>
    </row>
    <row r="1315" spans="1:21" s="8" customFormat="1" ht="11.25" x14ac:dyDescent="0.2">
      <c r="A1315" s="152">
        <v>10064021</v>
      </c>
      <c r="B1315" s="9" t="s">
        <v>3351</v>
      </c>
      <c r="C1315" s="12" t="s">
        <v>607</v>
      </c>
      <c r="D1315" s="11" t="s">
        <v>3100</v>
      </c>
      <c r="E1315" s="12" t="s">
        <v>757</v>
      </c>
      <c r="F1315" s="13">
        <v>24</v>
      </c>
      <c r="G1315" s="121">
        <f>Overview!$B$172</f>
        <v>36</v>
      </c>
      <c r="H1315" s="23">
        <f t="shared" si="435"/>
        <v>36</v>
      </c>
      <c r="I1315" s="114">
        <f>Overview!$E$172</f>
        <v>0</v>
      </c>
      <c r="J1315" s="24">
        <f t="shared" si="436"/>
        <v>0</v>
      </c>
      <c r="K1315" s="116">
        <f>Overview!$H$172</f>
        <v>0</v>
      </c>
      <c r="L1315" s="51" t="e">
        <f t="shared" si="437"/>
        <v>#DIV/0!</v>
      </c>
      <c r="M1315" s="179"/>
      <c r="N1315" s="179" t="s">
        <v>595</v>
      </c>
      <c r="O1315" s="141">
        <f t="shared" si="434"/>
        <v>0</v>
      </c>
      <c r="P1315" s="181" t="b">
        <f>COUNTIF('Facility Data'!$A$1:$A$1500,"*"&amp;A1315&amp;"*")&gt;0</f>
        <v>0</v>
      </c>
      <c r="Q1315" s="181" t="b">
        <f>COUNTIF('Account Data'!$A$1:$A$1000,"*"&amp;A1315&amp;"*")&gt;0</f>
        <v>0</v>
      </c>
      <c r="R1315" s="182" t="b">
        <f t="shared" si="433"/>
        <v>0</v>
      </c>
      <c r="S1315" s="182" t="b">
        <f t="shared" si="421"/>
        <v>0</v>
      </c>
      <c r="T1315" s="181" t="b">
        <f>COUNTIF('New Items'!$A$1:$A$175,A1315)&gt;0</f>
        <v>0</v>
      </c>
      <c r="U1315" s="181" t="b">
        <f>COUNTIF(Discontinued!$A$1:$A$150,A1315)&gt;0</f>
        <v>0</v>
      </c>
    </row>
    <row r="1316" spans="1:21" s="8" customFormat="1" ht="11.25" x14ac:dyDescent="0.2">
      <c r="A1316" s="152">
        <v>10030100</v>
      </c>
      <c r="B1316" s="9" t="s">
        <v>3352</v>
      </c>
      <c r="C1316" s="12" t="s">
        <v>607</v>
      </c>
      <c r="D1316" s="11" t="s">
        <v>3101</v>
      </c>
      <c r="E1316" s="12" t="s">
        <v>757</v>
      </c>
      <c r="F1316" s="13">
        <v>24</v>
      </c>
      <c r="G1316" s="121">
        <f>Overview!$B$172</f>
        <v>36</v>
      </c>
      <c r="H1316" s="23">
        <f>G1316-I1316</f>
        <v>36</v>
      </c>
      <c r="I1316" s="114">
        <f>Overview!$E$172</f>
        <v>0</v>
      </c>
      <c r="J1316" s="24">
        <f>I1316/F1316</f>
        <v>0</v>
      </c>
      <c r="K1316" s="116">
        <f>Overview!$H$172</f>
        <v>0</v>
      </c>
      <c r="L1316" s="51" t="e">
        <f>(K1316-J1316)/K1316</f>
        <v>#DIV/0!</v>
      </c>
      <c r="M1316" s="179"/>
      <c r="N1316" s="179" t="s">
        <v>595</v>
      </c>
      <c r="O1316" s="141">
        <f t="shared" si="434"/>
        <v>0</v>
      </c>
      <c r="P1316" s="181" t="b">
        <f>COUNTIF('Facility Data'!$A$1:$A$1500,"*"&amp;A1316&amp;"*")&gt;0</f>
        <v>0</v>
      </c>
      <c r="Q1316" s="181" t="b">
        <f>COUNTIF('Account Data'!$A$1:$A$1000,"*"&amp;A1316&amp;"*")&gt;0</f>
        <v>0</v>
      </c>
      <c r="R1316" s="182" t="b">
        <f t="shared" si="433"/>
        <v>0</v>
      </c>
      <c r="S1316" s="182" t="b">
        <f t="shared" si="421"/>
        <v>0</v>
      </c>
      <c r="T1316" s="181" t="b">
        <f>COUNTIF('New Items'!$A$1:$A$175,A1316)&gt;0</f>
        <v>0</v>
      </c>
      <c r="U1316" s="181" t="b">
        <f>COUNTIF(Discontinued!$A$1:$A$150,A1316)&gt;0</f>
        <v>0</v>
      </c>
    </row>
    <row r="1317" spans="1:21" s="8" customFormat="1" ht="11.25" x14ac:dyDescent="0.2">
      <c r="A1317" s="152">
        <v>10120586</v>
      </c>
      <c r="B1317" s="9" t="s">
        <v>4055</v>
      </c>
      <c r="C1317" s="12" t="s">
        <v>607</v>
      </c>
      <c r="D1317" s="11" t="s">
        <v>3102</v>
      </c>
      <c r="E1317" s="12" t="s">
        <v>757</v>
      </c>
      <c r="F1317" s="13">
        <v>24</v>
      </c>
      <c r="G1317" s="121">
        <f>Overview!$B$172</f>
        <v>36</v>
      </c>
      <c r="H1317" s="23">
        <f>G1317-I1317</f>
        <v>36</v>
      </c>
      <c r="I1317" s="114">
        <f>Overview!$E$172</f>
        <v>0</v>
      </c>
      <c r="J1317" s="24">
        <f>I1317/F1317</f>
        <v>0</v>
      </c>
      <c r="K1317" s="116">
        <f>Overview!$H$172</f>
        <v>0</v>
      </c>
      <c r="L1317" s="51" t="e">
        <f>(K1317-J1317)/K1317</f>
        <v>#DIV/0!</v>
      </c>
      <c r="M1317" s="179"/>
      <c r="N1317" s="179" t="s">
        <v>595</v>
      </c>
      <c r="O1317" s="141">
        <f t="shared" si="434"/>
        <v>0</v>
      </c>
      <c r="P1317" s="181" t="b">
        <f>COUNTIF('Facility Data'!$A$1:$A$1500,"*"&amp;A1317&amp;"*")&gt;0</f>
        <v>0</v>
      </c>
      <c r="Q1317" s="181" t="b">
        <f>COUNTIF('Account Data'!$A$1:$A$1000,"*"&amp;A1317&amp;"*")&gt;0</f>
        <v>0</v>
      </c>
      <c r="R1317" s="182" t="b">
        <f t="shared" si="433"/>
        <v>0</v>
      </c>
      <c r="S1317" s="182" t="b">
        <f t="shared" si="421"/>
        <v>0</v>
      </c>
      <c r="T1317" s="181" t="b">
        <f>COUNTIF('New Items'!$A$1:$A$175,A1317)&gt;0</f>
        <v>0</v>
      </c>
      <c r="U1317" s="181" t="b">
        <f>COUNTIF(Discontinued!$A$1:$A$150,A1317)&gt;0</f>
        <v>0</v>
      </c>
    </row>
    <row r="1318" spans="1:21" s="8" customFormat="1" ht="11.25" x14ac:dyDescent="0.2">
      <c r="A1318" s="152">
        <v>10012925</v>
      </c>
      <c r="B1318" s="9" t="s">
        <v>3098</v>
      </c>
      <c r="C1318" s="12" t="s">
        <v>3099</v>
      </c>
      <c r="D1318" s="11" t="s">
        <v>3103</v>
      </c>
      <c r="E1318" s="12" t="s">
        <v>757</v>
      </c>
      <c r="F1318" s="13">
        <v>24</v>
      </c>
      <c r="G1318" s="121">
        <f>Overview!$B$173</f>
        <v>36</v>
      </c>
      <c r="H1318" s="23">
        <f t="shared" si="435"/>
        <v>36</v>
      </c>
      <c r="I1318" s="114">
        <f>Overview!$E$173</f>
        <v>0</v>
      </c>
      <c r="J1318" s="24">
        <f t="shared" si="436"/>
        <v>0</v>
      </c>
      <c r="K1318" s="116">
        <f>Overview!$H$173</f>
        <v>0</v>
      </c>
      <c r="L1318" s="51" t="e">
        <f t="shared" si="437"/>
        <v>#DIV/0!</v>
      </c>
      <c r="M1318" s="179"/>
      <c r="N1318" s="179" t="s">
        <v>595</v>
      </c>
      <c r="O1318" s="141">
        <f t="shared" si="434"/>
        <v>0</v>
      </c>
      <c r="P1318" s="181" t="b">
        <f>COUNTIF('Facility Data'!$A$1:$A$1500,"*"&amp;A1318&amp;"*")&gt;0</f>
        <v>0</v>
      </c>
      <c r="Q1318" s="181" t="b">
        <f>COUNTIF('Account Data'!$A$1:$A$1000,"*"&amp;A1318&amp;"*")&gt;0</f>
        <v>0</v>
      </c>
      <c r="R1318" s="182" t="b">
        <f t="shared" si="433"/>
        <v>0</v>
      </c>
      <c r="S1318" s="182" t="b">
        <f t="shared" si="421"/>
        <v>0</v>
      </c>
      <c r="T1318" s="181" t="b">
        <f>COUNTIF('New Items'!$A$1:$A$175,A1318)&gt;0</f>
        <v>0</v>
      </c>
      <c r="U1318" s="181" t="b">
        <f>COUNTIF(Discontinued!$A$1:$A$150,A1318)&gt;0</f>
        <v>0</v>
      </c>
    </row>
    <row r="1319" spans="1:21" s="8" customFormat="1" ht="11.25" x14ac:dyDescent="0.2">
      <c r="A1319" s="152">
        <v>10001633</v>
      </c>
      <c r="B1319" s="9" t="s">
        <v>596</v>
      </c>
      <c r="C1319" s="12" t="s">
        <v>604</v>
      </c>
      <c r="D1319" s="11" t="s">
        <v>3215</v>
      </c>
      <c r="E1319" s="12" t="s">
        <v>761</v>
      </c>
      <c r="F1319" s="13">
        <v>15</v>
      </c>
      <c r="G1319" s="121">
        <f>Overview!$B$174</f>
        <v>24</v>
      </c>
      <c r="H1319" s="23">
        <f t="shared" si="435"/>
        <v>24</v>
      </c>
      <c r="I1319" s="114">
        <f>Overview!$E$174</f>
        <v>0</v>
      </c>
      <c r="J1319" s="24">
        <f t="shared" si="436"/>
        <v>0</v>
      </c>
      <c r="K1319" s="116">
        <f>Overview!$H$174</f>
        <v>0</v>
      </c>
      <c r="L1319" s="51" t="e">
        <f t="shared" si="437"/>
        <v>#DIV/0!</v>
      </c>
      <c r="M1319" s="179"/>
      <c r="N1319" s="179" t="s">
        <v>595</v>
      </c>
      <c r="O1319" s="141">
        <f t="shared" ref="O1319:O1329" si="438">I1319</f>
        <v>0</v>
      </c>
      <c r="P1319" s="181" t="b">
        <f>COUNTIF('Facility Data'!$A$1:$A$1500,"*"&amp;A1319&amp;"*")&gt;0</f>
        <v>1</v>
      </c>
      <c r="Q1319" s="181" t="b">
        <f>COUNTIF('Account Data'!$A$1:$A$1000,"*"&amp;A1319&amp;"*")&gt;0</f>
        <v>1</v>
      </c>
      <c r="R1319" s="182" t="b">
        <f t="shared" si="433"/>
        <v>1</v>
      </c>
      <c r="S1319" s="182" t="b">
        <f t="shared" si="421"/>
        <v>1</v>
      </c>
      <c r="T1319" s="181" t="b">
        <f>COUNTIF('New Items'!$A$1:$A$175,A1319)&gt;0</f>
        <v>0</v>
      </c>
      <c r="U1319" s="181" t="b">
        <f>COUNTIF(Discontinued!$A$1:$A$150,A1319)&gt;0</f>
        <v>0</v>
      </c>
    </row>
    <row r="1320" spans="1:21" s="8" customFormat="1" ht="11.25" x14ac:dyDescent="0.2">
      <c r="A1320" s="152">
        <v>10001314</v>
      </c>
      <c r="B1320" s="9" t="s">
        <v>3104</v>
      </c>
      <c r="C1320" s="12" t="s">
        <v>604</v>
      </c>
      <c r="D1320" s="11" t="s">
        <v>761</v>
      </c>
      <c r="E1320" s="12" t="s">
        <v>761</v>
      </c>
      <c r="F1320" s="13">
        <v>15</v>
      </c>
      <c r="G1320" s="121">
        <f>Overview!$B$174</f>
        <v>24</v>
      </c>
      <c r="H1320" s="23">
        <f t="shared" si="435"/>
        <v>24</v>
      </c>
      <c r="I1320" s="114">
        <f>Overview!$E$174</f>
        <v>0</v>
      </c>
      <c r="J1320" s="24">
        <f t="shared" si="436"/>
        <v>0</v>
      </c>
      <c r="K1320" s="116">
        <f>Overview!$H$174</f>
        <v>0</v>
      </c>
      <c r="L1320" s="51" t="e">
        <f t="shared" si="437"/>
        <v>#DIV/0!</v>
      </c>
      <c r="M1320" s="179"/>
      <c r="N1320" s="179" t="s">
        <v>595</v>
      </c>
      <c r="O1320" s="141">
        <f t="shared" si="438"/>
        <v>0</v>
      </c>
      <c r="P1320" s="181" t="b">
        <f>COUNTIF('Facility Data'!$A$1:$A$1500,"*"&amp;A1320&amp;"*")&gt;0</f>
        <v>0</v>
      </c>
      <c r="Q1320" s="181" t="b">
        <f>COUNTIF('Account Data'!$A$1:$A$1000,"*"&amp;A1320&amp;"*")&gt;0</f>
        <v>0</v>
      </c>
      <c r="R1320" s="182" t="b">
        <f t="shared" si="433"/>
        <v>0</v>
      </c>
      <c r="S1320" s="182" t="b">
        <f t="shared" si="421"/>
        <v>0</v>
      </c>
      <c r="T1320" s="181" t="b">
        <f>COUNTIF('New Items'!$A$1:$A$175,A1320)&gt;0</f>
        <v>0</v>
      </c>
      <c r="U1320" s="181" t="b">
        <f>COUNTIF(Discontinued!$A$1:$A$150,A1320)&gt;0</f>
        <v>0</v>
      </c>
    </row>
    <row r="1321" spans="1:21" s="8" customFormat="1" ht="11.25" x14ac:dyDescent="0.2">
      <c r="A1321" s="152">
        <v>10064022</v>
      </c>
      <c r="B1321" s="9" t="s">
        <v>3105</v>
      </c>
      <c r="C1321" s="12" t="s">
        <v>604</v>
      </c>
      <c r="D1321" s="11" t="s">
        <v>3110</v>
      </c>
      <c r="E1321" s="12" t="s">
        <v>761</v>
      </c>
      <c r="F1321" s="13">
        <v>15</v>
      </c>
      <c r="G1321" s="121">
        <f>Overview!$B$174</f>
        <v>24</v>
      </c>
      <c r="H1321" s="23">
        <f t="shared" si="435"/>
        <v>24</v>
      </c>
      <c r="I1321" s="114">
        <f>Overview!$E$174</f>
        <v>0</v>
      </c>
      <c r="J1321" s="24">
        <f t="shared" si="436"/>
        <v>0</v>
      </c>
      <c r="K1321" s="116">
        <f>Overview!$H$174</f>
        <v>0</v>
      </c>
      <c r="L1321" s="51" t="e">
        <f t="shared" si="437"/>
        <v>#DIV/0!</v>
      </c>
      <c r="M1321" s="179"/>
      <c r="N1321" s="179" t="s">
        <v>595</v>
      </c>
      <c r="O1321" s="141">
        <f t="shared" si="438"/>
        <v>0</v>
      </c>
      <c r="P1321" s="181" t="b">
        <f>COUNTIF('Facility Data'!$A$1:$A$1500,"*"&amp;A1321&amp;"*")&gt;0</f>
        <v>0</v>
      </c>
      <c r="Q1321" s="181" t="b">
        <f>COUNTIF('Account Data'!$A$1:$A$1000,"*"&amp;A1321&amp;"*")&gt;0</f>
        <v>0</v>
      </c>
      <c r="R1321" s="182" t="b">
        <f t="shared" si="433"/>
        <v>0</v>
      </c>
      <c r="S1321" s="182" t="b">
        <f t="shared" si="421"/>
        <v>0</v>
      </c>
      <c r="T1321" s="181" t="b">
        <f>COUNTIF('New Items'!$A$1:$A$175,A1321)&gt;0</f>
        <v>0</v>
      </c>
      <c r="U1321" s="181" t="b">
        <f>COUNTIF(Discontinued!$A$1:$A$150,A1321)&gt;0</f>
        <v>0</v>
      </c>
    </row>
    <row r="1322" spans="1:21" s="8" customFormat="1" ht="11.25" x14ac:dyDescent="0.2">
      <c r="A1322" s="152">
        <v>10030102</v>
      </c>
      <c r="B1322" s="9" t="s">
        <v>3106</v>
      </c>
      <c r="C1322" s="12" t="s">
        <v>604</v>
      </c>
      <c r="D1322" s="11" t="s">
        <v>3111</v>
      </c>
      <c r="E1322" s="12" t="s">
        <v>761</v>
      </c>
      <c r="F1322" s="13">
        <v>15</v>
      </c>
      <c r="G1322" s="121">
        <f>Overview!$B$174</f>
        <v>24</v>
      </c>
      <c r="H1322" s="23">
        <f>G1322-I1322</f>
        <v>24</v>
      </c>
      <c r="I1322" s="114">
        <f>Overview!$E$174</f>
        <v>0</v>
      </c>
      <c r="J1322" s="24">
        <f>I1322/F1322</f>
        <v>0</v>
      </c>
      <c r="K1322" s="116">
        <f>Overview!$H$174</f>
        <v>0</v>
      </c>
      <c r="L1322" s="51" t="e">
        <f>(K1322-J1322)/K1322</f>
        <v>#DIV/0!</v>
      </c>
      <c r="M1322" s="179"/>
      <c r="N1322" s="179" t="s">
        <v>595</v>
      </c>
      <c r="O1322" s="141">
        <f t="shared" si="438"/>
        <v>0</v>
      </c>
      <c r="P1322" s="181" t="b">
        <f>COUNTIF('Facility Data'!$A$1:$A$1500,"*"&amp;A1322&amp;"*")&gt;0</f>
        <v>0</v>
      </c>
      <c r="Q1322" s="181" t="b">
        <f>COUNTIF('Account Data'!$A$1:$A$1000,"*"&amp;A1322&amp;"*")&gt;0</f>
        <v>0</v>
      </c>
      <c r="R1322" s="182" t="b">
        <f t="shared" si="433"/>
        <v>0</v>
      </c>
      <c r="S1322" s="182" t="b">
        <f t="shared" si="421"/>
        <v>0</v>
      </c>
      <c r="T1322" s="181" t="b">
        <f>COUNTIF('New Items'!$A$1:$A$175,A1322)&gt;0</f>
        <v>0</v>
      </c>
      <c r="U1322" s="181" t="b">
        <f>COUNTIF(Discontinued!$A$1:$A$150,A1322)&gt;0</f>
        <v>0</v>
      </c>
    </row>
    <row r="1323" spans="1:21" s="8" customFormat="1" ht="11.25" x14ac:dyDescent="0.2">
      <c r="A1323" s="152">
        <v>10000254</v>
      </c>
      <c r="B1323" s="9" t="s">
        <v>3107</v>
      </c>
      <c r="C1323" s="12" t="s">
        <v>604</v>
      </c>
      <c r="D1323" s="11" t="s">
        <v>761</v>
      </c>
      <c r="E1323" s="12" t="s">
        <v>761</v>
      </c>
      <c r="F1323" s="13">
        <v>12</v>
      </c>
      <c r="G1323" s="121">
        <f>Overview!$B$175</f>
        <v>24</v>
      </c>
      <c r="H1323" s="23">
        <f>G1323-I1323</f>
        <v>24</v>
      </c>
      <c r="I1323" s="114">
        <f>Overview!$E$175</f>
        <v>0</v>
      </c>
      <c r="J1323" s="24">
        <f>I1323/F1323</f>
        <v>0</v>
      </c>
      <c r="K1323" s="116">
        <f>Overview!$H$175</f>
        <v>0</v>
      </c>
      <c r="L1323" s="51" t="e">
        <f>(K1323-J1323)/K1323</f>
        <v>#DIV/0!</v>
      </c>
      <c r="M1323" s="179"/>
      <c r="N1323" s="179" t="s">
        <v>595</v>
      </c>
      <c r="O1323" s="141">
        <f t="shared" si="438"/>
        <v>0</v>
      </c>
      <c r="P1323" s="181" t="b">
        <f>COUNTIF('Facility Data'!$A$1:$A$1500,"*"&amp;A1323&amp;"*")&gt;0</f>
        <v>0</v>
      </c>
      <c r="Q1323" s="181" t="b">
        <f>COUNTIF('Account Data'!$A$1:$A$1000,"*"&amp;A1323&amp;"*")&gt;0</f>
        <v>0</v>
      </c>
      <c r="R1323" s="182" t="b">
        <f t="shared" si="433"/>
        <v>0</v>
      </c>
      <c r="S1323" s="182" t="b">
        <f t="shared" si="421"/>
        <v>0</v>
      </c>
      <c r="T1323" s="181" t="b">
        <f>COUNTIF('New Items'!$A$1:$A$175,A1323)&gt;0</f>
        <v>0</v>
      </c>
      <c r="U1323" s="181" t="b">
        <f>COUNTIF(Discontinued!$A$1:$A$150,A1323)&gt;0</f>
        <v>0</v>
      </c>
    </row>
    <row r="1324" spans="1:21" s="8" customFormat="1" ht="11.25" x14ac:dyDescent="0.2">
      <c r="A1324" s="152">
        <v>10012926</v>
      </c>
      <c r="B1324" s="9" t="s">
        <v>3108</v>
      </c>
      <c r="C1324" s="12" t="s">
        <v>3109</v>
      </c>
      <c r="D1324" s="11" t="s">
        <v>3264</v>
      </c>
      <c r="E1324" s="12" t="s">
        <v>761</v>
      </c>
      <c r="F1324" s="13">
        <v>12</v>
      </c>
      <c r="G1324" s="121">
        <f>Overview!$B$176</f>
        <v>24</v>
      </c>
      <c r="H1324" s="23">
        <f t="shared" si="435"/>
        <v>24</v>
      </c>
      <c r="I1324" s="114">
        <f>Overview!$E$176</f>
        <v>0</v>
      </c>
      <c r="J1324" s="24">
        <f t="shared" si="436"/>
        <v>0</v>
      </c>
      <c r="K1324" s="116">
        <f>Overview!$H$176</f>
        <v>0</v>
      </c>
      <c r="L1324" s="51" t="e">
        <f t="shared" si="437"/>
        <v>#DIV/0!</v>
      </c>
      <c r="M1324" s="179"/>
      <c r="N1324" s="179" t="s">
        <v>595</v>
      </c>
      <c r="O1324" s="141">
        <f t="shared" si="438"/>
        <v>0</v>
      </c>
      <c r="P1324" s="181" t="b">
        <f>COUNTIF('Facility Data'!$A$1:$A$1500,"*"&amp;A1324&amp;"*")&gt;0</f>
        <v>0</v>
      </c>
      <c r="Q1324" s="181" t="b">
        <f>COUNTIF('Account Data'!$A$1:$A$1000,"*"&amp;A1324&amp;"*")&gt;0</f>
        <v>0</v>
      </c>
      <c r="R1324" s="182" t="b">
        <f t="shared" si="433"/>
        <v>0</v>
      </c>
      <c r="S1324" s="182" t="b">
        <f t="shared" si="421"/>
        <v>0</v>
      </c>
      <c r="T1324" s="181" t="b">
        <f>COUNTIF('New Items'!$A$1:$A$175,A1324)&gt;0</f>
        <v>0</v>
      </c>
      <c r="U1324" s="181" t="b">
        <f>COUNTIF(Discontinued!$A$1:$A$150,A1324)&gt;0</f>
        <v>0</v>
      </c>
    </row>
    <row r="1325" spans="1:21" s="8" customFormat="1" ht="11.25" x14ac:dyDescent="0.2">
      <c r="A1325" s="152">
        <v>10000257</v>
      </c>
      <c r="B1325" s="9" t="s">
        <v>3112</v>
      </c>
      <c r="C1325" s="12" t="s">
        <v>3113</v>
      </c>
      <c r="D1325" s="11" t="s">
        <v>763</v>
      </c>
      <c r="E1325" s="12" t="s">
        <v>763</v>
      </c>
      <c r="F1325" s="13">
        <v>12</v>
      </c>
      <c r="G1325" s="121">
        <f>Overview!$B$177</f>
        <v>24</v>
      </c>
      <c r="H1325" s="23">
        <f t="shared" si="435"/>
        <v>24</v>
      </c>
      <c r="I1325" s="114">
        <f>Overview!$E$177</f>
        <v>0</v>
      </c>
      <c r="J1325" s="24">
        <f t="shared" si="436"/>
        <v>0</v>
      </c>
      <c r="K1325" s="116">
        <f>Overview!$H$177</f>
        <v>0</v>
      </c>
      <c r="L1325" s="51" t="e">
        <f t="shared" si="437"/>
        <v>#DIV/0!</v>
      </c>
      <c r="M1325" s="179"/>
      <c r="N1325" s="179" t="s">
        <v>595</v>
      </c>
      <c r="O1325" s="141">
        <f t="shared" si="438"/>
        <v>0</v>
      </c>
      <c r="P1325" s="181" t="b">
        <f>COUNTIF('Facility Data'!$A$1:$A$1500,"*"&amp;A1325&amp;"*")&gt;0</f>
        <v>0</v>
      </c>
      <c r="Q1325" s="181" t="b">
        <f>COUNTIF('Account Data'!$A$1:$A$1000,"*"&amp;A1325&amp;"*")&gt;0</f>
        <v>0</v>
      </c>
      <c r="R1325" s="182" t="b">
        <f t="shared" si="433"/>
        <v>0</v>
      </c>
      <c r="S1325" s="182" t="b">
        <f t="shared" si="421"/>
        <v>0</v>
      </c>
      <c r="T1325" s="181" t="b">
        <f>COUNTIF('New Items'!$A$1:$A$175,A1325)&gt;0</f>
        <v>0</v>
      </c>
      <c r="U1325" s="181" t="b">
        <f>COUNTIF(Discontinued!$A$1:$A$150,A1325)&gt;0</f>
        <v>0</v>
      </c>
    </row>
    <row r="1326" spans="1:21" s="8" customFormat="1" ht="11.25" x14ac:dyDescent="0.2">
      <c r="A1326" s="152">
        <v>10000239</v>
      </c>
      <c r="B1326" s="9" t="s">
        <v>3119</v>
      </c>
      <c r="C1326" s="12" t="s">
        <v>3120</v>
      </c>
      <c r="D1326" s="11" t="s">
        <v>790</v>
      </c>
      <c r="E1326" s="12" t="s">
        <v>774</v>
      </c>
      <c r="F1326" s="13">
        <v>4</v>
      </c>
      <c r="G1326" s="121">
        <f>Overview!$B$178</f>
        <v>24</v>
      </c>
      <c r="H1326" s="23">
        <f t="shared" si="435"/>
        <v>24</v>
      </c>
      <c r="I1326" s="114">
        <f>Overview!$E$178</f>
        <v>0</v>
      </c>
      <c r="J1326" s="24">
        <f t="shared" si="436"/>
        <v>0</v>
      </c>
      <c r="K1326" s="116">
        <f>Overview!$H$178</f>
        <v>0</v>
      </c>
      <c r="L1326" s="51" t="e">
        <f t="shared" si="437"/>
        <v>#DIV/0!</v>
      </c>
      <c r="M1326" s="179"/>
      <c r="N1326" s="179" t="s">
        <v>595</v>
      </c>
      <c r="O1326" s="141">
        <f t="shared" si="438"/>
        <v>0</v>
      </c>
      <c r="P1326" s="181" t="b">
        <f>COUNTIF('Facility Data'!$A$1:$A$1500,"*"&amp;A1326&amp;"*")&gt;0</f>
        <v>0</v>
      </c>
      <c r="Q1326" s="181" t="b">
        <f>COUNTIF('Account Data'!$A$1:$A$1000,"*"&amp;A1326&amp;"*")&gt;0</f>
        <v>0</v>
      </c>
      <c r="R1326" s="182" t="b">
        <f t="shared" si="433"/>
        <v>0</v>
      </c>
      <c r="S1326" s="182" t="b">
        <f t="shared" si="421"/>
        <v>0</v>
      </c>
      <c r="T1326" s="181" t="b">
        <f>COUNTIF('New Items'!$A$1:$A$175,A1326)&gt;0</f>
        <v>0</v>
      </c>
      <c r="U1326" s="181" t="b">
        <f>COUNTIF(Discontinued!$A$1:$A$150,A1326)&gt;0</f>
        <v>0</v>
      </c>
    </row>
    <row r="1327" spans="1:21" s="8" customFormat="1" ht="11.25" x14ac:dyDescent="0.2">
      <c r="A1327" s="152">
        <v>10000246</v>
      </c>
      <c r="B1327" s="9" t="s">
        <v>3117</v>
      </c>
      <c r="C1327" s="12" t="s">
        <v>616</v>
      </c>
      <c r="D1327" s="11" t="s">
        <v>789</v>
      </c>
      <c r="E1327" s="12" t="s">
        <v>774</v>
      </c>
      <c r="F1327" s="13">
        <v>1</v>
      </c>
      <c r="G1327" s="121">
        <f>Overview!$B$179</f>
        <v>24</v>
      </c>
      <c r="H1327" s="23">
        <f>G1327-I1327</f>
        <v>24</v>
      </c>
      <c r="I1327" s="114">
        <f>Overview!$E$179</f>
        <v>0</v>
      </c>
      <c r="J1327" s="24">
        <f>I1327/F1327</f>
        <v>0</v>
      </c>
      <c r="K1327" s="116">
        <f>Overview!$H$179</f>
        <v>0</v>
      </c>
      <c r="L1327" s="51" t="e">
        <f>(K1327-J1327)/K1327</f>
        <v>#DIV/0!</v>
      </c>
      <c r="M1327" s="179"/>
      <c r="N1327" s="179" t="s">
        <v>595</v>
      </c>
      <c r="O1327" s="141">
        <f t="shared" si="438"/>
        <v>0</v>
      </c>
      <c r="P1327" s="181" t="b">
        <f>COUNTIF('Facility Data'!$A$1:$A$1500,"*"&amp;A1327&amp;"*")&gt;0</f>
        <v>1</v>
      </c>
      <c r="Q1327" s="181" t="b">
        <f>COUNTIF('Account Data'!$A$1:$A$1000,"*"&amp;A1327&amp;"*")&gt;0</f>
        <v>0</v>
      </c>
      <c r="R1327" s="182" t="b">
        <f t="shared" si="433"/>
        <v>1</v>
      </c>
      <c r="S1327" s="182" t="b">
        <f t="shared" si="421"/>
        <v>0</v>
      </c>
      <c r="T1327" s="181" t="b">
        <f>COUNTIF('New Items'!$A$1:$A$175,A1327)&gt;0</f>
        <v>0</v>
      </c>
      <c r="U1327" s="181" t="b">
        <f>COUNTIF(Discontinued!$A$1:$A$150,A1327)&gt;0</f>
        <v>0</v>
      </c>
    </row>
    <row r="1328" spans="1:21" s="8" customFormat="1" ht="11.25" x14ac:dyDescent="0.2">
      <c r="A1328" s="152">
        <v>10001228</v>
      </c>
      <c r="B1328" s="9" t="s">
        <v>3365</v>
      </c>
      <c r="C1328" s="12" t="s">
        <v>616</v>
      </c>
      <c r="D1328" s="11" t="s">
        <v>789</v>
      </c>
      <c r="E1328" s="12" t="s">
        <v>774</v>
      </c>
      <c r="F1328" s="13">
        <v>1</v>
      </c>
      <c r="G1328" s="121">
        <f>Overview!$B$179</f>
        <v>24</v>
      </c>
      <c r="H1328" s="23">
        <f>G1328-I1328</f>
        <v>24</v>
      </c>
      <c r="I1328" s="114">
        <f>Overview!$E$179</f>
        <v>0</v>
      </c>
      <c r="J1328" s="24">
        <f>I1328/F1328</f>
        <v>0</v>
      </c>
      <c r="K1328" s="116">
        <f>Overview!$H$179</f>
        <v>0</v>
      </c>
      <c r="L1328" s="51" t="e">
        <f>(K1328-J1328)/K1328</f>
        <v>#DIV/0!</v>
      </c>
      <c r="M1328" s="179"/>
      <c r="N1328" s="179" t="s">
        <v>595</v>
      </c>
      <c r="O1328" s="141">
        <f t="shared" si="438"/>
        <v>0</v>
      </c>
      <c r="P1328" s="181" t="b">
        <f>COUNTIF('Facility Data'!$A$1:$A$1500,"*"&amp;A1328&amp;"*")&gt;0</f>
        <v>0</v>
      </c>
      <c r="Q1328" s="181" t="b">
        <f>COUNTIF('Account Data'!$A$1:$A$1000,"*"&amp;A1328&amp;"*")&gt;0</f>
        <v>1</v>
      </c>
      <c r="R1328" s="182" t="b">
        <f t="shared" si="433"/>
        <v>0</v>
      </c>
      <c r="S1328" s="182" t="b">
        <f>IF(OR(Q1328=TRUE,T1328=TRUE),TRUE,FALSE)</f>
        <v>1</v>
      </c>
      <c r="T1328" s="181" t="b">
        <f>COUNTIF('New Items'!$A$1:$A$175,A1328)&gt;0</f>
        <v>0</v>
      </c>
      <c r="U1328" s="181" t="b">
        <f>COUNTIF(Discontinued!$A$1:$A$150,A1328)&gt;0</f>
        <v>0</v>
      </c>
    </row>
    <row r="1329" spans="1:21" s="8" customFormat="1" ht="12" thickBot="1" x14ac:dyDescent="0.25">
      <c r="A1329" s="152">
        <v>10030103</v>
      </c>
      <c r="B1329" s="9" t="s">
        <v>3118</v>
      </c>
      <c r="C1329" s="12" t="s">
        <v>616</v>
      </c>
      <c r="D1329" s="11" t="s">
        <v>3213</v>
      </c>
      <c r="E1329" s="12" t="s">
        <v>774</v>
      </c>
      <c r="F1329" s="13">
        <v>1</v>
      </c>
      <c r="G1329" s="121">
        <f>Overview!$B$179</f>
        <v>24</v>
      </c>
      <c r="H1329" s="23">
        <f>G1329-I1329</f>
        <v>24</v>
      </c>
      <c r="I1329" s="114">
        <f>Overview!$E$179</f>
        <v>0</v>
      </c>
      <c r="J1329" s="24">
        <f>I1329/F1329</f>
        <v>0</v>
      </c>
      <c r="K1329" s="116">
        <f>Overview!$H$179</f>
        <v>0</v>
      </c>
      <c r="L1329" s="51" t="e">
        <f>(K1329-J1329)/K1329</f>
        <v>#DIV/0!</v>
      </c>
      <c r="M1329" s="179"/>
      <c r="N1329" s="179" t="s">
        <v>595</v>
      </c>
      <c r="O1329" s="141">
        <f t="shared" si="438"/>
        <v>0</v>
      </c>
      <c r="P1329" s="181" t="b">
        <f>COUNTIF('Facility Data'!$A$1:$A$1500,"*"&amp;A1329&amp;"*")&gt;0</f>
        <v>0</v>
      </c>
      <c r="Q1329" s="181" t="b">
        <f>COUNTIF('Account Data'!$A$1:$A$1000,"*"&amp;A1329&amp;"*")&gt;0</f>
        <v>0</v>
      </c>
      <c r="R1329" s="182" t="b">
        <f t="shared" si="433"/>
        <v>0</v>
      </c>
      <c r="S1329" s="182" t="b">
        <f t="shared" si="421"/>
        <v>0</v>
      </c>
      <c r="T1329" s="181" t="b">
        <f>COUNTIF('New Items'!$A$1:$A$175,A1329)&gt;0</f>
        <v>0</v>
      </c>
      <c r="U1329" s="181" t="b">
        <f>COUNTIF(Discontinued!$A$1:$A$150,A1329)&gt;0</f>
        <v>0</v>
      </c>
    </row>
    <row r="1330" spans="1:21" s="8" customFormat="1" ht="13.5" thickBot="1" x14ac:dyDescent="0.25">
      <c r="A1330" s="300" t="s">
        <v>3072</v>
      </c>
      <c r="B1330" s="301"/>
      <c r="C1330" s="301"/>
      <c r="D1330" s="301"/>
      <c r="E1330" s="301"/>
      <c r="F1330" s="301"/>
      <c r="G1330" s="301"/>
      <c r="H1330" s="301"/>
      <c r="I1330" s="301"/>
      <c r="J1330" s="301"/>
      <c r="K1330" s="301"/>
      <c r="L1330" s="302"/>
      <c r="M1330" s="179" t="s">
        <v>4361</v>
      </c>
      <c r="N1330" s="179" t="s">
        <v>3072</v>
      </c>
      <c r="O1330" s="141">
        <f>AVERAGE(O1331:O1338)</f>
        <v>0</v>
      </c>
      <c r="P1330" s="181" t="b">
        <f>COUNTIF(P1331:P1338,TRUE)&gt;0</f>
        <v>0</v>
      </c>
      <c r="Q1330" s="181" t="b">
        <f>COUNTIF(Q1331:Q1338,TRUE)&gt;0</f>
        <v>0</v>
      </c>
      <c r="R1330" s="181" t="b">
        <f>COUNTIF(R1331:R1338,TRUE)&gt;0</f>
        <v>0</v>
      </c>
      <c r="S1330" s="181" t="b">
        <f>COUNTIF(S1331:S1338,TRUE)&gt;0</f>
        <v>0</v>
      </c>
      <c r="T1330" s="181" t="b">
        <f>COUNTIF(T1331:T1338,TRUE)&gt;0</f>
        <v>0</v>
      </c>
      <c r="U1330" s="181"/>
    </row>
    <row r="1331" spans="1:21" s="8" customFormat="1" ht="11.25" x14ac:dyDescent="0.2">
      <c r="A1331" s="152">
        <v>20000081</v>
      </c>
      <c r="B1331" s="9" t="s">
        <v>3073</v>
      </c>
      <c r="C1331" s="14" t="s">
        <v>3074</v>
      </c>
      <c r="D1331" s="11" t="s">
        <v>3947</v>
      </c>
      <c r="E1331" s="14" t="s">
        <v>772</v>
      </c>
      <c r="F1331" s="13">
        <v>1</v>
      </c>
      <c r="G1331" s="121">
        <f>Overview!$B$180</f>
        <v>10</v>
      </c>
      <c r="H1331" s="23">
        <f t="shared" ref="H1331:H1338" si="439">G1331-I1331</f>
        <v>10</v>
      </c>
      <c r="I1331" s="114">
        <f>Overview!$E$180</f>
        <v>0</v>
      </c>
      <c r="J1331" s="52">
        <f t="shared" ref="J1331:J1338" si="440">I1331/F1331</f>
        <v>0</v>
      </c>
      <c r="K1331" s="174">
        <f>Overview!$H$180</f>
        <v>0</v>
      </c>
      <c r="L1331" s="54" t="e">
        <f t="shared" ref="L1331:L1338" si="441">(K1331-J1331)/K1331</f>
        <v>#DIV/0!</v>
      </c>
      <c r="M1331" s="179" t="s">
        <v>1001</v>
      </c>
      <c r="N1331" s="179" t="s">
        <v>3072</v>
      </c>
      <c r="O1331" s="141">
        <f t="shared" ref="O1331:O1338" si="442">I1331</f>
        <v>0</v>
      </c>
      <c r="P1331" s="181" t="b">
        <f>COUNTIF('Facility Data'!$A$1:$A$1500,"*"&amp;A1331&amp;"*")&gt;0</f>
        <v>0</v>
      </c>
      <c r="Q1331" s="181" t="b">
        <f>COUNTIF('Account Data'!$A$1:$A$1000,"*"&amp;A1331&amp;"*")&gt;0</f>
        <v>0</v>
      </c>
      <c r="R1331" s="182" t="b">
        <f t="shared" ref="R1331:R1338" si="443">IF(OR(P1331=TRUE,T1331=TRUE),TRUE,FALSE)</f>
        <v>0</v>
      </c>
      <c r="S1331" s="182" t="b">
        <f t="shared" si="421"/>
        <v>0</v>
      </c>
      <c r="T1331" s="181" t="b">
        <f>COUNTIF('New Items'!$A$1:$A$175,A1331)&gt;0</f>
        <v>0</v>
      </c>
      <c r="U1331" s="181" t="b">
        <f>COUNTIF(Discontinued!$A$1:$A$150,A1331)&gt;0</f>
        <v>0</v>
      </c>
    </row>
    <row r="1332" spans="1:21" s="8" customFormat="1" ht="11.25" x14ac:dyDescent="0.2">
      <c r="A1332" s="152">
        <v>20004230</v>
      </c>
      <c r="B1332" s="9" t="s">
        <v>3077</v>
      </c>
      <c r="C1332" s="14" t="s">
        <v>3078</v>
      </c>
      <c r="D1332" s="11" t="s">
        <v>3229</v>
      </c>
      <c r="E1332" s="14" t="s">
        <v>774</v>
      </c>
      <c r="F1332" s="13">
        <v>24</v>
      </c>
      <c r="G1332" s="121">
        <f>Overview!$B$182</f>
        <v>24</v>
      </c>
      <c r="H1332" s="23">
        <f>G1332-I1332</f>
        <v>24</v>
      </c>
      <c r="I1332" s="114">
        <f>Overview!$E$182</f>
        <v>0</v>
      </c>
      <c r="J1332" s="52">
        <f>I1332/F1332</f>
        <v>0</v>
      </c>
      <c r="K1332" s="174">
        <f>Overview!$H$182</f>
        <v>0</v>
      </c>
      <c r="L1332" s="54" t="e">
        <f>(K1332-J1332)/K1332</f>
        <v>#DIV/0!</v>
      </c>
      <c r="M1332" s="179"/>
      <c r="N1332" s="179" t="s">
        <v>3072</v>
      </c>
      <c r="O1332" s="141">
        <f>I1332</f>
        <v>0</v>
      </c>
      <c r="P1332" s="181" t="b">
        <f>COUNTIF('Facility Data'!$A$1:$A$1500,"*"&amp;A1332&amp;"*")&gt;0</f>
        <v>0</v>
      </c>
      <c r="Q1332" s="181" t="b">
        <f>COUNTIF('Account Data'!$A$1:$A$1000,"*"&amp;A1332&amp;"*")&gt;0</f>
        <v>0</v>
      </c>
      <c r="R1332" s="182" t="b">
        <f t="shared" si="443"/>
        <v>0</v>
      </c>
      <c r="S1332" s="182" t="b">
        <f>IF(OR(Q1332=TRUE,T1332=TRUE),TRUE,FALSE)</f>
        <v>0</v>
      </c>
      <c r="T1332" s="181" t="b">
        <f>COUNTIF('New Items'!$A$1:$A$175,A1332)&gt;0</f>
        <v>0</v>
      </c>
      <c r="U1332" s="181" t="b">
        <f>COUNTIF(Discontinued!$A$1:$A$150,A1332)&gt;0</f>
        <v>0</v>
      </c>
    </row>
    <row r="1333" spans="1:21" s="8" customFormat="1" ht="11.25" x14ac:dyDescent="0.2">
      <c r="A1333" s="152">
        <v>20004228</v>
      </c>
      <c r="B1333" s="9" t="s">
        <v>3088</v>
      </c>
      <c r="C1333" s="14" t="s">
        <v>3089</v>
      </c>
      <c r="D1333" s="11" t="s">
        <v>3231</v>
      </c>
      <c r="E1333" s="14" t="s">
        <v>3095</v>
      </c>
      <c r="F1333" s="13">
        <v>28</v>
      </c>
      <c r="G1333" s="121">
        <f>Overview!$B$184</f>
        <v>30</v>
      </c>
      <c r="H1333" s="23">
        <f>G1333-I1333</f>
        <v>30</v>
      </c>
      <c r="I1333" s="114">
        <f>Overview!$E$184</f>
        <v>0</v>
      </c>
      <c r="J1333" s="52">
        <f>I1333/F1333</f>
        <v>0</v>
      </c>
      <c r="K1333" s="174">
        <f>Overview!$H$184</f>
        <v>0</v>
      </c>
      <c r="L1333" s="54" t="e">
        <f>(K1333-J1333)/K1333</f>
        <v>#DIV/0!</v>
      </c>
      <c r="M1333" s="179"/>
      <c r="N1333" s="179" t="s">
        <v>3072</v>
      </c>
      <c r="O1333" s="141">
        <f>I1333</f>
        <v>0</v>
      </c>
      <c r="P1333" s="181" t="b">
        <f>COUNTIF('Facility Data'!$A$1:$A$1500,"*"&amp;A1333&amp;"*")&gt;0</f>
        <v>0</v>
      </c>
      <c r="Q1333" s="181" t="b">
        <f>COUNTIF('Account Data'!$A$1:$A$1000,"*"&amp;A1333&amp;"*")&gt;0</f>
        <v>0</v>
      </c>
      <c r="R1333" s="182" t="b">
        <f t="shared" si="443"/>
        <v>0</v>
      </c>
      <c r="S1333" s="182" t="b">
        <f>IF(OR(Q1333=TRUE,T1333=TRUE),TRUE,FALSE)</f>
        <v>0</v>
      </c>
      <c r="T1333" s="181" t="b">
        <f>COUNTIF('New Items'!$A$1:$A$175,A1333)&gt;0</f>
        <v>0</v>
      </c>
      <c r="U1333" s="181" t="b">
        <f>COUNTIF(Discontinued!$A$1:$A$150,A1333)&gt;0</f>
        <v>0</v>
      </c>
    </row>
    <row r="1334" spans="1:21" s="8" customFormat="1" ht="11.25" x14ac:dyDescent="0.2">
      <c r="A1334" s="152">
        <v>20004233</v>
      </c>
      <c r="B1334" s="9" t="s">
        <v>3092</v>
      </c>
      <c r="C1334" s="15" t="s">
        <v>3093</v>
      </c>
      <c r="D1334" s="11" t="s">
        <v>3233</v>
      </c>
      <c r="E1334" s="12" t="s">
        <v>761</v>
      </c>
      <c r="F1334" s="120">
        <v>18</v>
      </c>
      <c r="G1334" s="121">
        <f>Overview!$B$186</f>
        <v>24</v>
      </c>
      <c r="H1334" s="23">
        <f>G1334-I1334</f>
        <v>24</v>
      </c>
      <c r="I1334" s="114">
        <f>Overview!$E$186</f>
        <v>0</v>
      </c>
      <c r="J1334" s="52">
        <f>I1334/F1334</f>
        <v>0</v>
      </c>
      <c r="K1334" s="174">
        <f>Overview!$H$186</f>
        <v>0</v>
      </c>
      <c r="L1334" s="54" t="e">
        <f>(K1334-J1334)/K1334</f>
        <v>#DIV/0!</v>
      </c>
      <c r="M1334" s="179"/>
      <c r="N1334" s="179" t="s">
        <v>3072</v>
      </c>
      <c r="O1334" s="141">
        <f>I1334</f>
        <v>0</v>
      </c>
      <c r="P1334" s="181" t="b">
        <f>COUNTIF('Facility Data'!$A$1:$A$1500,"*"&amp;A1334&amp;"*")&gt;0</f>
        <v>0</v>
      </c>
      <c r="Q1334" s="181" t="b">
        <f>COUNTIF('Account Data'!$A$1:$A$1000,"*"&amp;A1334&amp;"*")&gt;0</f>
        <v>0</v>
      </c>
      <c r="R1334" s="182" t="b">
        <f t="shared" si="443"/>
        <v>0</v>
      </c>
      <c r="S1334" s="182" t="b">
        <f>IF(OR(Q1334=TRUE,T1334=TRUE),TRUE,FALSE)</f>
        <v>0</v>
      </c>
      <c r="T1334" s="181" t="b">
        <f>COUNTIF('New Items'!$A$1:$A$175,A1334)&gt;0</f>
        <v>0</v>
      </c>
      <c r="U1334" s="181" t="b">
        <f>COUNTIF(Discontinued!$A$1:$A$150,A1334)&gt;0</f>
        <v>0</v>
      </c>
    </row>
    <row r="1335" spans="1:21" s="8" customFormat="1" ht="11.25" x14ac:dyDescent="0.2">
      <c r="A1335" s="152">
        <v>20004180</v>
      </c>
      <c r="B1335" s="9" t="s">
        <v>3075</v>
      </c>
      <c r="C1335" s="14" t="s">
        <v>3076</v>
      </c>
      <c r="D1335" s="11" t="s">
        <v>3948</v>
      </c>
      <c r="E1335" s="14" t="s">
        <v>772</v>
      </c>
      <c r="F1335" s="13">
        <v>1</v>
      </c>
      <c r="G1335" s="121">
        <f>Overview!$B$181</f>
        <v>24</v>
      </c>
      <c r="H1335" s="23">
        <f t="shared" si="439"/>
        <v>24</v>
      </c>
      <c r="I1335" s="114">
        <f>Overview!$E$181</f>
        <v>0</v>
      </c>
      <c r="J1335" s="52">
        <f t="shared" si="440"/>
        <v>0</v>
      </c>
      <c r="K1335" s="174">
        <f>Overview!$H$181</f>
        <v>0</v>
      </c>
      <c r="L1335" s="54" t="e">
        <f t="shared" si="441"/>
        <v>#DIV/0!</v>
      </c>
      <c r="M1335" s="179" t="s">
        <v>1001</v>
      </c>
      <c r="N1335" s="179" t="s">
        <v>3072</v>
      </c>
      <c r="O1335" s="141">
        <f t="shared" si="442"/>
        <v>0</v>
      </c>
      <c r="P1335" s="181" t="b">
        <f>COUNTIF('Facility Data'!$A$1:$A$1500,"*"&amp;A1335&amp;"*")&gt;0</f>
        <v>0</v>
      </c>
      <c r="Q1335" s="181" t="b">
        <f>COUNTIF('Account Data'!$A$1:$A$1000,"*"&amp;A1335&amp;"*")&gt;0</f>
        <v>0</v>
      </c>
      <c r="R1335" s="182" t="b">
        <f t="shared" si="443"/>
        <v>0</v>
      </c>
      <c r="S1335" s="182" t="b">
        <f t="shared" si="421"/>
        <v>0</v>
      </c>
      <c r="T1335" s="181" t="b">
        <f>COUNTIF('New Items'!$A$1:$A$175,A1335)&gt;0</f>
        <v>0</v>
      </c>
      <c r="U1335" s="181" t="b">
        <f>COUNTIF(Discontinued!$A$1:$A$150,A1335)&gt;0</f>
        <v>0</v>
      </c>
    </row>
    <row r="1336" spans="1:21" s="8" customFormat="1" ht="11.25" x14ac:dyDescent="0.2">
      <c r="A1336" s="152">
        <v>20004183</v>
      </c>
      <c r="B1336" s="9" t="s">
        <v>3079</v>
      </c>
      <c r="C1336" s="14" t="s">
        <v>3078</v>
      </c>
      <c r="D1336" s="11" t="s">
        <v>3230</v>
      </c>
      <c r="E1336" s="14" t="s">
        <v>774</v>
      </c>
      <c r="F1336" s="13">
        <v>24</v>
      </c>
      <c r="G1336" s="121">
        <f>Overview!$B$183</f>
        <v>24</v>
      </c>
      <c r="H1336" s="23">
        <f t="shared" si="439"/>
        <v>24</v>
      </c>
      <c r="I1336" s="114">
        <f>Overview!$E$183</f>
        <v>0</v>
      </c>
      <c r="J1336" s="52">
        <f t="shared" si="440"/>
        <v>0</v>
      </c>
      <c r="K1336" s="174">
        <f>Overview!$H$183</f>
        <v>0</v>
      </c>
      <c r="L1336" s="54" t="e">
        <f t="shared" si="441"/>
        <v>#DIV/0!</v>
      </c>
      <c r="M1336" s="179"/>
      <c r="N1336" s="179" t="s">
        <v>3072</v>
      </c>
      <c r="O1336" s="141">
        <f t="shared" si="442"/>
        <v>0</v>
      </c>
      <c r="P1336" s="181" t="b">
        <f>COUNTIF('Facility Data'!$A$1:$A$1500,"*"&amp;A1336&amp;"*")&gt;0</f>
        <v>0</v>
      </c>
      <c r="Q1336" s="181" t="b">
        <f>COUNTIF('Account Data'!$A$1:$A$1000,"*"&amp;A1336&amp;"*")&gt;0</f>
        <v>0</v>
      </c>
      <c r="R1336" s="182" t="b">
        <f t="shared" si="443"/>
        <v>0</v>
      </c>
      <c r="S1336" s="182" t="b">
        <f t="shared" si="421"/>
        <v>0</v>
      </c>
      <c r="T1336" s="181" t="b">
        <f>COUNTIF('New Items'!$A$1:$A$175,A1336)&gt;0</f>
        <v>0</v>
      </c>
      <c r="U1336" s="181" t="b">
        <f>COUNTIF(Discontinued!$A$1:$A$150,A1336)&gt;0</f>
        <v>0</v>
      </c>
    </row>
    <row r="1337" spans="1:21" s="8" customFormat="1" ht="11.25" x14ac:dyDescent="0.2">
      <c r="A1337" s="152">
        <v>20004179</v>
      </c>
      <c r="B1337" s="9" t="s">
        <v>3090</v>
      </c>
      <c r="C1337" s="14" t="s">
        <v>3091</v>
      </c>
      <c r="D1337" s="11" t="s">
        <v>3232</v>
      </c>
      <c r="E1337" s="14" t="s">
        <v>3095</v>
      </c>
      <c r="F1337" s="120">
        <v>28</v>
      </c>
      <c r="G1337" s="121">
        <f>Overview!$B$185</f>
        <v>30</v>
      </c>
      <c r="H1337" s="23">
        <f t="shared" si="439"/>
        <v>30</v>
      </c>
      <c r="I1337" s="114">
        <f>Overview!$E$185</f>
        <v>0</v>
      </c>
      <c r="J1337" s="52">
        <f t="shared" si="440"/>
        <v>0</v>
      </c>
      <c r="K1337" s="174">
        <f>Overview!$H$185</f>
        <v>0</v>
      </c>
      <c r="L1337" s="54" t="e">
        <f t="shared" si="441"/>
        <v>#DIV/0!</v>
      </c>
      <c r="M1337" s="179"/>
      <c r="N1337" s="179" t="s">
        <v>3072</v>
      </c>
      <c r="O1337" s="141">
        <f t="shared" si="442"/>
        <v>0</v>
      </c>
      <c r="P1337" s="181" t="b">
        <f>COUNTIF('Facility Data'!$A$1:$A$1500,"*"&amp;A1337&amp;"*")&gt;0</f>
        <v>0</v>
      </c>
      <c r="Q1337" s="181" t="b">
        <f>COUNTIF('Account Data'!$A$1:$A$1000,"*"&amp;A1337&amp;"*")&gt;0</f>
        <v>0</v>
      </c>
      <c r="R1337" s="182" t="b">
        <f t="shared" si="443"/>
        <v>0</v>
      </c>
      <c r="S1337" s="182" t="b">
        <f t="shared" si="421"/>
        <v>0</v>
      </c>
      <c r="T1337" s="181" t="b">
        <f>COUNTIF('New Items'!$A$1:$A$175,A1337)&gt;0</f>
        <v>0</v>
      </c>
      <c r="U1337" s="181" t="b">
        <f>COUNTIF(Discontinued!$A$1:$A$150,A1337)&gt;0</f>
        <v>0</v>
      </c>
    </row>
    <row r="1338" spans="1:21" s="8" customFormat="1" ht="12" thickBot="1" x14ac:dyDescent="0.25">
      <c r="A1338" s="154">
        <v>20004202</v>
      </c>
      <c r="B1338" s="58" t="s">
        <v>3094</v>
      </c>
      <c r="C1338" s="14" t="s">
        <v>3093</v>
      </c>
      <c r="D1338" s="11" t="s">
        <v>3234</v>
      </c>
      <c r="E1338" s="12" t="s">
        <v>761</v>
      </c>
      <c r="F1338" s="120">
        <v>18</v>
      </c>
      <c r="G1338" s="121">
        <f>Overview!$B$187</f>
        <v>24</v>
      </c>
      <c r="H1338" s="23">
        <f t="shared" si="439"/>
        <v>24</v>
      </c>
      <c r="I1338" s="114">
        <f>Overview!$E$187</f>
        <v>0</v>
      </c>
      <c r="J1338" s="52">
        <f t="shared" si="440"/>
        <v>0</v>
      </c>
      <c r="K1338" s="174">
        <f>Overview!$H$187</f>
        <v>0</v>
      </c>
      <c r="L1338" s="54" t="e">
        <f t="shared" si="441"/>
        <v>#DIV/0!</v>
      </c>
      <c r="M1338" s="179"/>
      <c r="N1338" s="179" t="s">
        <v>3072</v>
      </c>
      <c r="O1338" s="141">
        <f t="shared" si="442"/>
        <v>0</v>
      </c>
      <c r="P1338" s="181" t="b">
        <f>COUNTIF('Facility Data'!$A$1:$A$1500,"*"&amp;A1338&amp;"*")&gt;0</f>
        <v>0</v>
      </c>
      <c r="Q1338" s="181" t="b">
        <f>COUNTIF('Account Data'!$A$1:$A$1000,"*"&amp;A1338&amp;"*")&gt;0</f>
        <v>0</v>
      </c>
      <c r="R1338" s="182" t="b">
        <f t="shared" si="443"/>
        <v>0</v>
      </c>
      <c r="S1338" s="182" t="b">
        <f t="shared" si="421"/>
        <v>0</v>
      </c>
      <c r="T1338" s="181" t="b">
        <f>COUNTIF('New Items'!$A$1:$A$175,A1338)&gt;0</f>
        <v>0</v>
      </c>
      <c r="U1338" s="181" t="b">
        <f>COUNTIF(Discontinued!$A$1:$A$150,A1338)&gt;0</f>
        <v>0</v>
      </c>
    </row>
    <row r="1339" spans="1:21" s="8" customFormat="1" ht="13.5" thickBot="1" x14ac:dyDescent="0.25">
      <c r="A1339" s="300" t="s">
        <v>3841</v>
      </c>
      <c r="B1339" s="301"/>
      <c r="C1339" s="301"/>
      <c r="D1339" s="301"/>
      <c r="E1339" s="301"/>
      <c r="F1339" s="301"/>
      <c r="G1339" s="301"/>
      <c r="H1339" s="301"/>
      <c r="I1339" s="301"/>
      <c r="J1339" s="301"/>
      <c r="K1339" s="301"/>
      <c r="L1339" s="302"/>
      <c r="M1339" s="179" t="s">
        <v>4361</v>
      </c>
      <c r="N1339" s="179" t="s">
        <v>3842</v>
      </c>
      <c r="O1339" s="141">
        <f>AVERAGE(O1340:O1341)</f>
        <v>0</v>
      </c>
      <c r="P1339" s="181" t="b">
        <f>COUNTIF(P1340:P1341,TRUE)&gt;0</f>
        <v>0</v>
      </c>
      <c r="Q1339" s="181" t="b">
        <f>COUNTIF(Q1340:Q1341,TRUE)&gt;0</f>
        <v>0</v>
      </c>
      <c r="R1339" s="181" t="b">
        <f>COUNTIF(R1340:R1341,TRUE)&gt;0</f>
        <v>0</v>
      </c>
      <c r="S1339" s="181" t="b">
        <f>COUNTIF(S1340:S1341,TRUE)&gt;0</f>
        <v>0</v>
      </c>
      <c r="T1339" s="181" t="b">
        <f>COUNTIF(T1340:T1341,TRUE)&gt;0</f>
        <v>0</v>
      </c>
      <c r="U1339" s="181"/>
    </row>
    <row r="1340" spans="1:21" s="8" customFormat="1" ht="11.25" x14ac:dyDescent="0.2">
      <c r="A1340" s="152">
        <v>20030589</v>
      </c>
      <c r="B1340" s="9" t="s">
        <v>3839</v>
      </c>
      <c r="C1340" s="12" t="s">
        <v>3843</v>
      </c>
      <c r="D1340" s="11" t="s">
        <v>1014</v>
      </c>
      <c r="E1340" s="12" t="s">
        <v>1014</v>
      </c>
      <c r="F1340" s="13">
        <v>12</v>
      </c>
      <c r="G1340" s="121">
        <f>Overview!$B$188</f>
        <v>24</v>
      </c>
      <c r="H1340" s="23">
        <f>G1340-I1340</f>
        <v>24</v>
      </c>
      <c r="I1340" s="114">
        <f>Overview!$E$188</f>
        <v>0</v>
      </c>
      <c r="J1340" s="52">
        <f>I1340/F1340</f>
        <v>0</v>
      </c>
      <c r="K1340" s="174">
        <f>Overview!$H$188</f>
        <v>0</v>
      </c>
      <c r="L1340" s="54" t="e">
        <f>(K1340-J1340)/K1340</f>
        <v>#DIV/0!</v>
      </c>
      <c r="M1340" s="179"/>
      <c r="N1340" s="179" t="s">
        <v>3842</v>
      </c>
      <c r="O1340" s="141">
        <f>I1340</f>
        <v>0</v>
      </c>
      <c r="P1340" s="181" t="b">
        <f>COUNTIF('Facility Data'!$A$1:$A$1500,"*"&amp;A1340&amp;"*")&gt;0</f>
        <v>0</v>
      </c>
      <c r="Q1340" s="181" t="b">
        <f>COUNTIF('Account Data'!$A$1:$A$1000,"*"&amp;A1340&amp;"*")&gt;0</f>
        <v>0</v>
      </c>
      <c r="R1340" s="182" t="b">
        <f>IF(OR(P1340=TRUE,T1340=TRUE),TRUE,FALSE)</f>
        <v>0</v>
      </c>
      <c r="S1340" s="182" t="b">
        <f>IF(OR(Q1340=TRUE,T1340=TRUE),TRUE,FALSE)</f>
        <v>0</v>
      </c>
      <c r="T1340" s="181" t="b">
        <f>COUNTIF('New Items'!$A$1:$A$175,A1340)&gt;0</f>
        <v>0</v>
      </c>
      <c r="U1340" s="181" t="b">
        <f>COUNTIF(Discontinued!$A$1:$A$150,A1340)&gt;0</f>
        <v>0</v>
      </c>
    </row>
    <row r="1341" spans="1:21" s="8" customFormat="1" ht="12" thickBot="1" x14ac:dyDescent="0.25">
      <c r="A1341" s="152">
        <v>20030107</v>
      </c>
      <c r="B1341" s="9" t="s">
        <v>3840</v>
      </c>
      <c r="C1341" s="12" t="s">
        <v>3844</v>
      </c>
      <c r="D1341" s="11" t="s">
        <v>761</v>
      </c>
      <c r="E1341" s="12" t="s">
        <v>761</v>
      </c>
      <c r="F1341" s="13">
        <v>12</v>
      </c>
      <c r="G1341" s="121">
        <f>Overview!$B$189</f>
        <v>24</v>
      </c>
      <c r="H1341" s="23">
        <f>G1341-I1341</f>
        <v>24</v>
      </c>
      <c r="I1341" s="114">
        <f>Overview!$E$189</f>
        <v>0</v>
      </c>
      <c r="J1341" s="52">
        <f>I1341/F1341</f>
        <v>0</v>
      </c>
      <c r="K1341" s="174">
        <f>Overview!$H$189</f>
        <v>0</v>
      </c>
      <c r="L1341" s="54" t="e">
        <f>(K1341-J1341)/K1341</f>
        <v>#DIV/0!</v>
      </c>
      <c r="M1341" s="179"/>
      <c r="N1341" s="179" t="s">
        <v>3842</v>
      </c>
      <c r="O1341" s="141">
        <f>I1341</f>
        <v>0</v>
      </c>
      <c r="P1341" s="181" t="b">
        <f>COUNTIF('Facility Data'!$A$1:$A$1500,"*"&amp;A1341&amp;"*")&gt;0</f>
        <v>0</v>
      </c>
      <c r="Q1341" s="181" t="b">
        <f>COUNTIF('Account Data'!$A$1:$A$1000,"*"&amp;A1341&amp;"*")&gt;0</f>
        <v>0</v>
      </c>
      <c r="R1341" s="182" t="b">
        <f>IF(OR(P1341=TRUE,T1341=TRUE),TRUE,FALSE)</f>
        <v>0</v>
      </c>
      <c r="S1341" s="182" t="b">
        <f>IF(OR(Q1341=TRUE,T1341=TRUE),TRUE,FALSE)</f>
        <v>0</v>
      </c>
      <c r="T1341" s="181" t="b">
        <f>COUNTIF('New Items'!$A$1:$A$175,A1341)&gt;0</f>
        <v>0</v>
      </c>
      <c r="U1341" s="181" t="b">
        <f>COUNTIF(Discontinued!$A$1:$A$150,A1341)&gt;0</f>
        <v>0</v>
      </c>
    </row>
    <row r="1342" spans="1:21" s="8" customFormat="1" ht="13.5" thickBot="1" x14ac:dyDescent="0.25">
      <c r="A1342" s="300" t="s">
        <v>3043</v>
      </c>
      <c r="B1342" s="301"/>
      <c r="C1342" s="301"/>
      <c r="D1342" s="301"/>
      <c r="E1342" s="301"/>
      <c r="F1342" s="301"/>
      <c r="G1342" s="301"/>
      <c r="H1342" s="301"/>
      <c r="I1342" s="301"/>
      <c r="J1342" s="301"/>
      <c r="K1342" s="301"/>
      <c r="L1342" s="302"/>
      <c r="M1342" s="179" t="s">
        <v>4361</v>
      </c>
      <c r="N1342" s="179" t="s">
        <v>3043</v>
      </c>
      <c r="O1342" s="141">
        <f>AVERAGE(O1343:O1344)</f>
        <v>0</v>
      </c>
      <c r="P1342" s="181" t="b">
        <f>COUNTIF(P1343:P1344,TRUE)&gt;0</f>
        <v>0</v>
      </c>
      <c r="Q1342" s="181" t="b">
        <f>COUNTIF(Q1343:Q1344,TRUE)&gt;0</f>
        <v>0</v>
      </c>
      <c r="R1342" s="181" t="b">
        <f>COUNTIF(R1343:R1344,TRUE)&gt;0</f>
        <v>0</v>
      </c>
      <c r="S1342" s="181" t="b">
        <f>COUNTIF(S1343:S1344,TRUE)&gt;0</f>
        <v>0</v>
      </c>
      <c r="T1342" s="181" t="b">
        <f>COUNTIF(T1343:T1344,TRUE)&gt;0</f>
        <v>0</v>
      </c>
      <c r="U1342" s="181"/>
    </row>
    <row r="1343" spans="1:21" s="8" customFormat="1" ht="11.25" x14ac:dyDescent="0.2">
      <c r="A1343" s="152">
        <v>20000042</v>
      </c>
      <c r="B1343" s="9" t="s">
        <v>3045</v>
      </c>
      <c r="C1343" s="12" t="s">
        <v>3046</v>
      </c>
      <c r="D1343" s="11" t="s">
        <v>757</v>
      </c>
      <c r="E1343" s="12" t="s">
        <v>757</v>
      </c>
      <c r="F1343" s="13">
        <v>24</v>
      </c>
      <c r="G1343" s="121">
        <f>Overview!$B$190</f>
        <v>20</v>
      </c>
      <c r="H1343" s="23">
        <f>G1343-I1343</f>
        <v>20</v>
      </c>
      <c r="I1343" s="114">
        <f>Overview!$E$190</f>
        <v>0</v>
      </c>
      <c r="J1343" s="52">
        <f>I1343/F1343</f>
        <v>0</v>
      </c>
      <c r="K1343" s="174">
        <f>Overview!$H$190</f>
        <v>0</v>
      </c>
      <c r="L1343" s="54" t="e">
        <f>(K1343-J1343)/K1343</f>
        <v>#DIV/0!</v>
      </c>
      <c r="M1343" s="179"/>
      <c r="N1343" s="179" t="s">
        <v>3043</v>
      </c>
      <c r="O1343" s="141">
        <f>I1343</f>
        <v>0</v>
      </c>
      <c r="P1343" s="181" t="b">
        <f>COUNTIF('Facility Data'!$A$1:$A$1500,"*"&amp;A1343&amp;"*")&gt;0</f>
        <v>0</v>
      </c>
      <c r="Q1343" s="181" t="b">
        <f>COUNTIF('Account Data'!$A$1:$A$1000,"*"&amp;A1343&amp;"*")&gt;0</f>
        <v>0</v>
      </c>
      <c r="R1343" s="182" t="b">
        <f>IF(OR(P1343=TRUE,T1343=TRUE),TRUE,FALSE)</f>
        <v>0</v>
      </c>
      <c r="S1343" s="182" t="b">
        <f>IF(OR(Q1343=TRUE,T1343=TRUE),TRUE,FALSE)</f>
        <v>0</v>
      </c>
      <c r="T1343" s="181" t="b">
        <f>COUNTIF('New Items'!$A$1:$A$175,A1343)&gt;0</f>
        <v>0</v>
      </c>
      <c r="U1343" s="181" t="b">
        <f>COUNTIF(Discontinued!$A$1:$A$150,A1343)&gt;0</f>
        <v>0</v>
      </c>
    </row>
    <row r="1344" spans="1:21" s="8" customFormat="1" ht="12" thickBot="1" x14ac:dyDescent="0.25">
      <c r="A1344" s="152">
        <v>20000063</v>
      </c>
      <c r="B1344" s="9" t="s">
        <v>3047</v>
      </c>
      <c r="C1344" s="12" t="s">
        <v>3048</v>
      </c>
      <c r="D1344" s="11" t="s">
        <v>3044</v>
      </c>
      <c r="E1344" s="12" t="s">
        <v>3044</v>
      </c>
      <c r="F1344" s="13">
        <v>6</v>
      </c>
      <c r="G1344" s="121">
        <f>Overview!$B$191</f>
        <v>20</v>
      </c>
      <c r="H1344" s="23">
        <f>G1344-I1344</f>
        <v>20</v>
      </c>
      <c r="I1344" s="114">
        <f>Overview!$E$191</f>
        <v>0</v>
      </c>
      <c r="J1344" s="52">
        <f>I1344/F1344</f>
        <v>0</v>
      </c>
      <c r="K1344" s="174">
        <f>Overview!$H$191</f>
        <v>0</v>
      </c>
      <c r="L1344" s="54" t="e">
        <f>(K1344-J1344)/K1344</f>
        <v>#DIV/0!</v>
      </c>
      <c r="M1344" s="179"/>
      <c r="N1344" s="179" t="s">
        <v>3043</v>
      </c>
      <c r="O1344" s="141">
        <f>I1344</f>
        <v>0</v>
      </c>
      <c r="P1344" s="181" t="b">
        <f>COUNTIF('Facility Data'!$A$1:$A$1500,"*"&amp;A1344&amp;"*")&gt;0</f>
        <v>0</v>
      </c>
      <c r="Q1344" s="181" t="b">
        <f>COUNTIF('Account Data'!$A$1:$A$1000,"*"&amp;A1344&amp;"*")&gt;0</f>
        <v>0</v>
      </c>
      <c r="R1344" s="182" t="b">
        <f>IF(OR(P1344=TRUE,T1344=TRUE),TRUE,FALSE)</f>
        <v>0</v>
      </c>
      <c r="S1344" s="182" t="b">
        <f>IF(OR(Q1344=TRUE,T1344=TRUE),TRUE,FALSE)</f>
        <v>0</v>
      </c>
      <c r="T1344" s="181" t="b">
        <f>COUNTIF('New Items'!$A$1:$A$175,A1344)&gt;0</f>
        <v>0</v>
      </c>
      <c r="U1344" s="181" t="b">
        <f>COUNTIF(Discontinued!$A$1:$A$150,A1344)&gt;0</f>
        <v>0</v>
      </c>
    </row>
    <row r="1345" spans="1:21" s="8" customFormat="1" ht="13.5" thickBot="1" x14ac:dyDescent="0.25">
      <c r="A1345" s="300" t="s">
        <v>2985</v>
      </c>
      <c r="B1345" s="301"/>
      <c r="C1345" s="301"/>
      <c r="D1345" s="301"/>
      <c r="E1345" s="301"/>
      <c r="F1345" s="301"/>
      <c r="G1345" s="301"/>
      <c r="H1345" s="301"/>
      <c r="I1345" s="301"/>
      <c r="J1345" s="301"/>
      <c r="K1345" s="301"/>
      <c r="L1345" s="302"/>
      <c r="M1345" s="179" t="s">
        <v>4361</v>
      </c>
      <c r="N1345" s="179" t="s">
        <v>2985</v>
      </c>
      <c r="O1345" s="141">
        <f>AVERAGE(O1346)</f>
        <v>0</v>
      </c>
      <c r="P1345" s="181" t="b">
        <f t="shared" ref="P1345:U1345" si="444">COUNTIF(P1346,TRUE)&gt;0</f>
        <v>0</v>
      </c>
      <c r="Q1345" s="181" t="b">
        <f t="shared" si="444"/>
        <v>0</v>
      </c>
      <c r="R1345" s="181" t="b">
        <f t="shared" si="444"/>
        <v>0</v>
      </c>
      <c r="S1345" s="181" t="b">
        <f t="shared" si="444"/>
        <v>0</v>
      </c>
      <c r="T1345" s="181" t="b">
        <f t="shared" si="444"/>
        <v>0</v>
      </c>
      <c r="U1345" s="181" t="b">
        <f t="shared" si="444"/>
        <v>0</v>
      </c>
    </row>
    <row r="1346" spans="1:21" s="8" customFormat="1" ht="12" thickBot="1" x14ac:dyDescent="0.25">
      <c r="A1346" s="152">
        <v>10002516</v>
      </c>
      <c r="B1346" s="9" t="s">
        <v>2986</v>
      </c>
      <c r="C1346" s="12" t="s">
        <v>2987</v>
      </c>
      <c r="D1346" s="11" t="s">
        <v>774</v>
      </c>
      <c r="E1346" s="12" t="s">
        <v>774</v>
      </c>
      <c r="F1346" s="13">
        <v>24</v>
      </c>
      <c r="G1346" s="121">
        <f>Overview!$B$192</f>
        <v>24</v>
      </c>
      <c r="H1346" s="23">
        <f>G1346-I1346</f>
        <v>24</v>
      </c>
      <c r="I1346" s="114">
        <f>Overview!$E$192</f>
        <v>0</v>
      </c>
      <c r="J1346" s="52">
        <f>I1346/F1346</f>
        <v>0</v>
      </c>
      <c r="K1346" s="174">
        <f>Overview!$H$192</f>
        <v>0</v>
      </c>
      <c r="L1346" s="54" t="e">
        <f>(K1346-J1346)/K1346</f>
        <v>#DIV/0!</v>
      </c>
      <c r="M1346" s="179"/>
      <c r="N1346" s="179" t="s">
        <v>2985</v>
      </c>
      <c r="O1346" s="141">
        <f>I1346</f>
        <v>0</v>
      </c>
      <c r="P1346" s="181" t="b">
        <f>COUNTIF('Facility Data'!$A$1:$A$1500,"*"&amp;A1346&amp;"*")&gt;0</f>
        <v>0</v>
      </c>
      <c r="Q1346" s="181" t="b">
        <f>COUNTIF('Account Data'!$A$1:$A$1000,"*"&amp;A1346&amp;"*")&gt;0</f>
        <v>0</v>
      </c>
      <c r="R1346" s="182" t="b">
        <f>IF(OR(P1346=TRUE,T1346=TRUE),TRUE,FALSE)</f>
        <v>0</v>
      </c>
      <c r="S1346" s="182" t="b">
        <f t="shared" si="421"/>
        <v>0</v>
      </c>
      <c r="T1346" s="181" t="b">
        <f>COUNTIF('New Items'!$A$1:$A$175,A1346)&gt;0</f>
        <v>0</v>
      </c>
      <c r="U1346" s="181" t="b">
        <f>COUNTIF(Discontinued!$A$1:$A$150,A1346)&gt;0</f>
        <v>0</v>
      </c>
    </row>
    <row r="1347" spans="1:21" s="8" customFormat="1" ht="13.5" thickBot="1" x14ac:dyDescent="0.25">
      <c r="A1347" s="300" t="s">
        <v>1025</v>
      </c>
      <c r="B1347" s="301"/>
      <c r="C1347" s="301"/>
      <c r="D1347" s="301"/>
      <c r="E1347" s="301"/>
      <c r="F1347" s="301"/>
      <c r="G1347" s="301"/>
      <c r="H1347" s="301"/>
      <c r="I1347" s="301"/>
      <c r="J1347" s="301"/>
      <c r="K1347" s="301"/>
      <c r="L1347" s="302"/>
      <c r="M1347" s="179" t="s">
        <v>4361</v>
      </c>
      <c r="N1347" s="179" t="s">
        <v>1255</v>
      </c>
      <c r="O1347" s="141">
        <f>AVERAGE(O1348:O1352)</f>
        <v>0</v>
      </c>
      <c r="P1347" s="181" t="b">
        <f>COUNTIF(P1348:P1352,TRUE)&gt;0</f>
        <v>1</v>
      </c>
      <c r="Q1347" s="181" t="b">
        <f>COUNTIF(Q1348:Q1352,TRUE)&gt;0</f>
        <v>1</v>
      </c>
      <c r="R1347" s="181" t="b">
        <f>COUNTIF(R1348:R1352,TRUE)&gt;0</f>
        <v>1</v>
      </c>
      <c r="S1347" s="181" t="b">
        <f>COUNTIF(S1348:S1352,TRUE)&gt;0</f>
        <v>1</v>
      </c>
      <c r="T1347" s="181" t="b">
        <f>COUNTIF(T1348:T1352,TRUE)&gt;0</f>
        <v>0</v>
      </c>
      <c r="U1347" s="181"/>
    </row>
    <row r="1348" spans="1:21" s="8" customFormat="1" ht="11.25" x14ac:dyDescent="0.2">
      <c r="A1348" s="159">
        <v>20028334</v>
      </c>
      <c r="B1348" s="123" t="s">
        <v>1026</v>
      </c>
      <c r="C1348" s="124" t="s">
        <v>1027</v>
      </c>
      <c r="D1348" s="119" t="s">
        <v>1012</v>
      </c>
      <c r="E1348" s="127" t="s">
        <v>1012</v>
      </c>
      <c r="F1348" s="120">
        <v>24</v>
      </c>
      <c r="G1348" s="121">
        <f>Overview!$B$193</f>
        <v>24</v>
      </c>
      <c r="H1348" s="114">
        <f>G1348-I1348</f>
        <v>24</v>
      </c>
      <c r="I1348" s="114">
        <f>Overview!$E$193</f>
        <v>0</v>
      </c>
      <c r="J1348" s="115">
        <f>I1348/F1348</f>
        <v>0</v>
      </c>
      <c r="K1348" s="116">
        <f>Overview!$H$193</f>
        <v>0</v>
      </c>
      <c r="L1348" s="117" t="e">
        <f>(K1348-J1348)/K1348</f>
        <v>#DIV/0!</v>
      </c>
      <c r="M1348" s="179"/>
      <c r="N1348" s="179" t="s">
        <v>1255</v>
      </c>
      <c r="O1348" s="141">
        <f>I1348</f>
        <v>0</v>
      </c>
      <c r="P1348" s="181" t="b">
        <f>COUNTIF('Facility Data'!$A$1:$A$1500,"*"&amp;A1348&amp;"*")&gt;0</f>
        <v>1</v>
      </c>
      <c r="Q1348" s="181" t="b">
        <f>COUNTIF('Account Data'!$A$1:$A$1000,"*"&amp;A1348&amp;"*")&gt;0</f>
        <v>1</v>
      </c>
      <c r="R1348" s="182" t="b">
        <f>IF(OR(P1348=TRUE,T1348=TRUE),TRUE,FALSE)</f>
        <v>1</v>
      </c>
      <c r="S1348" s="182" t="b">
        <f t="shared" si="421"/>
        <v>1</v>
      </c>
      <c r="T1348" s="181" t="b">
        <f>COUNTIF('New Items'!$A$1:$A$175,A1348)&gt;0</f>
        <v>0</v>
      </c>
      <c r="U1348" s="181" t="b">
        <f>COUNTIF(Discontinued!$A$1:$A$150,A1348)&gt;0</f>
        <v>0</v>
      </c>
    </row>
    <row r="1349" spans="1:21" s="8" customFormat="1" ht="11.25" x14ac:dyDescent="0.2">
      <c r="A1349" s="159">
        <v>20028337</v>
      </c>
      <c r="B1349" s="123" t="s">
        <v>4083</v>
      </c>
      <c r="C1349" s="124" t="s">
        <v>1028</v>
      </c>
      <c r="D1349" s="119" t="s">
        <v>4084</v>
      </c>
      <c r="E1349" s="124" t="s">
        <v>774</v>
      </c>
      <c r="F1349" s="120">
        <v>24</v>
      </c>
      <c r="G1349" s="121">
        <f>Overview!$B$194</f>
        <v>24</v>
      </c>
      <c r="H1349" s="114">
        <f>G1349-I1349</f>
        <v>24</v>
      </c>
      <c r="I1349" s="114">
        <f>Overview!$E$194</f>
        <v>0</v>
      </c>
      <c r="J1349" s="115">
        <f>I1349/F1349</f>
        <v>0</v>
      </c>
      <c r="K1349" s="116">
        <f>Overview!$H$194</f>
        <v>0</v>
      </c>
      <c r="L1349" s="117" t="e">
        <f>(K1349-J1349)/K1349</f>
        <v>#DIV/0!</v>
      </c>
      <c r="M1349" s="179"/>
      <c r="N1349" s="179" t="s">
        <v>1255</v>
      </c>
      <c r="O1349" s="141">
        <f>I1349</f>
        <v>0</v>
      </c>
      <c r="P1349" s="181" t="b">
        <f>COUNTIF('Facility Data'!$A$1:$A$1500,"*"&amp;A1349&amp;"*")&gt;0</f>
        <v>1</v>
      </c>
      <c r="Q1349" s="181" t="b">
        <f>COUNTIF('Account Data'!$A$1:$A$1000,"*"&amp;A1349&amp;"*")&gt;0</f>
        <v>1</v>
      </c>
      <c r="R1349" s="182" t="b">
        <f>IF(OR(P1349=TRUE,T1349=TRUE),TRUE,FALSE)</f>
        <v>1</v>
      </c>
      <c r="S1349" s="182" t="b">
        <f t="shared" si="421"/>
        <v>1</v>
      </c>
      <c r="T1349" s="181" t="b">
        <f>COUNTIF('New Items'!$A$1:$A$175,A1349)&gt;0</f>
        <v>0</v>
      </c>
      <c r="U1349" s="181" t="b">
        <f>COUNTIF(Discontinued!$A$1:$A$150,A1349)&gt;0</f>
        <v>0</v>
      </c>
    </row>
    <row r="1350" spans="1:21" s="8" customFormat="1" ht="11.25" x14ac:dyDescent="0.2">
      <c r="A1350" s="159">
        <v>20028336</v>
      </c>
      <c r="B1350" s="123" t="s">
        <v>1180</v>
      </c>
      <c r="C1350" s="124" t="s">
        <v>1029</v>
      </c>
      <c r="D1350" s="119" t="s">
        <v>1013</v>
      </c>
      <c r="E1350" s="124" t="s">
        <v>1014</v>
      </c>
      <c r="F1350" s="120">
        <v>12</v>
      </c>
      <c r="G1350" s="121">
        <f>Overview!$B$195</f>
        <v>21</v>
      </c>
      <c r="H1350" s="114">
        <f>G1350-I1350</f>
        <v>21</v>
      </c>
      <c r="I1350" s="114">
        <f>Overview!$E$195</f>
        <v>0</v>
      </c>
      <c r="J1350" s="115">
        <f>I1350/F1350</f>
        <v>0</v>
      </c>
      <c r="K1350" s="116">
        <f>Overview!$H$195</f>
        <v>0</v>
      </c>
      <c r="L1350" s="117" t="e">
        <f>(K1350-J1350)/K1350</f>
        <v>#DIV/0!</v>
      </c>
      <c r="M1350" s="179"/>
      <c r="N1350" s="179" t="s">
        <v>1255</v>
      </c>
      <c r="O1350" s="141">
        <f>I1350</f>
        <v>0</v>
      </c>
      <c r="P1350" s="181" t="b">
        <f>COUNTIF('Facility Data'!$A$1:$A$1500,"*"&amp;A1350&amp;"*")&gt;0</f>
        <v>1</v>
      </c>
      <c r="Q1350" s="181" t="b">
        <f>COUNTIF('Account Data'!$A$1:$A$1000,"*"&amp;A1350&amp;"*")&gt;0</f>
        <v>1</v>
      </c>
      <c r="R1350" s="182" t="b">
        <f>IF(OR(P1350=TRUE,T1350=TRUE),TRUE,FALSE)</f>
        <v>1</v>
      </c>
      <c r="S1350" s="182" t="b">
        <f t="shared" si="421"/>
        <v>1</v>
      </c>
      <c r="T1350" s="181" t="b">
        <f>COUNTIF('New Items'!$A$1:$A$175,A1350)&gt;0</f>
        <v>0</v>
      </c>
      <c r="U1350" s="181" t="b">
        <f>COUNTIF(Discontinued!$A$1:$A$150,A1350)&gt;0</f>
        <v>0</v>
      </c>
    </row>
    <row r="1351" spans="1:21" s="8" customFormat="1" ht="11.25" x14ac:dyDescent="0.2">
      <c r="A1351" s="159">
        <v>20028335</v>
      </c>
      <c r="B1351" s="123" t="s">
        <v>1030</v>
      </c>
      <c r="C1351" s="124" t="s">
        <v>1031</v>
      </c>
      <c r="D1351" s="119" t="s">
        <v>761</v>
      </c>
      <c r="E1351" s="124" t="s">
        <v>761</v>
      </c>
      <c r="F1351" s="120">
        <v>12</v>
      </c>
      <c r="G1351" s="121">
        <f>Overview!$B$196</f>
        <v>24</v>
      </c>
      <c r="H1351" s="114">
        <f>G1351-I1351</f>
        <v>24</v>
      </c>
      <c r="I1351" s="114">
        <f>Overview!$E$196</f>
        <v>0</v>
      </c>
      <c r="J1351" s="115">
        <f>I1351/F1351</f>
        <v>0</v>
      </c>
      <c r="K1351" s="116">
        <f>Overview!$H$196</f>
        <v>0</v>
      </c>
      <c r="L1351" s="117" t="e">
        <f>(K1351-J1351)/K1351</f>
        <v>#DIV/0!</v>
      </c>
      <c r="M1351" s="179"/>
      <c r="N1351" s="179" t="s">
        <v>1255</v>
      </c>
      <c r="O1351" s="141">
        <f>I1351</f>
        <v>0</v>
      </c>
      <c r="P1351" s="181" t="b">
        <f>COUNTIF('Facility Data'!$A$1:$A$1500,"*"&amp;A1351&amp;"*")&gt;0</f>
        <v>1</v>
      </c>
      <c r="Q1351" s="181" t="b">
        <f>COUNTIF('Account Data'!$A$1:$A$1000,"*"&amp;A1351&amp;"*")&gt;0</f>
        <v>1</v>
      </c>
      <c r="R1351" s="182" t="b">
        <f>IF(OR(P1351=TRUE,T1351=TRUE),TRUE,FALSE)</f>
        <v>1</v>
      </c>
      <c r="S1351" s="182" t="b">
        <f t="shared" si="421"/>
        <v>1</v>
      </c>
      <c r="T1351" s="181" t="b">
        <f>COUNTIF('New Items'!$A$1:$A$175,A1351)&gt;0</f>
        <v>0</v>
      </c>
      <c r="U1351" s="181" t="b">
        <f>COUNTIF(Discontinued!$A$1:$A$150,A1351)&gt;0</f>
        <v>0</v>
      </c>
    </row>
    <row r="1352" spans="1:21" s="8" customFormat="1" ht="12" thickBot="1" x14ac:dyDescent="0.25">
      <c r="A1352" s="159">
        <v>20028330</v>
      </c>
      <c r="B1352" s="128" t="s">
        <v>1032</v>
      </c>
      <c r="C1352" s="129" t="s">
        <v>1033</v>
      </c>
      <c r="D1352" s="119" t="s">
        <v>763</v>
      </c>
      <c r="E1352" s="129" t="s">
        <v>763</v>
      </c>
      <c r="F1352" s="122">
        <v>12</v>
      </c>
      <c r="G1352" s="121">
        <f>Overview!$B$197</f>
        <v>24</v>
      </c>
      <c r="H1352" s="114">
        <f>G1352-I1352</f>
        <v>24</v>
      </c>
      <c r="I1352" s="114">
        <f>Overview!$E$197</f>
        <v>0</v>
      </c>
      <c r="J1352" s="115">
        <f>I1352/F1352</f>
        <v>0</v>
      </c>
      <c r="K1352" s="116">
        <f>Overview!$H$197</f>
        <v>0</v>
      </c>
      <c r="L1352" s="117" t="e">
        <f>(K1352-J1352)/K1352</f>
        <v>#DIV/0!</v>
      </c>
      <c r="M1352" s="179"/>
      <c r="N1352" s="179" t="s">
        <v>1255</v>
      </c>
      <c r="O1352" s="141">
        <f>I1352</f>
        <v>0</v>
      </c>
      <c r="P1352" s="181" t="b">
        <f>COUNTIF('Facility Data'!$A$1:$A$1500,"*"&amp;A1352&amp;"*")&gt;0</f>
        <v>1</v>
      </c>
      <c r="Q1352" s="181" t="b">
        <f>COUNTIF('Account Data'!$A$1:$A$1000,"*"&amp;A1352&amp;"*")&gt;0</f>
        <v>1</v>
      </c>
      <c r="R1352" s="182" t="b">
        <f>IF(OR(P1352=TRUE,T1352=TRUE),TRUE,FALSE)</f>
        <v>1</v>
      </c>
      <c r="S1352" s="182" t="b">
        <f t="shared" si="421"/>
        <v>1</v>
      </c>
      <c r="T1352" s="181" t="b">
        <f>COUNTIF('New Items'!$A$1:$A$175,A1352)&gt;0</f>
        <v>0</v>
      </c>
      <c r="U1352" s="181" t="b">
        <f>COUNTIF(Discontinued!$A$1:$A$150,A1352)&gt;0</f>
        <v>0</v>
      </c>
    </row>
    <row r="1353" spans="1:21" s="8" customFormat="1" ht="13.5" thickBot="1" x14ac:dyDescent="0.25">
      <c r="A1353" s="300" t="s">
        <v>1011</v>
      </c>
      <c r="B1353" s="301"/>
      <c r="C1353" s="301"/>
      <c r="D1353" s="301"/>
      <c r="E1353" s="301"/>
      <c r="F1353" s="301"/>
      <c r="G1353" s="301"/>
      <c r="H1353" s="301"/>
      <c r="I1353" s="301"/>
      <c r="J1353" s="301"/>
      <c r="K1353" s="301"/>
      <c r="L1353" s="302"/>
      <c r="M1353" s="179" t="s">
        <v>4361</v>
      </c>
      <c r="N1353" s="179" t="s">
        <v>1256</v>
      </c>
      <c r="O1353" s="141">
        <f>AVERAGE(O1354:O1358)</f>
        <v>0</v>
      </c>
      <c r="P1353" s="181" t="b">
        <f>COUNTIF(P1354:P1358,TRUE)&gt;0</f>
        <v>1</v>
      </c>
      <c r="Q1353" s="181" t="b">
        <f>COUNTIF(Q1354:Q1358,TRUE)&gt;0</f>
        <v>1</v>
      </c>
      <c r="R1353" s="181" t="b">
        <f>COUNTIF(R1354:R1358,TRUE)&gt;0</f>
        <v>1</v>
      </c>
      <c r="S1353" s="181" t="b">
        <f>COUNTIF(S1354:S1358,TRUE)&gt;0</f>
        <v>1</v>
      </c>
      <c r="T1353" s="181" t="b">
        <f>COUNTIF(T1354:T1358,TRUE)&gt;0</f>
        <v>0</v>
      </c>
      <c r="U1353" s="181"/>
    </row>
    <row r="1354" spans="1:21" s="8" customFormat="1" ht="11.25" x14ac:dyDescent="0.2">
      <c r="A1354" s="159">
        <v>20028332</v>
      </c>
      <c r="B1354" s="130" t="s">
        <v>4082</v>
      </c>
      <c r="C1354" s="124" t="s">
        <v>1021</v>
      </c>
      <c r="D1354" s="119" t="s">
        <v>1018</v>
      </c>
      <c r="E1354" s="125" t="s">
        <v>762</v>
      </c>
      <c r="F1354" s="126">
        <v>2</v>
      </c>
      <c r="G1354" s="121">
        <f>Overview!$B$198</f>
        <v>24</v>
      </c>
      <c r="H1354" s="114">
        <f>G1354-I1354</f>
        <v>24</v>
      </c>
      <c r="I1354" s="114">
        <f>Overview!$E$198</f>
        <v>0</v>
      </c>
      <c r="J1354" s="115">
        <f>I1354/F1354</f>
        <v>0</v>
      </c>
      <c r="K1354" s="116">
        <f>Overview!$H$198</f>
        <v>0</v>
      </c>
      <c r="L1354" s="117" t="e">
        <f>(K1354-J1354)/K1354</f>
        <v>#DIV/0!</v>
      </c>
      <c r="M1354" s="179"/>
      <c r="N1354" s="179" t="s">
        <v>1256</v>
      </c>
      <c r="O1354" s="141">
        <f>I1354</f>
        <v>0</v>
      </c>
      <c r="P1354" s="181" t="b">
        <f>COUNTIF('Facility Data'!$A$1:$A$1500,"*"&amp;A1354&amp;"*")&gt;0</f>
        <v>1</v>
      </c>
      <c r="Q1354" s="181" t="b">
        <f>COUNTIF('Account Data'!$A$1:$A$1000,"*"&amp;A1354&amp;"*")&gt;0</f>
        <v>0</v>
      </c>
      <c r="R1354" s="182" t="b">
        <f>IF(OR(P1354=TRUE,T1354=TRUE),TRUE,FALSE)</f>
        <v>1</v>
      </c>
      <c r="S1354" s="182" t="b">
        <f t="shared" si="421"/>
        <v>0</v>
      </c>
      <c r="T1354" s="181" t="b">
        <f>COUNTIF('New Items'!$A$1:$A$175,A1354)&gt;0</f>
        <v>0</v>
      </c>
      <c r="U1354" s="181" t="b">
        <f>COUNTIF(Discontinued!$A$1:$A$150,A1354)&gt;0</f>
        <v>0</v>
      </c>
    </row>
    <row r="1355" spans="1:21" s="8" customFormat="1" ht="11.25" x14ac:dyDescent="0.2">
      <c r="A1355" s="159">
        <v>20028333</v>
      </c>
      <c r="B1355" s="130" t="s">
        <v>1020</v>
      </c>
      <c r="C1355" s="124" t="s">
        <v>1022</v>
      </c>
      <c r="D1355" s="119" t="s">
        <v>764</v>
      </c>
      <c r="E1355" s="125" t="s">
        <v>762</v>
      </c>
      <c r="F1355" s="126">
        <v>4</v>
      </c>
      <c r="G1355" s="121">
        <f>Overview!$B$199</f>
        <v>24</v>
      </c>
      <c r="H1355" s="114">
        <f>G1355-I1355</f>
        <v>24</v>
      </c>
      <c r="I1355" s="114">
        <f>Overview!$E$199</f>
        <v>0</v>
      </c>
      <c r="J1355" s="115">
        <f>I1355/F1355</f>
        <v>0</v>
      </c>
      <c r="K1355" s="116">
        <f>Overview!$H$199</f>
        <v>0</v>
      </c>
      <c r="L1355" s="117" t="e">
        <f>(K1355-J1355)/K1355</f>
        <v>#DIV/0!</v>
      </c>
      <c r="M1355" s="179"/>
      <c r="N1355" s="179" t="s">
        <v>1256</v>
      </c>
      <c r="O1355" s="141">
        <f>I1355</f>
        <v>0</v>
      </c>
      <c r="P1355" s="181" t="b">
        <f>COUNTIF('Facility Data'!$A$1:$A$1500,"*"&amp;A1355&amp;"*")&gt;0</f>
        <v>1</v>
      </c>
      <c r="Q1355" s="181" t="b">
        <f>COUNTIF('Account Data'!$A$1:$A$1000,"*"&amp;A1355&amp;"*")&gt;0</f>
        <v>0</v>
      </c>
      <c r="R1355" s="182" t="b">
        <f>IF(OR(P1355=TRUE,T1355=TRUE),TRUE,FALSE)</f>
        <v>1</v>
      </c>
      <c r="S1355" s="182" t="b">
        <f t="shared" si="421"/>
        <v>0</v>
      </c>
      <c r="T1355" s="181" t="b">
        <f>COUNTIF('New Items'!$A$1:$A$175,A1355)&gt;0</f>
        <v>0</v>
      </c>
      <c r="U1355" s="181" t="b">
        <f>COUNTIF(Discontinued!$A$1:$A$150,A1355)&gt;0</f>
        <v>0</v>
      </c>
    </row>
    <row r="1356" spans="1:21" s="8" customFormat="1" ht="11.25" x14ac:dyDescent="0.2">
      <c r="A1356" s="159">
        <v>20028331</v>
      </c>
      <c r="B1356" s="123" t="s">
        <v>4078</v>
      </c>
      <c r="C1356" s="124" t="s">
        <v>1023</v>
      </c>
      <c r="D1356" s="119" t="s">
        <v>4079</v>
      </c>
      <c r="E1356" s="124" t="s">
        <v>774</v>
      </c>
      <c r="F1356" s="120">
        <v>4</v>
      </c>
      <c r="G1356" s="121">
        <f>Overview!$B$200</f>
        <v>24</v>
      </c>
      <c r="H1356" s="114">
        <f>G1356-I1356</f>
        <v>24</v>
      </c>
      <c r="I1356" s="114">
        <f>Overview!$E$200</f>
        <v>0</v>
      </c>
      <c r="J1356" s="115">
        <f>I1356/F1356</f>
        <v>0</v>
      </c>
      <c r="K1356" s="116">
        <f>Overview!$H$200</f>
        <v>0</v>
      </c>
      <c r="L1356" s="117" t="e">
        <f>(K1356-J1356)/K1356</f>
        <v>#DIV/0!</v>
      </c>
      <c r="M1356" s="179"/>
      <c r="N1356" s="179" t="s">
        <v>1256</v>
      </c>
      <c r="O1356" s="141">
        <f>I1356</f>
        <v>0</v>
      </c>
      <c r="P1356" s="181" t="b">
        <f>COUNTIF('Facility Data'!$A$1:$A$1500,"*"&amp;A1356&amp;"*")&gt;0</f>
        <v>1</v>
      </c>
      <c r="Q1356" s="181" t="b">
        <f>COUNTIF('Account Data'!$A$1:$A$1000,"*"&amp;A1356&amp;"*")&gt;0</f>
        <v>1</v>
      </c>
      <c r="R1356" s="182" t="b">
        <f>IF(OR(P1356=TRUE,T1356=TRUE),TRUE,FALSE)</f>
        <v>1</v>
      </c>
      <c r="S1356" s="182" t="b">
        <f t="shared" si="421"/>
        <v>1</v>
      </c>
      <c r="T1356" s="181" t="b">
        <f>COUNTIF('New Items'!$A$1:$A$175,A1356)&gt;0</f>
        <v>0</v>
      </c>
      <c r="U1356" s="181" t="b">
        <f>COUNTIF(Discontinued!$A$1:$A$150,A1356)&gt;0</f>
        <v>0</v>
      </c>
    </row>
    <row r="1357" spans="1:21" s="8" customFormat="1" ht="11.25" x14ac:dyDescent="0.2">
      <c r="A1357" s="160">
        <v>20028329</v>
      </c>
      <c r="B1357" s="123" t="s">
        <v>1019</v>
      </c>
      <c r="C1357" s="124" t="s">
        <v>1024</v>
      </c>
      <c r="D1357" s="119" t="s">
        <v>765</v>
      </c>
      <c r="E1357" s="124" t="s">
        <v>761</v>
      </c>
      <c r="F1357" s="120">
        <v>2</v>
      </c>
      <c r="G1357" s="121">
        <f>Overview!$B$201</f>
        <v>24</v>
      </c>
      <c r="H1357" s="114">
        <f>G1357-I1357</f>
        <v>24</v>
      </c>
      <c r="I1357" s="114">
        <f>Overview!$E$201</f>
        <v>0</v>
      </c>
      <c r="J1357" s="115">
        <f>I1357/F1357</f>
        <v>0</v>
      </c>
      <c r="K1357" s="116">
        <f>Overview!$H$201</f>
        <v>0</v>
      </c>
      <c r="L1357" s="117" t="e">
        <f>(K1357-J1357)/K1357</f>
        <v>#DIV/0!</v>
      </c>
      <c r="M1357" s="179"/>
      <c r="N1357" s="179" t="s">
        <v>1256</v>
      </c>
      <c r="O1357" s="141">
        <f>I1357</f>
        <v>0</v>
      </c>
      <c r="P1357" s="181" t="b">
        <f>COUNTIF('Facility Data'!$A$1:$A$1500,"*"&amp;A1357&amp;"*")&gt;0</f>
        <v>1</v>
      </c>
      <c r="Q1357" s="181" t="b">
        <f>COUNTIF('Account Data'!$A$1:$A$1000,"*"&amp;A1357&amp;"*")&gt;0</f>
        <v>0</v>
      </c>
      <c r="R1357" s="182" t="b">
        <f>IF(OR(P1357=TRUE,T1357=TRUE),TRUE,FALSE)</f>
        <v>1</v>
      </c>
      <c r="S1357" s="182" t="b">
        <f t="shared" si="421"/>
        <v>0</v>
      </c>
      <c r="T1357" s="181" t="b">
        <f>COUNTIF('New Items'!$A$1:$A$175,A1357)&gt;0</f>
        <v>0</v>
      </c>
      <c r="U1357" s="181" t="b">
        <f>COUNTIF(Discontinued!$A$1:$A$150,A1357)&gt;0</f>
        <v>0</v>
      </c>
    </row>
    <row r="1358" spans="1:21" s="8" customFormat="1" ht="12" thickBot="1" x14ac:dyDescent="0.25">
      <c r="A1358" s="161">
        <v>20028338</v>
      </c>
      <c r="B1358" s="128" t="s">
        <v>1181</v>
      </c>
      <c r="C1358" s="129" t="s">
        <v>1017</v>
      </c>
      <c r="D1358" s="227" t="s">
        <v>1015</v>
      </c>
      <c r="E1358" s="129" t="s">
        <v>1016</v>
      </c>
      <c r="F1358" s="122">
        <v>2</v>
      </c>
      <c r="G1358" s="121">
        <f>Overview!$B$202</f>
        <v>24</v>
      </c>
      <c r="H1358" s="228">
        <f>G1358-I1358</f>
        <v>24</v>
      </c>
      <c r="I1358" s="114">
        <f>Overview!$E$202</f>
        <v>0</v>
      </c>
      <c r="J1358" s="229">
        <f>I1358/F1358</f>
        <v>0</v>
      </c>
      <c r="K1358" s="116">
        <f>Overview!$H$202</f>
        <v>0</v>
      </c>
      <c r="L1358" s="230" t="e">
        <f>(K1358-J1358)/K1358</f>
        <v>#DIV/0!</v>
      </c>
      <c r="M1358" s="179"/>
      <c r="N1358" s="179" t="s">
        <v>1256</v>
      </c>
      <c r="O1358" s="141">
        <f>I1358</f>
        <v>0</v>
      </c>
      <c r="P1358" s="181" t="b">
        <f>COUNTIF('Facility Data'!$A$1:$A$1500,"*"&amp;A1358&amp;"*")&gt;0</f>
        <v>1</v>
      </c>
      <c r="Q1358" s="181" t="b">
        <f>COUNTIF('Account Data'!$A$1:$A$1000,"*"&amp;A1358&amp;"*")&gt;0</f>
        <v>0</v>
      </c>
      <c r="R1358" s="182" t="b">
        <f>IF(OR(P1358=TRUE,T1358=TRUE),TRUE,FALSE)</f>
        <v>1</v>
      </c>
      <c r="S1358" s="182" t="b">
        <f t="shared" si="421"/>
        <v>0</v>
      </c>
      <c r="T1358" s="181" t="b">
        <f>COUNTIF('New Items'!$A$1:$A$175,A1358)&gt;0</f>
        <v>0</v>
      </c>
      <c r="U1358" s="181" t="b">
        <f>COUNTIF(Discontinued!$A$1:$A$150,A1358)&gt;0</f>
        <v>0</v>
      </c>
    </row>
    <row r="1359" spans="1:21" s="8" customFormat="1" ht="12" thickBot="1" x14ac:dyDescent="0.25">
      <c r="A1359" s="306" t="s">
        <v>793</v>
      </c>
      <c r="B1359" s="307"/>
      <c r="C1359" s="307"/>
      <c r="D1359" s="307"/>
      <c r="E1359" s="307"/>
      <c r="F1359" s="307"/>
      <c r="G1359" s="307"/>
      <c r="H1359" s="307"/>
      <c r="I1359" s="307"/>
      <c r="J1359" s="307"/>
      <c r="K1359" s="307"/>
      <c r="L1359" s="308"/>
      <c r="M1359" s="179"/>
      <c r="N1359" s="179" t="s">
        <v>3386</v>
      </c>
      <c r="O1359" s="179" t="s">
        <v>3386</v>
      </c>
      <c r="P1359" s="180" t="b">
        <f>COUNTIF($N$1359,TRUE)=0</f>
        <v>1</v>
      </c>
      <c r="Q1359" s="180" t="b">
        <f>COUNTIF($N$1359,TRUE)=0</f>
        <v>1</v>
      </c>
      <c r="R1359" s="180" t="b">
        <f>COUNTIF($N$1359,TRUE)=0</f>
        <v>1</v>
      </c>
      <c r="S1359" s="180" t="b">
        <f>COUNTIF($N$1359,TRUE)=0</f>
        <v>1</v>
      </c>
      <c r="T1359" s="180" t="b">
        <f>COUNTIF($N$1359,TRUE)=0</f>
        <v>1</v>
      </c>
      <c r="U1359" s="249"/>
    </row>
    <row r="1360" spans="1:21" x14ac:dyDescent="0.25">
      <c r="M1360" s="142"/>
      <c r="N1360" s="142"/>
      <c r="O1360" s="141">
        <f>I1360</f>
        <v>0</v>
      </c>
    </row>
  </sheetData>
  <autoFilter ref="M2:U1360"/>
  <mergeCells count="116">
    <mergeCell ref="A567:L567"/>
    <mergeCell ref="A520:L520"/>
    <mergeCell ref="A388:L388"/>
    <mergeCell ref="A748:L748"/>
    <mergeCell ref="A752:L752"/>
    <mergeCell ref="A756:L756"/>
    <mergeCell ref="A719:L719"/>
    <mergeCell ref="A631:L631"/>
    <mergeCell ref="A642:L642"/>
    <mergeCell ref="A679:L679"/>
    <mergeCell ref="A1347:L1347"/>
    <mergeCell ref="A1353:L1353"/>
    <mergeCell ref="A840:L840"/>
    <mergeCell ref="A1221:L1221"/>
    <mergeCell ref="A1210:L1210"/>
    <mergeCell ref="A1275:L1275"/>
    <mergeCell ref="A1309:L1309"/>
    <mergeCell ref="A1049:L1049"/>
    <mergeCell ref="A801:L801"/>
    <mergeCell ref="A817:L817"/>
    <mergeCell ref="A1302:L1302"/>
    <mergeCell ref="A1264:L1264"/>
    <mergeCell ref="A1270:L1270"/>
    <mergeCell ref="A1239:L1239"/>
    <mergeCell ref="A1246:L1246"/>
    <mergeCell ref="A1168:L1168"/>
    <mergeCell ref="A1345:L1345"/>
    <mergeCell ref="A1185:L1185"/>
    <mergeCell ref="A1190:L1190"/>
    <mergeCell ref="A1194:L1194"/>
    <mergeCell ref="A1197:L1197"/>
    <mergeCell ref="A1291:L1291"/>
    <mergeCell ref="A1021:L1021"/>
    <mergeCell ref="A1285:L1285"/>
    <mergeCell ref="A1359:L1359"/>
    <mergeCell ref="A1299:L1299"/>
    <mergeCell ref="A1342:L1342"/>
    <mergeCell ref="A1339:L1339"/>
    <mergeCell ref="A601:L601"/>
    <mergeCell ref="A1252:L1252"/>
    <mergeCell ref="A849:L849"/>
    <mergeCell ref="A1109:L1109"/>
    <mergeCell ref="A874:L874"/>
    <mergeCell ref="A698:L698"/>
    <mergeCell ref="A742:L742"/>
    <mergeCell ref="A1089:L1089"/>
    <mergeCell ref="A882:L882"/>
    <mergeCell ref="A900:L900"/>
    <mergeCell ref="A970:L970"/>
    <mergeCell ref="A1034:L1034"/>
    <mergeCell ref="A693:L693"/>
    <mergeCell ref="A1008:L1008"/>
    <mergeCell ref="A797:L797"/>
    <mergeCell ref="A993:L993"/>
    <mergeCell ref="A868:L868"/>
    <mergeCell ref="A704:L704"/>
    <mergeCell ref="A824:L824"/>
    <mergeCell ref="A831:L831"/>
    <mergeCell ref="A776:L776"/>
    <mergeCell ref="A1106:L1106"/>
    <mergeCell ref="A1074:L1074"/>
    <mergeCell ref="A1084:L1084"/>
    <mergeCell ref="A1060:L1060"/>
    <mergeCell ref="A182:L182"/>
    <mergeCell ref="A350:L350"/>
    <mergeCell ref="A925:L925"/>
    <mergeCell ref="A896:L896"/>
    <mergeCell ref="A612:L612"/>
    <mergeCell ref="A232:L232"/>
    <mergeCell ref="A253:L253"/>
    <mergeCell ref="A569:L569"/>
    <mergeCell ref="A433:L433"/>
    <mergeCell ref="A508:L508"/>
    <mergeCell ref="A682:L682"/>
    <mergeCell ref="A770:L770"/>
    <mergeCell ref="A723:L723"/>
    <mergeCell ref="A214:L214"/>
    <mergeCell ref="A201:L201"/>
    <mergeCell ref="A561:L561"/>
    <mergeCell ref="A765:L765"/>
    <mergeCell ref="A760:L760"/>
    <mergeCell ref="A585:L585"/>
    <mergeCell ref="A3:L3"/>
    <mergeCell ref="A222:L222"/>
    <mergeCell ref="A283:L283"/>
    <mergeCell ref="A21:L21"/>
    <mergeCell ref="A78:L78"/>
    <mergeCell ref="A34:L34"/>
    <mergeCell ref="A411:L411"/>
    <mergeCell ref="I1:L1"/>
    <mergeCell ref="E1:H1"/>
    <mergeCell ref="A177:L177"/>
    <mergeCell ref="A1330:L1330"/>
    <mergeCell ref="A425:L425"/>
    <mergeCell ref="A736:L736"/>
    <mergeCell ref="A542:L542"/>
    <mergeCell ref="A550:L550"/>
    <mergeCell ref="A708:L708"/>
    <mergeCell ref="A789:L789"/>
    <mergeCell ref="A572:L572"/>
    <mergeCell ref="A713:L713"/>
    <mergeCell ref="A590:L590"/>
    <mergeCell ref="A856:L856"/>
    <mergeCell ref="A729:L729"/>
    <mergeCell ref="A1163:L1163"/>
    <mergeCell ref="A781:L781"/>
    <mergeCell ref="A1138:L1138"/>
    <mergeCell ref="A1155:L1155"/>
    <mergeCell ref="A1173:L1173"/>
    <mergeCell ref="A1181:L1181"/>
    <mergeCell ref="A1120:L1120"/>
    <mergeCell ref="A1132:L1132"/>
    <mergeCell ref="A1206:L1206"/>
    <mergeCell ref="A1230:L1230"/>
    <mergeCell ref="A863:L863"/>
    <mergeCell ref="A878:L878"/>
  </mergeCells>
  <conditionalFormatting sqref="C591:L600 C521:D523 E225:L226 E52:L53 C782:C783 E782:L782 E783:G788 I783:I788 K783:K788 H783:H787 J783:J787 L783:L787 C525:D527 C86:L86 D186 C257:L257 C287:L287 C289:L289 C531:D541">
    <cfRule type="expression" dxfId="1216" priority="403">
      <formula>$U52=TRUE</formula>
    </cfRule>
  </conditionalFormatting>
  <conditionalFormatting sqref="C591:L600 C521:D523 E225:L226 E52:L53 C782:C783 E782:L782 E783:G788 I783:I788 K783:K788 H783:H787 J783:J787 L783:L787 C525:D527 C86:L86 D186 C257:L257 C287:L287 C289:L289 C531:D541">
    <cfRule type="expression" dxfId="1215" priority="402">
      <formula>$T52=TRUE</formula>
    </cfRule>
  </conditionalFormatting>
  <conditionalFormatting sqref="C846:L846">
    <cfRule type="expression" dxfId="1214" priority="399">
      <formula>$U846=TRUE</formula>
    </cfRule>
  </conditionalFormatting>
  <conditionalFormatting sqref="C846:L846">
    <cfRule type="expression" dxfId="1213" priority="398">
      <formula>$T846=TRUE</formula>
    </cfRule>
  </conditionalFormatting>
  <conditionalFormatting sqref="C946:L946">
    <cfRule type="expression" dxfId="1212" priority="397">
      <formula>$U946=TRUE</formula>
    </cfRule>
  </conditionalFormatting>
  <conditionalFormatting sqref="C946:L946">
    <cfRule type="expression" dxfId="1211" priority="396">
      <formula>$T946=TRUE</formula>
    </cfRule>
  </conditionalFormatting>
  <conditionalFormatting sqref="C948:L948">
    <cfRule type="expression" dxfId="1210" priority="395">
      <formula>$U948=TRUE</formula>
    </cfRule>
  </conditionalFormatting>
  <conditionalFormatting sqref="C948:L948">
    <cfRule type="expression" dxfId="1209" priority="394">
      <formula>$T948=TRUE</formula>
    </cfRule>
  </conditionalFormatting>
  <conditionalFormatting sqref="C947:L947">
    <cfRule type="expression" dxfId="1208" priority="393">
      <formula>$U947=TRUE</formula>
    </cfRule>
  </conditionalFormatting>
  <conditionalFormatting sqref="C947:L947">
    <cfRule type="expression" dxfId="1207" priority="392">
      <formula>$T947=TRUE</formula>
    </cfRule>
  </conditionalFormatting>
  <conditionalFormatting sqref="C935:L935">
    <cfRule type="expression" dxfId="1206" priority="391">
      <formula>$U935=TRUE</formula>
    </cfRule>
  </conditionalFormatting>
  <conditionalFormatting sqref="C935:L935">
    <cfRule type="expression" dxfId="1205" priority="390">
      <formula>$T935=TRUE</formula>
    </cfRule>
  </conditionalFormatting>
  <conditionalFormatting sqref="C315:L315">
    <cfRule type="expression" dxfId="1204" priority="387">
      <formula>$U315=TRUE</formula>
    </cfRule>
  </conditionalFormatting>
  <conditionalFormatting sqref="C315:L315">
    <cfRule type="expression" dxfId="1203" priority="386">
      <formula>$T315=TRUE</formula>
    </cfRule>
  </conditionalFormatting>
  <conditionalFormatting sqref="E364:L364">
    <cfRule type="expression" dxfId="1202" priority="385">
      <formula>$U364=TRUE</formula>
    </cfRule>
  </conditionalFormatting>
  <conditionalFormatting sqref="E364:L364">
    <cfRule type="expression" dxfId="1201" priority="384">
      <formula>$T364=TRUE</formula>
    </cfRule>
  </conditionalFormatting>
  <conditionalFormatting sqref="C364:D364">
    <cfRule type="expression" dxfId="1200" priority="383">
      <formula>$U364=TRUE</formula>
    </cfRule>
  </conditionalFormatting>
  <conditionalFormatting sqref="C364:D364">
    <cfRule type="expression" dxfId="1199" priority="382">
      <formula>$T364=TRUE</formula>
    </cfRule>
  </conditionalFormatting>
  <conditionalFormatting sqref="C1150:L1150">
    <cfRule type="expression" dxfId="1198" priority="380">
      <formula>$T1150=TRUE</formula>
    </cfRule>
  </conditionalFormatting>
  <conditionalFormatting sqref="C1150:L1150">
    <cfRule type="expression" dxfId="1197" priority="381">
      <formula>$U1150=TRUE</formula>
    </cfRule>
  </conditionalFormatting>
  <conditionalFormatting sqref="C1124:L1126">
    <cfRule type="expression" dxfId="1196" priority="379">
      <formula>$U1124=TRUE</formula>
    </cfRule>
  </conditionalFormatting>
  <conditionalFormatting sqref="C1124:L1126">
    <cfRule type="expression" dxfId="1195" priority="378">
      <formula>$T1124=TRUE</formula>
    </cfRule>
  </conditionalFormatting>
  <conditionalFormatting sqref="C1211:L1220">
    <cfRule type="expression" dxfId="1194" priority="377">
      <formula>$U1211=TRUE</formula>
    </cfRule>
  </conditionalFormatting>
  <conditionalFormatting sqref="C1211:L1220">
    <cfRule type="expression" dxfId="1193" priority="376">
      <formula>$T1211=TRUE</formula>
    </cfRule>
  </conditionalFormatting>
  <conditionalFormatting sqref="C225:C226">
    <cfRule type="expression" dxfId="1192" priority="371">
      <formula>$U225=TRUE</formula>
    </cfRule>
  </conditionalFormatting>
  <conditionalFormatting sqref="C225:C226">
    <cfRule type="expression" dxfId="1191" priority="370">
      <formula>$T225=TRUE</formula>
    </cfRule>
  </conditionalFormatting>
  <conditionalFormatting sqref="D225:D226">
    <cfRule type="expression" dxfId="1190" priority="369">
      <formula>$U225=TRUE</formula>
    </cfRule>
  </conditionalFormatting>
  <conditionalFormatting sqref="D225:D226">
    <cfRule type="expression" dxfId="1189" priority="368">
      <formula>$T225=TRUE</formula>
    </cfRule>
  </conditionalFormatting>
  <conditionalFormatting sqref="C135:L135">
    <cfRule type="expression" dxfId="1188" priority="359">
      <formula>$U135=TRUE</formula>
    </cfRule>
  </conditionalFormatting>
  <conditionalFormatting sqref="C135:L135">
    <cfRule type="expression" dxfId="1187" priority="358">
      <formula>$T135=TRUE</formula>
    </cfRule>
  </conditionalFormatting>
  <conditionalFormatting sqref="C471:L471">
    <cfRule type="expression" dxfId="1186" priority="357">
      <formula>$U471=TRUE</formula>
    </cfRule>
  </conditionalFormatting>
  <conditionalFormatting sqref="C471:L471">
    <cfRule type="expression" dxfId="1185" priority="356">
      <formula>$T471=TRUE</formula>
    </cfRule>
  </conditionalFormatting>
  <conditionalFormatting sqref="C1116:L1117">
    <cfRule type="expression" dxfId="1184" priority="355">
      <formula>$U1116=TRUE</formula>
    </cfRule>
  </conditionalFormatting>
  <conditionalFormatting sqref="C1116:L1117">
    <cfRule type="expression" dxfId="1183" priority="354">
      <formula>$T1116=TRUE</formula>
    </cfRule>
  </conditionalFormatting>
  <conditionalFormatting sqref="C1254:L1254">
    <cfRule type="expression" dxfId="1182" priority="353">
      <formula>$U1254=TRUE</formula>
    </cfRule>
  </conditionalFormatting>
  <conditionalFormatting sqref="C1254:L1254">
    <cfRule type="expression" dxfId="1181" priority="352">
      <formula>$T1254=TRUE</formula>
    </cfRule>
  </conditionalFormatting>
  <conditionalFormatting sqref="C546:L546">
    <cfRule type="expression" dxfId="1180" priority="351">
      <formula>$U546=TRUE</formula>
    </cfRule>
  </conditionalFormatting>
  <conditionalFormatting sqref="C546:L546">
    <cfRule type="expression" dxfId="1179" priority="350">
      <formula>$T546=TRUE</formula>
    </cfRule>
  </conditionalFormatting>
  <conditionalFormatting sqref="C634:L634">
    <cfRule type="expression" dxfId="1178" priority="349">
      <formula>$U634=TRUE</formula>
    </cfRule>
  </conditionalFormatting>
  <conditionalFormatting sqref="C634:L634">
    <cfRule type="expression" dxfId="1177" priority="348">
      <formula>$T634=TRUE</formula>
    </cfRule>
  </conditionalFormatting>
  <conditionalFormatting sqref="C653:L653">
    <cfRule type="expression" dxfId="1176" priority="347">
      <formula>$U653=TRUE</formula>
    </cfRule>
  </conditionalFormatting>
  <conditionalFormatting sqref="C653:L653">
    <cfRule type="expression" dxfId="1175" priority="346">
      <formula>$T653=TRUE</formula>
    </cfRule>
  </conditionalFormatting>
  <conditionalFormatting sqref="C654:D654">
    <cfRule type="expression" dxfId="1174" priority="345">
      <formula>$T654=TRUE</formula>
    </cfRule>
  </conditionalFormatting>
  <conditionalFormatting sqref="C654:D654">
    <cfRule type="expression" dxfId="1173" priority="344">
      <formula>$U654=TRUE</formula>
    </cfRule>
  </conditionalFormatting>
  <conditionalFormatting sqref="C588:L588">
    <cfRule type="expression" dxfId="1172" priority="343">
      <formula>$U588=TRUE</formula>
    </cfRule>
  </conditionalFormatting>
  <conditionalFormatting sqref="C588:L588">
    <cfRule type="expression" dxfId="1171" priority="342">
      <formula>$T588=TRUE</formula>
    </cfRule>
  </conditionalFormatting>
  <conditionalFormatting sqref="C99:L99">
    <cfRule type="expression" dxfId="1170" priority="341">
      <formula>$U99=TRUE</formula>
    </cfRule>
  </conditionalFormatting>
  <conditionalFormatting sqref="C99:L99">
    <cfRule type="expression" dxfId="1169" priority="340">
      <formula>$T99=TRUE</formula>
    </cfRule>
  </conditionalFormatting>
  <conditionalFormatting sqref="D103:L103">
    <cfRule type="expression" dxfId="1168" priority="339">
      <formula>$U103=TRUE</formula>
    </cfRule>
  </conditionalFormatting>
  <conditionalFormatting sqref="D103:L103">
    <cfRule type="expression" dxfId="1167" priority="338">
      <formula>$T103=TRUE</formula>
    </cfRule>
  </conditionalFormatting>
  <conditionalFormatting sqref="D105:L105">
    <cfRule type="expression" dxfId="1166" priority="337">
      <formula>$U105=TRUE</formula>
    </cfRule>
  </conditionalFormatting>
  <conditionalFormatting sqref="D105:L105">
    <cfRule type="expression" dxfId="1165" priority="336">
      <formula>$T105=TRUE</formula>
    </cfRule>
  </conditionalFormatting>
  <conditionalFormatting sqref="D107:L107">
    <cfRule type="expression" dxfId="1164" priority="335">
      <formula>$U107=TRUE</formula>
    </cfRule>
  </conditionalFormatting>
  <conditionalFormatting sqref="D107:L107">
    <cfRule type="expression" dxfId="1163" priority="334">
      <formula>$T107=TRUE</formula>
    </cfRule>
  </conditionalFormatting>
  <conditionalFormatting sqref="C103">
    <cfRule type="expression" dxfId="1162" priority="333">
      <formula>$U103=TRUE</formula>
    </cfRule>
  </conditionalFormatting>
  <conditionalFormatting sqref="C103">
    <cfRule type="expression" dxfId="1161" priority="332">
      <formula>$T103=TRUE</formula>
    </cfRule>
  </conditionalFormatting>
  <conditionalFormatting sqref="C105">
    <cfRule type="expression" dxfId="1160" priority="331">
      <formula>$U105=TRUE</formula>
    </cfRule>
  </conditionalFormatting>
  <conditionalFormatting sqref="C105">
    <cfRule type="expression" dxfId="1159" priority="330">
      <formula>$T105=TRUE</formula>
    </cfRule>
  </conditionalFormatting>
  <conditionalFormatting sqref="C107">
    <cfRule type="expression" dxfId="1158" priority="329">
      <formula>$U107=TRUE</formula>
    </cfRule>
  </conditionalFormatting>
  <conditionalFormatting sqref="C107">
    <cfRule type="expression" dxfId="1157" priority="328">
      <formula>$T107=TRUE</formula>
    </cfRule>
  </conditionalFormatting>
  <conditionalFormatting sqref="C53">
    <cfRule type="expression" dxfId="1156" priority="327">
      <formula>$U53=TRUE</formula>
    </cfRule>
  </conditionalFormatting>
  <conditionalFormatting sqref="C53">
    <cfRule type="expression" dxfId="1155" priority="326">
      <formula>$T53=TRUE</formula>
    </cfRule>
  </conditionalFormatting>
  <conditionalFormatting sqref="C52">
    <cfRule type="expression" dxfId="1154" priority="325">
      <formula>$U52=TRUE</formula>
    </cfRule>
  </conditionalFormatting>
  <conditionalFormatting sqref="C52">
    <cfRule type="expression" dxfId="1153" priority="324">
      <formula>$T52=TRUE</formula>
    </cfRule>
  </conditionalFormatting>
  <conditionalFormatting sqref="D52">
    <cfRule type="expression" dxfId="1152" priority="323">
      <formula>$U52=TRUE</formula>
    </cfRule>
  </conditionalFormatting>
  <conditionalFormatting sqref="D52">
    <cfRule type="expression" dxfId="1151" priority="322">
      <formula>$T52=TRUE</formula>
    </cfRule>
  </conditionalFormatting>
  <conditionalFormatting sqref="D53">
    <cfRule type="expression" dxfId="1150" priority="321">
      <formula>$U53=TRUE</formula>
    </cfRule>
  </conditionalFormatting>
  <conditionalFormatting sqref="D53">
    <cfRule type="expression" dxfId="1149" priority="320">
      <formula>$T53=TRUE</formula>
    </cfRule>
  </conditionalFormatting>
  <conditionalFormatting sqref="C175:L175">
    <cfRule type="expression" dxfId="1148" priority="317">
      <formula>$U175=TRUE</formula>
    </cfRule>
  </conditionalFormatting>
  <conditionalFormatting sqref="C175:L175">
    <cfRule type="expression" dxfId="1147" priority="316">
      <formula>$T175=TRUE</formula>
    </cfRule>
  </conditionalFormatting>
  <conditionalFormatting sqref="C212:L212">
    <cfRule type="expression" dxfId="1146" priority="315">
      <formula>$U212=TRUE</formula>
    </cfRule>
  </conditionalFormatting>
  <conditionalFormatting sqref="C212:L212">
    <cfRule type="expression" dxfId="1145" priority="314">
      <formula>$T212=TRUE</formula>
    </cfRule>
  </conditionalFormatting>
  <conditionalFormatting sqref="C998:L998">
    <cfRule type="expression" dxfId="1144" priority="313">
      <formula>$U998=TRUE</formula>
    </cfRule>
  </conditionalFormatting>
  <conditionalFormatting sqref="C998:L998">
    <cfRule type="expression" dxfId="1143" priority="312">
      <formula>$T998=TRUE</formula>
    </cfRule>
  </conditionalFormatting>
  <conditionalFormatting sqref="C786:D787">
    <cfRule type="expression" dxfId="1142" priority="311">
      <formula>$U786=TRUE</formula>
    </cfRule>
  </conditionalFormatting>
  <conditionalFormatting sqref="C786:D787">
    <cfRule type="expression" dxfId="1141" priority="310">
      <formula>$T786=TRUE</formula>
    </cfRule>
  </conditionalFormatting>
  <conditionalFormatting sqref="C785">
    <cfRule type="expression" dxfId="1140" priority="307">
      <formula>$U785=TRUE</formula>
    </cfRule>
  </conditionalFormatting>
  <conditionalFormatting sqref="C785">
    <cfRule type="expression" dxfId="1139" priority="306">
      <formula>$T785=TRUE</formula>
    </cfRule>
  </conditionalFormatting>
  <conditionalFormatting sqref="C784">
    <cfRule type="expression" dxfId="1138" priority="305">
      <formula>$U784=TRUE</formula>
    </cfRule>
  </conditionalFormatting>
  <conditionalFormatting sqref="C784">
    <cfRule type="expression" dxfId="1137" priority="304">
      <formula>$T784=TRUE</formula>
    </cfRule>
  </conditionalFormatting>
  <conditionalFormatting sqref="D782">
    <cfRule type="expression" dxfId="1136" priority="303">
      <formula>$U782=TRUE</formula>
    </cfRule>
  </conditionalFormatting>
  <conditionalFormatting sqref="D782">
    <cfRule type="expression" dxfId="1135" priority="302">
      <formula>$T782=TRUE</formula>
    </cfRule>
  </conditionalFormatting>
  <conditionalFormatting sqref="D783">
    <cfRule type="expression" dxfId="1134" priority="301">
      <formula>$U783=TRUE</formula>
    </cfRule>
  </conditionalFormatting>
  <conditionalFormatting sqref="D783">
    <cfRule type="expression" dxfId="1133" priority="300">
      <formula>$T783=TRUE</formula>
    </cfRule>
  </conditionalFormatting>
  <conditionalFormatting sqref="D784">
    <cfRule type="expression" dxfId="1132" priority="299">
      <formula>$U784=TRUE</formula>
    </cfRule>
  </conditionalFormatting>
  <conditionalFormatting sqref="D784">
    <cfRule type="expression" dxfId="1131" priority="298">
      <formula>$T784=TRUE</formula>
    </cfRule>
  </conditionalFormatting>
  <conditionalFormatting sqref="D785">
    <cfRule type="expression" dxfId="1130" priority="297">
      <formula>$U785=TRUE</formula>
    </cfRule>
  </conditionalFormatting>
  <conditionalFormatting sqref="D785">
    <cfRule type="expression" dxfId="1129" priority="296">
      <formula>$T785=TRUE</formula>
    </cfRule>
  </conditionalFormatting>
  <conditionalFormatting sqref="E762:L762">
    <cfRule type="expression" dxfId="1128" priority="295">
      <formula>$U762=TRUE</formula>
    </cfRule>
  </conditionalFormatting>
  <conditionalFormatting sqref="E762:L762">
    <cfRule type="expression" dxfId="1127" priority="294">
      <formula>$T762=TRUE</formula>
    </cfRule>
  </conditionalFormatting>
  <conditionalFormatting sqref="C762:D762">
    <cfRule type="expression" dxfId="1126" priority="293">
      <formula>$T762=TRUE</formula>
    </cfRule>
  </conditionalFormatting>
  <conditionalFormatting sqref="C762:D762">
    <cfRule type="expression" dxfId="1125" priority="292">
      <formula>$U762=TRUE</formula>
    </cfRule>
  </conditionalFormatting>
  <conditionalFormatting sqref="C768:L768">
    <cfRule type="expression" dxfId="1124" priority="291">
      <formula>$U768=TRUE</formula>
    </cfRule>
  </conditionalFormatting>
  <conditionalFormatting sqref="C768:L768">
    <cfRule type="expression" dxfId="1123" priority="290">
      <formula>$T768=TRUE</formula>
    </cfRule>
  </conditionalFormatting>
  <conditionalFormatting sqref="C769">
    <cfRule type="expression" dxfId="1122" priority="289">
      <formula>$T769=TRUE</formula>
    </cfRule>
  </conditionalFormatting>
  <conditionalFormatting sqref="C769">
    <cfRule type="expression" dxfId="1121" priority="288">
      <formula>$U769=TRUE</formula>
    </cfRule>
  </conditionalFormatting>
  <conditionalFormatting sqref="D769">
    <cfRule type="expression" dxfId="1120" priority="287">
      <formula>$T769=TRUE</formula>
    </cfRule>
  </conditionalFormatting>
  <conditionalFormatting sqref="D769">
    <cfRule type="expression" dxfId="1119" priority="286">
      <formula>$U769=TRUE</formula>
    </cfRule>
  </conditionalFormatting>
  <conditionalFormatting sqref="C957:L957">
    <cfRule type="expression" dxfId="1118" priority="285">
      <formula>$U957=TRUE</formula>
    </cfRule>
  </conditionalFormatting>
  <conditionalFormatting sqref="C957:L957">
    <cfRule type="expression" dxfId="1117" priority="284">
      <formula>$T957=TRUE</formula>
    </cfRule>
  </conditionalFormatting>
  <conditionalFormatting sqref="C953:L953">
    <cfRule type="expression" dxfId="1116" priority="283">
      <formula>$U953=TRUE</formula>
    </cfRule>
  </conditionalFormatting>
  <conditionalFormatting sqref="C953:L953">
    <cfRule type="expression" dxfId="1115" priority="282">
      <formula>$T953=TRUE</formula>
    </cfRule>
  </conditionalFormatting>
  <conditionalFormatting sqref="E968:L968">
    <cfRule type="expression" dxfId="1114" priority="281">
      <formula>$U968=TRUE</formula>
    </cfRule>
  </conditionalFormatting>
  <conditionalFormatting sqref="E968:L968">
    <cfRule type="expression" dxfId="1113" priority="280">
      <formula>$T968=TRUE</formula>
    </cfRule>
  </conditionalFormatting>
  <conditionalFormatting sqref="C967:L967">
    <cfRule type="expression" dxfId="1112" priority="279">
      <formula>$U967=TRUE</formula>
    </cfRule>
  </conditionalFormatting>
  <conditionalFormatting sqref="C967:L967">
    <cfRule type="expression" dxfId="1111" priority="278">
      <formula>$T967=TRUE</formula>
    </cfRule>
  </conditionalFormatting>
  <conditionalFormatting sqref="C968:D969">
    <cfRule type="expression" dxfId="1110" priority="277">
      <formula>$T968=TRUE</formula>
    </cfRule>
  </conditionalFormatting>
  <conditionalFormatting sqref="C968:D969">
    <cfRule type="expression" dxfId="1109" priority="276">
      <formula>$U968=TRUE</formula>
    </cfRule>
  </conditionalFormatting>
  <conditionalFormatting sqref="C1340:L1341">
    <cfRule type="expression" dxfId="1108" priority="275">
      <formula>$U1340=TRUE</formula>
    </cfRule>
  </conditionalFormatting>
  <conditionalFormatting sqref="C1340:L1341">
    <cfRule type="expression" dxfId="1107" priority="274">
      <formula>$T1340=TRUE</formula>
    </cfRule>
  </conditionalFormatting>
  <conditionalFormatting sqref="C382:L382">
    <cfRule type="expression" dxfId="1106" priority="271">
      <formula>$U382=TRUE</formula>
    </cfRule>
  </conditionalFormatting>
  <conditionalFormatting sqref="C382:L382">
    <cfRule type="expression" dxfId="1105" priority="270">
      <formula>$T382=TRUE</formula>
    </cfRule>
  </conditionalFormatting>
  <conditionalFormatting sqref="C376:L376">
    <cfRule type="expression" dxfId="1104" priority="269">
      <formula>$U376=TRUE</formula>
    </cfRule>
  </conditionalFormatting>
  <conditionalFormatting sqref="C376:L376">
    <cfRule type="expression" dxfId="1103" priority="268">
      <formula>$T376=TRUE</formula>
    </cfRule>
  </conditionalFormatting>
  <conditionalFormatting sqref="C375:L375">
    <cfRule type="expression" dxfId="1102" priority="267">
      <formula>$U375=TRUE</formula>
    </cfRule>
  </conditionalFormatting>
  <conditionalFormatting sqref="C375:L375">
    <cfRule type="expression" dxfId="1101" priority="266">
      <formula>$T375=TRUE</formula>
    </cfRule>
  </conditionalFormatting>
  <conditionalFormatting sqref="E337:L337">
    <cfRule type="expression" dxfId="1100" priority="265">
      <formula>$U337=TRUE</formula>
    </cfRule>
  </conditionalFormatting>
  <conditionalFormatting sqref="E337:L337">
    <cfRule type="expression" dxfId="1099" priority="264">
      <formula>$T337=TRUE</formula>
    </cfRule>
  </conditionalFormatting>
  <conditionalFormatting sqref="E338:L338">
    <cfRule type="expression" dxfId="1098" priority="263">
      <formula>$U338=TRUE</formula>
    </cfRule>
  </conditionalFormatting>
  <conditionalFormatting sqref="E338:L338">
    <cfRule type="expression" dxfId="1097" priority="262">
      <formula>$T338=TRUE</formula>
    </cfRule>
  </conditionalFormatting>
  <conditionalFormatting sqref="C339:D339">
    <cfRule type="expression" dxfId="1096" priority="261">
      <formula>$U339=TRUE</formula>
    </cfRule>
  </conditionalFormatting>
  <conditionalFormatting sqref="C339:D339">
    <cfRule type="expression" dxfId="1095" priority="260">
      <formula>$T339=TRUE</formula>
    </cfRule>
  </conditionalFormatting>
  <conditionalFormatting sqref="C338:D338">
    <cfRule type="expression" dxfId="1094" priority="259">
      <formula>$U338=TRUE</formula>
    </cfRule>
  </conditionalFormatting>
  <conditionalFormatting sqref="C338:D338">
    <cfRule type="expression" dxfId="1093" priority="258">
      <formula>$T338=TRUE</formula>
    </cfRule>
  </conditionalFormatting>
  <conditionalFormatting sqref="C337:D337">
    <cfRule type="expression" dxfId="1092" priority="257">
      <formula>$U337=TRUE</formula>
    </cfRule>
  </conditionalFormatting>
  <conditionalFormatting sqref="C337:D337">
    <cfRule type="expression" dxfId="1091" priority="256">
      <formula>$T337=TRUE</formula>
    </cfRule>
  </conditionalFormatting>
  <conditionalFormatting sqref="C344:L344">
    <cfRule type="expression" dxfId="1090" priority="255">
      <formula>$U344=TRUE</formula>
    </cfRule>
  </conditionalFormatting>
  <conditionalFormatting sqref="C344:L344">
    <cfRule type="expression" dxfId="1089" priority="254">
      <formula>$T344=TRUE</formula>
    </cfRule>
  </conditionalFormatting>
  <conditionalFormatting sqref="C345:D345">
    <cfRule type="expression" dxfId="1088" priority="253">
      <formula>$U345=TRUE</formula>
    </cfRule>
  </conditionalFormatting>
  <conditionalFormatting sqref="C345:D345">
    <cfRule type="expression" dxfId="1087" priority="252">
      <formula>$T345=TRUE</formula>
    </cfRule>
  </conditionalFormatting>
  <conditionalFormatting sqref="C1179:L1179">
    <cfRule type="expression" dxfId="1086" priority="249">
      <formula>$U1179=TRUE</formula>
    </cfRule>
  </conditionalFormatting>
  <conditionalFormatting sqref="C1179:L1179">
    <cfRule type="expression" dxfId="1085" priority="248">
      <formula>$T1179=TRUE</formula>
    </cfRule>
  </conditionalFormatting>
  <conditionalFormatting sqref="C4:L4 C22:L24 C178:L178 C202:L203 C215:L221 C223:L231 C233:L240 C351:L352 C412:L417 C426:L432 C568:L568 C570:L571 C586:L586 C591:L600 C602:L611 C613:L614 C632:L641 C643:L643 C680:L681 C683:L692 C694:L697 C699:L703 E705:L705 C709:L712 C714:L718 C724:L728 C730:L735 C737:L741 C743:L747 C761:L764 C766:L769 C777:L780 C782:L788 C790:L796 C798:L800 C818:L823 C825:L830 C832:L839 C841:L848 C850:L855 C857:L862 C864:L867 C869:L873 C875:L877 C879:L881 C883:L895 C926:L943 C971:L986 C994:L1007 C1009:L1020 C1022:L1033 C1035:L1048 C1050:L1059 C1061:L1073 C1075:L1083 C1085:L1088 C1090:L1105 C1107:L1108 C1110:L1117 C1121:L1131 C1133:L1137 C1156:L1162 C1169:L1172 C1174:L1179 C1182:L1184 C1186:L1189 C1191:L1193 C1198:L1205 C1207:L1209 C1211:L1220 C1222:L1229 C1231:L1238 C1240:L1245 C1247:L1247 C1265:L1266 C1271:L1274 C1286:L1290 C1292:L1298 C1300:L1301 C1303:L1308 C1340:L1341 C1343:L1344 C1346:L1346 C1348:L1352 C1354:L1358 C897:L899 E802:L802 C803:L804 C809:L811 E816:L816 C813:L815 C16:L20 C180:L181 C1250:L1251 C1269 C901:L920 E924:L924 C946:L969 E945:L945 C205:L213 E522:L523 C358:L387 C771:L775 C573:L584 C588:L589 E587:L587 C645:L662 C664:L678 C616:L630 C254:L254 C434:L434 C749:L751 C753:L755 C757:L759 G720:L722 C562:L563 C35:L42 C79:L81 C707:L707 C284:L284 C419:L419 C421:L424 E549:L549 C543:L546 C565:L566 C923:L923 C989:L992 C1119:L1119 C1148:L1154 C1139:L1144 C1195:L1196 C1253:L1261 C1276:L1281 C1310:L1329 C1331:L1338 E1268:L1269 E525:L527 E204:L204 E355:L357 C436:L437 C83:L86 C256:L260 C286:L287 C292:L349 C289:L290 C6:L7 C9:L9 C12:L13 C26:L28 C30:L33 C44:L46 C48:L50 C52:L77 C88:L88 C90:L99 C103:L105 C107:L111 C113:L113 C115:L120 C122:L133 C135:L136 C138:L139 C141:L149 C151:L176 C183:L189 C191:L191 C193:L200 C242:L243 C245:L247 C249:L252 C262:L262 C264:L267 C269:L282 C439:L507 C509:L519 E531:L541 C551:L560">
    <cfRule type="expression" dxfId="1084" priority="245">
      <formula>$T4=TRUE</formula>
    </cfRule>
    <cfRule type="expression" dxfId="1083" priority="405">
      <formula>$U4=TRUE</formula>
    </cfRule>
  </conditionalFormatting>
  <conditionalFormatting sqref="C812:L812">
    <cfRule type="expression" dxfId="1082" priority="243">
      <formula>$T812=TRUE</formula>
    </cfRule>
    <cfRule type="expression" dxfId="1081" priority="244">
      <formula>$U812=TRUE</formula>
    </cfRule>
  </conditionalFormatting>
  <conditionalFormatting sqref="C1164:L1167">
    <cfRule type="expression" dxfId="1080" priority="241">
      <formula>$T1164=TRUE</formula>
    </cfRule>
    <cfRule type="expression" dxfId="1079" priority="242">
      <formula>$U1164=TRUE</formula>
    </cfRule>
  </conditionalFormatting>
  <conditionalFormatting sqref="C1180:L1180">
    <cfRule type="expression" dxfId="1078" priority="233">
      <formula>$T1180=TRUE</formula>
    </cfRule>
    <cfRule type="expression" dxfId="1077" priority="236">
      <formula>$U1180=TRUE</formula>
    </cfRule>
  </conditionalFormatting>
  <conditionalFormatting sqref="C805:L808">
    <cfRule type="expression" dxfId="1076" priority="231">
      <formula>$T805=TRUE</formula>
    </cfRule>
    <cfRule type="expression" dxfId="1075" priority="232">
      <formula>$U805=TRUE</formula>
    </cfRule>
  </conditionalFormatting>
  <conditionalFormatting sqref="C802:D802">
    <cfRule type="expression" dxfId="1074" priority="229">
      <formula>$T802=TRUE</formula>
    </cfRule>
    <cfRule type="expression" dxfId="1073" priority="230">
      <formula>$U802=TRUE</formula>
    </cfRule>
  </conditionalFormatting>
  <conditionalFormatting sqref="C816:D816">
    <cfRule type="expression" dxfId="1072" priority="227">
      <formula>$T816=TRUE</formula>
    </cfRule>
    <cfRule type="expression" dxfId="1071" priority="228">
      <formula>$U816=TRUE</formula>
    </cfRule>
  </conditionalFormatting>
  <conditionalFormatting sqref="C15:L15">
    <cfRule type="expression" dxfId="1070" priority="225">
      <formula>$T15=TRUE</formula>
    </cfRule>
    <cfRule type="expression" dxfId="1069" priority="226">
      <formula>$U15=TRUE</formula>
    </cfRule>
  </conditionalFormatting>
  <conditionalFormatting sqref="C179:L179">
    <cfRule type="expression" dxfId="1068" priority="223">
      <formula>$T179=TRUE</formula>
    </cfRule>
    <cfRule type="expression" dxfId="1067" priority="224">
      <formula>$U179=TRUE</formula>
    </cfRule>
  </conditionalFormatting>
  <conditionalFormatting sqref="C1145:L1147">
    <cfRule type="expression" dxfId="1066" priority="221">
      <formula>$T1145=TRUE</formula>
    </cfRule>
    <cfRule type="expression" dxfId="1065" priority="222">
      <formula>$U1145=TRUE</formula>
    </cfRule>
  </conditionalFormatting>
  <conditionalFormatting sqref="C1248:L1248">
    <cfRule type="expression" dxfId="1064" priority="219">
      <formula>$T1248=TRUE</formula>
    </cfRule>
    <cfRule type="expression" dxfId="1063" priority="220">
      <formula>$U1248=TRUE</formula>
    </cfRule>
  </conditionalFormatting>
  <conditionalFormatting sqref="C1249:L1249">
    <cfRule type="expression" dxfId="1062" priority="215">
      <formula>$T1249=TRUE</formula>
    </cfRule>
    <cfRule type="expression" dxfId="1061" priority="216">
      <formula>$U1249=TRUE</formula>
    </cfRule>
  </conditionalFormatting>
  <conditionalFormatting sqref="C1268">
    <cfRule type="expression" dxfId="1060" priority="213">
      <formula>$T1268=TRUE</formula>
    </cfRule>
    <cfRule type="expression" dxfId="1059" priority="214">
      <formula>$U1268=TRUE</formula>
    </cfRule>
  </conditionalFormatting>
  <conditionalFormatting sqref="C1267:L1267">
    <cfRule type="expression" dxfId="1058" priority="211">
      <formula>$T1267=TRUE</formula>
    </cfRule>
    <cfRule type="expression" dxfId="1057" priority="212">
      <formula>$U1267=TRUE</formula>
    </cfRule>
  </conditionalFormatting>
  <conditionalFormatting sqref="D1269">
    <cfRule type="expression" dxfId="1056" priority="209">
      <formula>$T1269=TRUE</formula>
    </cfRule>
    <cfRule type="expression" dxfId="1055" priority="210">
      <formula>$U1269=TRUE</formula>
    </cfRule>
  </conditionalFormatting>
  <conditionalFormatting sqref="D1268">
    <cfRule type="expression" dxfId="1054" priority="207">
      <formula>$T1268=TRUE</formula>
    </cfRule>
    <cfRule type="expression" dxfId="1053" priority="208">
      <formula>$U1268=TRUE</formula>
    </cfRule>
  </conditionalFormatting>
  <conditionalFormatting sqref="C921:L921">
    <cfRule type="expression" dxfId="1052" priority="203">
      <formula>$T921=TRUE</formula>
    </cfRule>
    <cfRule type="expression" dxfId="1051" priority="204">
      <formula>$U921=TRUE</formula>
    </cfRule>
  </conditionalFormatting>
  <conditionalFormatting sqref="C924:D924">
    <cfRule type="expression" dxfId="1050" priority="201">
      <formula>$T924=TRUE</formula>
    </cfRule>
    <cfRule type="expression" dxfId="1049" priority="202">
      <formula>$U924=TRUE</formula>
    </cfRule>
  </conditionalFormatting>
  <conditionalFormatting sqref="C944:L944">
    <cfRule type="expression" dxfId="1048" priority="199">
      <formula>$T944=TRUE</formula>
    </cfRule>
    <cfRule type="expression" dxfId="1047" priority="200">
      <formula>$U944=TRUE</formula>
    </cfRule>
  </conditionalFormatting>
  <conditionalFormatting sqref="C945:D945">
    <cfRule type="expression" dxfId="1046" priority="197">
      <formula>$T945=TRUE</formula>
    </cfRule>
    <cfRule type="expression" dxfId="1045" priority="198">
      <formula>$U945=TRUE</formula>
    </cfRule>
  </conditionalFormatting>
  <conditionalFormatting sqref="E521:L521">
    <cfRule type="expression" dxfId="1044" priority="195">
      <formula>$T521=TRUE</formula>
    </cfRule>
    <cfRule type="expression" dxfId="1043" priority="196">
      <formula>$U521=TRUE</formula>
    </cfRule>
  </conditionalFormatting>
  <conditionalFormatting sqref="E529:L530">
    <cfRule type="expression" dxfId="1042" priority="193">
      <formula>$T529=TRUE</formula>
    </cfRule>
    <cfRule type="expression" dxfId="1041" priority="194">
      <formula>$U529=TRUE</formula>
    </cfRule>
  </conditionalFormatting>
  <conditionalFormatting sqref="C529:D530">
    <cfRule type="expression" dxfId="1040" priority="192">
      <formula>$U529=TRUE</formula>
    </cfRule>
  </conditionalFormatting>
  <conditionalFormatting sqref="C529:D530">
    <cfRule type="expression" dxfId="1039" priority="191">
      <formula>$T529=TRUE</formula>
    </cfRule>
  </conditionalFormatting>
  <conditionalFormatting sqref="E528:L528">
    <cfRule type="expression" dxfId="1038" priority="189">
      <formula>$T528=TRUE</formula>
    </cfRule>
    <cfRule type="expression" dxfId="1037" priority="190">
      <formula>$U528=TRUE</formula>
    </cfRule>
  </conditionalFormatting>
  <conditionalFormatting sqref="C528:D528">
    <cfRule type="expression" dxfId="1036" priority="188">
      <formula>$U528=TRUE</formula>
    </cfRule>
  </conditionalFormatting>
  <conditionalFormatting sqref="C528:D528">
    <cfRule type="expression" dxfId="1035" priority="187">
      <formula>$T528=TRUE</formula>
    </cfRule>
  </conditionalFormatting>
  <conditionalFormatting sqref="E524:L524">
    <cfRule type="expression" dxfId="1034" priority="185">
      <formula>$T524=TRUE</formula>
    </cfRule>
    <cfRule type="expression" dxfId="1033" priority="186">
      <formula>$U524=TRUE</formula>
    </cfRule>
  </conditionalFormatting>
  <conditionalFormatting sqref="C524:D524">
    <cfRule type="expression" dxfId="1032" priority="184">
      <formula>$U524=TRUE</formula>
    </cfRule>
  </conditionalFormatting>
  <conditionalFormatting sqref="C524:D524">
    <cfRule type="expression" dxfId="1031" priority="183">
      <formula>$T524=TRUE</formula>
    </cfRule>
  </conditionalFormatting>
  <conditionalFormatting sqref="C204">
    <cfRule type="expression" dxfId="1030" priority="175">
      <formula>$T204=TRUE</formula>
    </cfRule>
    <cfRule type="expression" dxfId="1029" priority="176">
      <formula>$U204=TRUE</formula>
    </cfRule>
  </conditionalFormatting>
  <conditionalFormatting sqref="D204">
    <cfRule type="expression" dxfId="1028" priority="173">
      <formula>$U204=TRUE</formula>
    </cfRule>
  </conditionalFormatting>
  <conditionalFormatting sqref="D204">
    <cfRule type="expression" dxfId="1027" priority="172">
      <formula>$T204=TRUE</formula>
    </cfRule>
  </conditionalFormatting>
  <conditionalFormatting sqref="D204">
    <cfRule type="expression" dxfId="1026" priority="171">
      <formula>$T204=TRUE</formula>
    </cfRule>
    <cfRule type="expression" dxfId="1025" priority="174">
      <formula>$U204=TRUE</formula>
    </cfRule>
  </conditionalFormatting>
  <conditionalFormatting sqref="E397:L397">
    <cfRule type="expression" dxfId="1024" priority="169">
      <formula>$U397=TRUE</formula>
    </cfRule>
  </conditionalFormatting>
  <conditionalFormatting sqref="E397:L397">
    <cfRule type="expression" dxfId="1023" priority="168">
      <formula>$T397=TRUE</formula>
    </cfRule>
  </conditionalFormatting>
  <conditionalFormatting sqref="E408:L408">
    <cfRule type="expression" dxfId="1022" priority="163">
      <formula>$U408=TRUE</formula>
    </cfRule>
  </conditionalFormatting>
  <conditionalFormatting sqref="E408:L408">
    <cfRule type="expression" dxfId="1021" priority="162">
      <formula>$T408=TRUE</formula>
    </cfRule>
  </conditionalFormatting>
  <conditionalFormatting sqref="E409:L409">
    <cfRule type="expression" dxfId="1020" priority="165">
      <formula>$U409=TRUE</formula>
    </cfRule>
  </conditionalFormatting>
  <conditionalFormatting sqref="E409:L409">
    <cfRule type="expression" dxfId="1019" priority="164">
      <formula>$T409=TRUE</formula>
    </cfRule>
  </conditionalFormatting>
  <conditionalFormatting sqref="E389:L410">
    <cfRule type="expression" dxfId="1018" priority="161">
      <formula>$T389=TRUE</formula>
    </cfRule>
    <cfRule type="expression" dxfId="1017" priority="170">
      <formula>$U389=TRUE</formula>
    </cfRule>
  </conditionalFormatting>
  <conditionalFormatting sqref="C389:D397">
    <cfRule type="expression" dxfId="1016" priority="160">
      <formula>$U389=TRUE</formula>
    </cfRule>
  </conditionalFormatting>
  <conditionalFormatting sqref="C389:D397">
    <cfRule type="expression" dxfId="1015" priority="159">
      <formula>$T389=TRUE</formula>
    </cfRule>
  </conditionalFormatting>
  <conditionalFormatting sqref="C398:D410">
    <cfRule type="expression" dxfId="1014" priority="158">
      <formula>$U398=TRUE</formula>
    </cfRule>
  </conditionalFormatting>
  <conditionalFormatting sqref="C398:D410">
    <cfRule type="expression" dxfId="1013" priority="157">
      <formula>$T398=TRUE</formula>
    </cfRule>
  </conditionalFormatting>
  <conditionalFormatting sqref="E357:L357">
    <cfRule type="expression" dxfId="1012" priority="155">
      <formula>$U357=TRUE</formula>
    </cfRule>
  </conditionalFormatting>
  <conditionalFormatting sqref="E357:L357">
    <cfRule type="expression" dxfId="1011" priority="154">
      <formula>$T357=TRUE</formula>
    </cfRule>
  </conditionalFormatting>
  <conditionalFormatting sqref="E353:L353">
    <cfRule type="expression" dxfId="1010" priority="151">
      <formula>$T353=TRUE</formula>
    </cfRule>
    <cfRule type="expression" dxfId="1009" priority="156">
      <formula>$U353=TRUE</formula>
    </cfRule>
  </conditionalFormatting>
  <conditionalFormatting sqref="E354:L354">
    <cfRule type="expression" dxfId="1008" priority="149">
      <formula>$T354=TRUE</formula>
    </cfRule>
    <cfRule type="expression" dxfId="1007" priority="150">
      <formula>$U354=TRUE</formula>
    </cfRule>
  </conditionalFormatting>
  <conditionalFormatting sqref="C353:D357">
    <cfRule type="expression" dxfId="1006" priority="147">
      <formula>$T353=TRUE</formula>
    </cfRule>
    <cfRule type="expression" dxfId="1005" priority="148">
      <formula>$U353=TRUE</formula>
    </cfRule>
  </conditionalFormatting>
  <conditionalFormatting sqref="C587:D587">
    <cfRule type="expression" dxfId="1004" priority="145">
      <formula>$U587=TRUE</formula>
    </cfRule>
  </conditionalFormatting>
  <conditionalFormatting sqref="C587:D587">
    <cfRule type="expression" dxfId="1003" priority="144">
      <formula>$T587=TRUE</formula>
    </cfRule>
  </conditionalFormatting>
  <conditionalFormatting sqref="C587:D587">
    <cfRule type="expression" dxfId="1002" priority="143">
      <formula>$T587=TRUE</formula>
    </cfRule>
    <cfRule type="expression" dxfId="1001" priority="146">
      <formula>$U587=TRUE</formula>
    </cfRule>
  </conditionalFormatting>
  <conditionalFormatting sqref="C644:L644">
    <cfRule type="expression" dxfId="1000" priority="141">
      <formula>$T644=TRUE</formula>
    </cfRule>
    <cfRule type="expression" dxfId="999" priority="142">
      <formula>$U644=TRUE</formula>
    </cfRule>
  </conditionalFormatting>
  <conditionalFormatting sqref="C663:L663">
    <cfRule type="expression" dxfId="998" priority="139">
      <formula>$T663=TRUE</formula>
    </cfRule>
    <cfRule type="expression" dxfId="997" priority="140">
      <formula>$U663=TRUE</formula>
    </cfRule>
  </conditionalFormatting>
  <conditionalFormatting sqref="C615:L615">
    <cfRule type="expression" dxfId="996" priority="137">
      <formula>$T615=TRUE</formula>
    </cfRule>
    <cfRule type="expression" dxfId="995" priority="138">
      <formula>$U615=TRUE</formula>
    </cfRule>
  </conditionalFormatting>
  <conditionalFormatting sqref="C720:F722">
    <cfRule type="expression" dxfId="994" priority="129">
      <formula>$T720=TRUE</formula>
    </cfRule>
    <cfRule type="expression" dxfId="993" priority="130">
      <formula>$U720=TRUE</formula>
    </cfRule>
  </conditionalFormatting>
  <conditionalFormatting sqref="C706:L706">
    <cfRule type="expression" dxfId="992" priority="127">
      <formula>$T706=TRUE</formula>
    </cfRule>
    <cfRule type="expression" dxfId="991" priority="128">
      <formula>$U706=TRUE</formula>
    </cfRule>
  </conditionalFormatting>
  <conditionalFormatting sqref="C705:D705">
    <cfRule type="expression" dxfId="990" priority="125">
      <formula>$T705=TRUE</formula>
    </cfRule>
    <cfRule type="expression" dxfId="989" priority="126">
      <formula>$U705=TRUE</formula>
    </cfRule>
  </conditionalFormatting>
  <conditionalFormatting sqref="C418:L418">
    <cfRule type="expression" dxfId="988" priority="123">
      <formula>$T418=TRUE</formula>
    </cfRule>
    <cfRule type="expression" dxfId="987" priority="124">
      <formula>$U418=TRUE</formula>
    </cfRule>
  </conditionalFormatting>
  <conditionalFormatting sqref="E420:L420">
    <cfRule type="expression" dxfId="986" priority="121">
      <formula>$T420=TRUE</formula>
    </cfRule>
    <cfRule type="expression" dxfId="985" priority="122">
      <formula>$U420=TRUE</formula>
    </cfRule>
  </conditionalFormatting>
  <conditionalFormatting sqref="C420">
    <cfRule type="expression" dxfId="984" priority="119">
      <formula>$T420=TRUE</formula>
    </cfRule>
  </conditionalFormatting>
  <conditionalFormatting sqref="C420">
    <cfRule type="expression" dxfId="983" priority="118">
      <formula>$U420=TRUE</formula>
    </cfRule>
  </conditionalFormatting>
  <conditionalFormatting sqref="D420">
    <cfRule type="expression" dxfId="982" priority="117">
      <formula>$T420=TRUE</formula>
    </cfRule>
  </conditionalFormatting>
  <conditionalFormatting sqref="D420">
    <cfRule type="expression" dxfId="981" priority="116">
      <formula>$U420=TRUE</formula>
    </cfRule>
  </conditionalFormatting>
  <conditionalFormatting sqref="C420:D420">
    <cfRule type="expression" dxfId="980" priority="115">
      <formula>$T420=TRUE</formula>
    </cfRule>
    <cfRule type="expression" dxfId="979" priority="120">
      <formula>$U420=TRUE</formula>
    </cfRule>
  </conditionalFormatting>
  <conditionalFormatting sqref="C547:L547">
    <cfRule type="expression" dxfId="978" priority="113">
      <formula>$T547=TRUE</formula>
    </cfRule>
    <cfRule type="expression" dxfId="977" priority="114">
      <formula>$U547=TRUE</formula>
    </cfRule>
  </conditionalFormatting>
  <conditionalFormatting sqref="E548:L548">
    <cfRule type="expression" dxfId="976" priority="111">
      <formula>$T548=TRUE</formula>
    </cfRule>
    <cfRule type="expression" dxfId="975" priority="112">
      <formula>$U548=TRUE</formula>
    </cfRule>
  </conditionalFormatting>
  <conditionalFormatting sqref="C548:D548">
    <cfRule type="expression" dxfId="974" priority="109">
      <formula>$T548=TRUE</formula>
    </cfRule>
    <cfRule type="expression" dxfId="973" priority="110">
      <formula>$U548=TRUE</formula>
    </cfRule>
  </conditionalFormatting>
  <conditionalFormatting sqref="C549:D549">
    <cfRule type="expression" dxfId="972" priority="107">
      <formula>$T549=TRUE</formula>
    </cfRule>
    <cfRule type="expression" dxfId="971" priority="108">
      <formula>$U549=TRUE</formula>
    </cfRule>
  </conditionalFormatting>
  <conditionalFormatting sqref="E564:L564">
    <cfRule type="expression" dxfId="970" priority="105">
      <formula>$T564=TRUE</formula>
    </cfRule>
    <cfRule type="expression" dxfId="969" priority="106">
      <formula>$U564=TRUE</formula>
    </cfRule>
  </conditionalFormatting>
  <conditionalFormatting sqref="C564:D564">
    <cfRule type="expression" dxfId="968" priority="103">
      <formula>$T564=TRUE</formula>
    </cfRule>
    <cfRule type="expression" dxfId="967" priority="104">
      <formula>$U564=TRUE</formula>
    </cfRule>
  </conditionalFormatting>
  <conditionalFormatting sqref="C988:L988">
    <cfRule type="expression" dxfId="966" priority="101">
      <formula>$T988=TRUE</formula>
    </cfRule>
    <cfRule type="expression" dxfId="965" priority="102">
      <formula>$U988=TRUE</formula>
    </cfRule>
  </conditionalFormatting>
  <conditionalFormatting sqref="C987:L987">
    <cfRule type="expression" dxfId="964" priority="99">
      <formula>$T987=TRUE</formula>
    </cfRule>
    <cfRule type="expression" dxfId="963" priority="100">
      <formula>$U987=TRUE</formula>
    </cfRule>
  </conditionalFormatting>
  <conditionalFormatting sqref="C1118:L1118">
    <cfRule type="expression" dxfId="962" priority="97">
      <formula>$T1118=TRUE</formula>
    </cfRule>
    <cfRule type="expression" dxfId="961" priority="98">
      <formula>$U1118=TRUE</formula>
    </cfRule>
  </conditionalFormatting>
  <conditionalFormatting sqref="C1262:L1262">
    <cfRule type="expression" dxfId="960" priority="95">
      <formula>$T1262=TRUE</formula>
    </cfRule>
    <cfRule type="expression" dxfId="959" priority="96">
      <formula>$U1262=TRUE</formula>
    </cfRule>
  </conditionalFormatting>
  <conditionalFormatting sqref="C1263:L1263">
    <cfRule type="expression" dxfId="958" priority="93">
      <formula>$T1263=TRUE</formula>
    </cfRule>
    <cfRule type="expression" dxfId="957" priority="94">
      <formula>$U1263=TRUE</formula>
    </cfRule>
  </conditionalFormatting>
  <conditionalFormatting sqref="C1283:L1283">
    <cfRule type="expression" dxfId="956" priority="87">
      <formula>$T1283=TRUE</formula>
    </cfRule>
    <cfRule type="expression" dxfId="955" priority="88">
      <formula>$U1283=TRUE</formula>
    </cfRule>
  </conditionalFormatting>
  <conditionalFormatting sqref="C1282:L1282">
    <cfRule type="expression" dxfId="954" priority="89">
      <formula>$T1282=TRUE</formula>
    </cfRule>
    <cfRule type="expression" dxfId="953" priority="90">
      <formula>$U1282=TRUE</formula>
    </cfRule>
  </conditionalFormatting>
  <conditionalFormatting sqref="C1284:L1284">
    <cfRule type="expression" dxfId="952" priority="85">
      <formula>$T1284=TRUE</formula>
    </cfRule>
    <cfRule type="expression" dxfId="951" priority="86">
      <formula>$U1284=TRUE</formula>
    </cfRule>
  </conditionalFormatting>
  <conditionalFormatting sqref="D922:L922">
    <cfRule type="expression" dxfId="950" priority="83">
      <formula>$T922=TRUE</formula>
    </cfRule>
    <cfRule type="expression" dxfId="949" priority="84">
      <formula>$U922=TRUE</formula>
    </cfRule>
  </conditionalFormatting>
  <conditionalFormatting sqref="C922">
    <cfRule type="expression" dxfId="948" priority="81">
      <formula>$T922=TRUE</formula>
    </cfRule>
    <cfRule type="expression" dxfId="947" priority="82">
      <formula>$U922=TRUE</formula>
    </cfRule>
  </conditionalFormatting>
  <conditionalFormatting sqref="C82:L82">
    <cfRule type="expression" dxfId="946" priority="79">
      <formula>$T82=TRUE</formula>
    </cfRule>
    <cfRule type="expression" dxfId="945" priority="80">
      <formula>$U82=TRUE</formula>
    </cfRule>
  </conditionalFormatting>
  <conditionalFormatting sqref="C255:L255">
    <cfRule type="expression" dxfId="944" priority="77">
      <formula>$T255=TRUE</formula>
    </cfRule>
    <cfRule type="expression" dxfId="943" priority="78">
      <formula>$U255=TRUE</formula>
    </cfRule>
  </conditionalFormatting>
  <conditionalFormatting sqref="C435:L435">
    <cfRule type="expression" dxfId="942" priority="75">
      <formula>$T435=TRUE</formula>
    </cfRule>
    <cfRule type="expression" dxfId="941" priority="76">
      <formula>$U435=TRUE</formula>
    </cfRule>
  </conditionalFormatting>
  <conditionalFormatting sqref="C285:L285">
    <cfRule type="expression" dxfId="940" priority="73">
      <formula>$T285=TRUE</formula>
    </cfRule>
    <cfRule type="expression" dxfId="939" priority="74">
      <formula>$U285=TRUE</formula>
    </cfRule>
  </conditionalFormatting>
  <conditionalFormatting sqref="C89:L89">
    <cfRule type="expression" dxfId="938" priority="71">
      <formula>$T89=TRUE</formula>
    </cfRule>
    <cfRule type="expression" dxfId="937" priority="72">
      <formula>$U89=TRUE</formula>
    </cfRule>
  </conditionalFormatting>
  <conditionalFormatting sqref="C438:L438">
    <cfRule type="expression" dxfId="936" priority="69">
      <formula>$T438=TRUE</formula>
    </cfRule>
    <cfRule type="expression" dxfId="935" priority="70">
      <formula>$U438=TRUE</formula>
    </cfRule>
  </conditionalFormatting>
  <conditionalFormatting sqref="C291:L291">
    <cfRule type="expression" dxfId="934" priority="67">
      <formula>$T291=TRUE</formula>
    </cfRule>
    <cfRule type="expression" dxfId="933" priority="68">
      <formula>$U291=TRUE</formula>
    </cfRule>
  </conditionalFormatting>
  <conditionalFormatting sqref="C288:L288">
    <cfRule type="expression" dxfId="932" priority="65">
      <formula>$U288=TRUE</formula>
    </cfRule>
  </conditionalFormatting>
  <conditionalFormatting sqref="C288:L288">
    <cfRule type="expression" dxfId="931" priority="64">
      <formula>$T288=TRUE</formula>
    </cfRule>
  </conditionalFormatting>
  <conditionalFormatting sqref="C288:L288">
    <cfRule type="expression" dxfId="930" priority="63">
      <formula>$T288=TRUE</formula>
    </cfRule>
    <cfRule type="expression" dxfId="929" priority="66">
      <formula>$U288=TRUE</formula>
    </cfRule>
  </conditionalFormatting>
  <conditionalFormatting sqref="C87:L87">
    <cfRule type="expression" dxfId="928" priority="61">
      <formula>$U87=TRUE</formula>
    </cfRule>
  </conditionalFormatting>
  <conditionalFormatting sqref="C87:L87">
    <cfRule type="expression" dxfId="927" priority="60">
      <formula>$T87=TRUE</formula>
    </cfRule>
  </conditionalFormatting>
  <conditionalFormatting sqref="C87:L87">
    <cfRule type="expression" dxfId="926" priority="59">
      <formula>$T87=TRUE</formula>
    </cfRule>
    <cfRule type="expression" dxfId="925" priority="62">
      <formula>$U87=TRUE</formula>
    </cfRule>
  </conditionalFormatting>
  <conditionalFormatting sqref="C8:L8">
    <cfRule type="expression" dxfId="924" priority="57">
      <formula>$T8=TRUE</formula>
    </cfRule>
    <cfRule type="expression" dxfId="923" priority="58">
      <formula>$U8=TRUE</formula>
    </cfRule>
  </conditionalFormatting>
  <conditionalFormatting sqref="C10:L10">
    <cfRule type="expression" dxfId="922" priority="55">
      <formula>$T10=TRUE</formula>
    </cfRule>
    <cfRule type="expression" dxfId="921" priority="56">
      <formula>$U10=TRUE</formula>
    </cfRule>
  </conditionalFormatting>
  <conditionalFormatting sqref="C14:L14">
    <cfRule type="expression" dxfId="920" priority="53">
      <formula>$T14=TRUE</formula>
    </cfRule>
    <cfRule type="expression" dxfId="919" priority="54">
      <formula>$U14=TRUE</formula>
    </cfRule>
  </conditionalFormatting>
  <conditionalFormatting sqref="C25:L25">
    <cfRule type="expression" dxfId="918" priority="51">
      <formula>$T25=TRUE</formula>
    </cfRule>
    <cfRule type="expression" dxfId="917" priority="52">
      <formula>$U25=TRUE</formula>
    </cfRule>
  </conditionalFormatting>
  <conditionalFormatting sqref="C29:L29">
    <cfRule type="expression" dxfId="916" priority="49">
      <formula>$T29=TRUE</formula>
    </cfRule>
    <cfRule type="expression" dxfId="915" priority="50">
      <formula>$U29=TRUE</formula>
    </cfRule>
  </conditionalFormatting>
  <conditionalFormatting sqref="C43:L43">
    <cfRule type="expression" dxfId="914" priority="47">
      <formula>$T43=TRUE</formula>
    </cfRule>
    <cfRule type="expression" dxfId="913" priority="48">
      <formula>$U43=TRUE</formula>
    </cfRule>
  </conditionalFormatting>
  <conditionalFormatting sqref="C47:L47">
    <cfRule type="expression" dxfId="912" priority="45">
      <formula>$T47=TRUE</formula>
    </cfRule>
    <cfRule type="expression" dxfId="911" priority="46">
      <formula>$U47=TRUE</formula>
    </cfRule>
  </conditionalFormatting>
  <conditionalFormatting sqref="C51:L51">
    <cfRule type="expression" dxfId="910" priority="43">
      <formula>$T51=TRUE</formula>
    </cfRule>
    <cfRule type="expression" dxfId="909" priority="44">
      <formula>$U51=TRUE</formula>
    </cfRule>
  </conditionalFormatting>
  <conditionalFormatting sqref="C100:L100">
    <cfRule type="expression" dxfId="908" priority="41">
      <formula>$T100=TRUE</formula>
    </cfRule>
    <cfRule type="expression" dxfId="907" priority="42">
      <formula>$U100=TRUE</formula>
    </cfRule>
  </conditionalFormatting>
  <conditionalFormatting sqref="C101:L101">
    <cfRule type="expression" dxfId="906" priority="39">
      <formula>$T101=TRUE</formula>
    </cfRule>
    <cfRule type="expression" dxfId="905" priority="40">
      <formula>$U101=TRUE</formula>
    </cfRule>
  </conditionalFormatting>
  <conditionalFormatting sqref="C102:L102">
    <cfRule type="expression" dxfId="904" priority="37">
      <formula>$T102=TRUE</formula>
    </cfRule>
    <cfRule type="expression" dxfId="903" priority="38">
      <formula>$U102=TRUE</formula>
    </cfRule>
  </conditionalFormatting>
  <conditionalFormatting sqref="C106:L106">
    <cfRule type="expression" dxfId="902" priority="35">
      <formula>$T106=TRUE</formula>
    </cfRule>
    <cfRule type="expression" dxfId="901" priority="36">
      <formula>$U106=TRUE</formula>
    </cfRule>
  </conditionalFormatting>
  <conditionalFormatting sqref="C112:L112">
    <cfRule type="expression" dxfId="900" priority="33">
      <formula>$T112=TRUE</formula>
    </cfRule>
    <cfRule type="expression" dxfId="899" priority="34">
      <formula>$U112=TRUE</formula>
    </cfRule>
  </conditionalFormatting>
  <conditionalFormatting sqref="C114:L114">
    <cfRule type="expression" dxfId="898" priority="31">
      <formula>$T114=TRUE</formula>
    </cfRule>
    <cfRule type="expression" dxfId="897" priority="32">
      <formula>$U114=TRUE</formula>
    </cfRule>
  </conditionalFormatting>
  <conditionalFormatting sqref="C121:L121">
    <cfRule type="expression" dxfId="896" priority="29">
      <formula>$T121=TRUE</formula>
    </cfRule>
    <cfRule type="expression" dxfId="895" priority="30">
      <formula>$U121=TRUE</formula>
    </cfRule>
  </conditionalFormatting>
  <conditionalFormatting sqref="C134:L134">
    <cfRule type="expression" dxfId="894" priority="27">
      <formula>$T134=TRUE</formula>
    </cfRule>
    <cfRule type="expression" dxfId="893" priority="28">
      <formula>$U134=TRUE</formula>
    </cfRule>
  </conditionalFormatting>
  <conditionalFormatting sqref="C137:L137">
    <cfRule type="expression" dxfId="892" priority="25">
      <formula>$T137=TRUE</formula>
    </cfRule>
    <cfRule type="expression" dxfId="891" priority="26">
      <formula>$U137=TRUE</formula>
    </cfRule>
  </conditionalFormatting>
  <conditionalFormatting sqref="C140:L140">
    <cfRule type="expression" dxfId="890" priority="23">
      <formula>$T140=TRUE</formula>
    </cfRule>
    <cfRule type="expression" dxfId="889" priority="24">
      <formula>$U140=TRUE</formula>
    </cfRule>
  </conditionalFormatting>
  <conditionalFormatting sqref="C150:L150">
    <cfRule type="expression" dxfId="888" priority="21">
      <formula>$T150=TRUE</formula>
    </cfRule>
    <cfRule type="expression" dxfId="887" priority="22">
      <formula>$U150=TRUE</formula>
    </cfRule>
  </conditionalFormatting>
  <conditionalFormatting sqref="C190:L190">
    <cfRule type="expression" dxfId="886" priority="19">
      <formula>$T190=TRUE</formula>
    </cfRule>
    <cfRule type="expression" dxfId="885" priority="20">
      <formula>$U190=TRUE</formula>
    </cfRule>
  </conditionalFormatting>
  <conditionalFormatting sqref="C192:L192">
    <cfRule type="expression" dxfId="884" priority="17">
      <formula>$T192=TRUE</formula>
    </cfRule>
    <cfRule type="expression" dxfId="883" priority="18">
      <formula>$U192=TRUE</formula>
    </cfRule>
  </conditionalFormatting>
  <conditionalFormatting sqref="C241:L241">
    <cfRule type="expression" dxfId="882" priority="15">
      <formula>$T241=TRUE</formula>
    </cfRule>
    <cfRule type="expression" dxfId="881" priority="16">
      <formula>$U241=TRUE</formula>
    </cfRule>
  </conditionalFormatting>
  <conditionalFormatting sqref="C244:L244">
    <cfRule type="expression" dxfId="880" priority="13">
      <formula>$T244=TRUE</formula>
    </cfRule>
    <cfRule type="expression" dxfId="879" priority="14">
      <formula>$U244=TRUE</formula>
    </cfRule>
  </conditionalFormatting>
  <conditionalFormatting sqref="C248:L248">
    <cfRule type="expression" dxfId="878" priority="11">
      <formula>$T248=TRUE</formula>
    </cfRule>
    <cfRule type="expression" dxfId="877" priority="12">
      <formula>$U248=TRUE</formula>
    </cfRule>
  </conditionalFormatting>
  <conditionalFormatting sqref="C261:L261">
    <cfRule type="expression" dxfId="876" priority="9">
      <formula>$T261=TRUE</formula>
    </cfRule>
    <cfRule type="expression" dxfId="875" priority="10">
      <formula>$U261=TRUE</formula>
    </cfRule>
  </conditionalFormatting>
  <conditionalFormatting sqref="C263:L263">
    <cfRule type="expression" dxfId="874" priority="7">
      <formula>$T263=TRUE</formula>
    </cfRule>
    <cfRule type="expression" dxfId="873" priority="8">
      <formula>$U263=TRUE</formula>
    </cfRule>
  </conditionalFormatting>
  <conditionalFormatting sqref="C268:L268">
    <cfRule type="expression" dxfId="872" priority="5">
      <formula>$T268=TRUE</formula>
    </cfRule>
    <cfRule type="expression" dxfId="871" priority="6">
      <formula>$U268=TRUE</formula>
    </cfRule>
  </conditionalFormatting>
  <conditionalFormatting sqref="C5:L5">
    <cfRule type="expression" dxfId="870" priority="3">
      <formula>$T5=TRUE</formula>
    </cfRule>
    <cfRule type="expression" dxfId="869" priority="4">
      <formula>$U5=TRUE</formula>
    </cfRule>
  </conditionalFormatting>
  <conditionalFormatting sqref="C11:L11">
    <cfRule type="expression" dxfId="868" priority="1">
      <formula>$T11=TRUE</formula>
    </cfRule>
    <cfRule type="expression" dxfId="867" priority="2">
      <formula>$U11=TRUE</formula>
    </cfRule>
  </conditionalFormatting>
  <pageMargins left="0.5" right="0.5" top="0.5" bottom="0.5" header="0.3" footer="0.3"/>
  <pageSetup scale="74" fitToHeight="0"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19" id="{2FC929E8-B96E-46F6-AEE8-0056E76A1FC3}">
            <xm:f>'UPCs - Alpha'!$T1163=TRUE</xm:f>
            <x14:dxf>
              <font>
                <color rgb="FFFF0000"/>
              </font>
            </x14:dxf>
          </x14:cfRule>
          <xm:sqref>C1180:L1180</xm:sqref>
        </x14:conditionalFormatting>
        <x14:conditionalFormatting xmlns:xm="http://schemas.microsoft.com/office/excel/2006/main">
          <x14:cfRule type="expression" priority="318" id="{5B6B722C-28FE-44CA-BBBF-46956A566071}">
            <xm:f>'UPCs - Alpha'!$U1163=TRUE</xm:f>
            <x14:dxf>
              <fill>
                <patternFill>
                  <bgColor rgb="FFFFFF00"/>
                </patternFill>
              </fill>
            </x14:dxf>
          </x14:cfRule>
          <xm:sqref>C1180:L1180</xm:sqref>
        </x14:conditionalFormatting>
        <x14:conditionalFormatting xmlns:xm="http://schemas.microsoft.com/office/excel/2006/main">
          <x14:cfRule type="expression" priority="1008" id="{2FC929E8-B96E-46F6-AEE8-0056E76A1FC3}">
            <xm:f>'UPCs - Alpha'!$T172=TRUE</xm:f>
            <x14:dxf>
              <font>
                <color rgb="FFFF0000"/>
              </font>
            </x14:dxf>
          </x14:cfRule>
          <xm:sqref>C176:L176</xm:sqref>
        </x14:conditionalFormatting>
        <x14:conditionalFormatting xmlns:xm="http://schemas.microsoft.com/office/excel/2006/main">
          <x14:cfRule type="expression" priority="1009" id="{5B6B722C-28FE-44CA-BBBF-46956A566071}">
            <xm:f>'UPCs - Alpha'!$U172=TRUE</xm:f>
            <x14:dxf>
              <fill>
                <patternFill>
                  <bgColor rgb="FFFFFF00"/>
                </patternFill>
              </fill>
            </x14:dxf>
          </x14:cfRule>
          <xm:sqref>C176:L176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362"/>
  <sheetViews>
    <sheetView workbookViewId="0">
      <selection activeCell="A521" sqref="A521:XFD521"/>
    </sheetView>
  </sheetViews>
  <sheetFormatPr defaultRowHeight="15" x14ac:dyDescent="0.25"/>
  <cols>
    <col min="1" max="1" width="10.5703125" style="7" customWidth="1"/>
    <col min="2" max="2" width="40.7109375" style="7" customWidth="1"/>
    <col min="3" max="3" width="15.5703125" style="6" customWidth="1"/>
    <col min="4" max="4" width="40.7109375" style="6" bestFit="1" customWidth="1"/>
    <col min="5" max="5" width="8.7109375" style="6" customWidth="1"/>
    <col min="6" max="6" width="5.7109375" style="5" customWidth="1"/>
    <col min="7" max="12" width="10.7109375" customWidth="1"/>
    <col min="13" max="13" width="8.7109375" style="113" customWidth="1"/>
    <col min="14" max="14" width="9.7109375" style="113" customWidth="1"/>
    <col min="15" max="15" width="8.7109375" customWidth="1"/>
    <col min="16" max="16" width="7.7109375" customWidth="1"/>
    <col min="17" max="20" width="7.7109375" style="151" customWidth="1"/>
    <col min="21" max="21" width="13.28515625" customWidth="1"/>
  </cols>
  <sheetData>
    <row r="1" spans="1:25" s="1" customFormat="1" ht="44.25" customHeight="1" thickBot="1" x14ac:dyDescent="0.25">
      <c r="A1" s="103"/>
      <c r="B1" s="103"/>
      <c r="C1" s="104"/>
      <c r="D1" s="262" t="s">
        <v>4781</v>
      </c>
      <c r="E1" s="305" t="str">
        <f>Overview!B1</f>
        <v>Texas</v>
      </c>
      <c r="F1" s="305"/>
      <c r="G1" s="305"/>
      <c r="H1" s="305"/>
      <c r="I1" s="303" t="str">
        <f>Overview!B2</f>
        <v>Reset Pricing</v>
      </c>
      <c r="J1" s="303"/>
      <c r="K1" s="303"/>
      <c r="L1" s="304"/>
      <c r="O1" s="143"/>
      <c r="P1" s="143" t="s">
        <v>2428</v>
      </c>
      <c r="Q1" s="143" t="s">
        <v>2429</v>
      </c>
      <c r="R1" s="143" t="s">
        <v>2428</v>
      </c>
      <c r="S1" s="143" t="s">
        <v>2429</v>
      </c>
      <c r="T1" s="143"/>
      <c r="V1" s="2"/>
      <c r="X1" s="3"/>
      <c r="Y1" s="3"/>
    </row>
    <row r="2" spans="1:25" s="4" customFormat="1" ht="23.25" customHeight="1" thickBot="1" x14ac:dyDescent="0.25">
      <c r="A2" s="17" t="s">
        <v>3353</v>
      </c>
      <c r="B2" s="18" t="s">
        <v>756</v>
      </c>
      <c r="C2" s="18" t="s">
        <v>2</v>
      </c>
      <c r="D2" s="18" t="s">
        <v>0</v>
      </c>
      <c r="E2" s="19" t="s">
        <v>1</v>
      </c>
      <c r="F2" s="20" t="s">
        <v>770</v>
      </c>
      <c r="G2" s="20" t="s">
        <v>3</v>
      </c>
      <c r="H2" s="20" t="s">
        <v>4</v>
      </c>
      <c r="I2" s="20" t="s">
        <v>5</v>
      </c>
      <c r="J2" s="20" t="s">
        <v>6</v>
      </c>
      <c r="K2" s="20" t="s">
        <v>7</v>
      </c>
      <c r="L2" s="21" t="s">
        <v>8</v>
      </c>
      <c r="M2" s="143" t="s">
        <v>931</v>
      </c>
      <c r="N2" s="143" t="s">
        <v>962</v>
      </c>
      <c r="O2" s="218" t="s">
        <v>2425</v>
      </c>
      <c r="P2" s="149" t="s">
        <v>2424</v>
      </c>
      <c r="Q2" s="150" t="s">
        <v>2424</v>
      </c>
      <c r="R2" s="150" t="s">
        <v>2427</v>
      </c>
      <c r="S2" s="150" t="s">
        <v>2427</v>
      </c>
      <c r="T2" s="150" t="s">
        <v>2426</v>
      </c>
      <c r="U2" s="150" t="s">
        <v>3425</v>
      </c>
    </row>
    <row r="3" spans="1:25" s="8" customFormat="1" ht="13.5" thickBot="1" x14ac:dyDescent="0.25">
      <c r="A3" s="300" t="s">
        <v>282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2"/>
      <c r="M3" s="179"/>
      <c r="N3" s="179" t="s">
        <v>3735</v>
      </c>
      <c r="O3" s="141">
        <f>AVERAGE(O4:O20)</f>
        <v>0</v>
      </c>
      <c r="P3" s="181" t="b">
        <f>COUNTIF(P4:P20,TRUE)&gt;0</f>
        <v>1</v>
      </c>
      <c r="Q3" s="181" t="b">
        <f>COUNTIF(Q4:Q20,TRUE)&gt;0</f>
        <v>1</v>
      </c>
      <c r="R3" s="181" t="b">
        <f>COUNTIF(R4:R20,TRUE)&gt;0</f>
        <v>1</v>
      </c>
      <c r="S3" s="181" t="b">
        <f>COUNTIF(S4:S20,TRUE)&gt;0</f>
        <v>1</v>
      </c>
      <c r="T3" s="181" t="b">
        <f>COUNTIF(T4:T20,TRUE)&gt;0</f>
        <v>1</v>
      </c>
      <c r="U3" s="249"/>
    </row>
    <row r="4" spans="1:25" s="8" customFormat="1" ht="11.25" x14ac:dyDescent="0.2">
      <c r="A4" s="152">
        <v>10085412</v>
      </c>
      <c r="B4" s="10" t="s">
        <v>132</v>
      </c>
      <c r="C4" s="12" t="s">
        <v>131</v>
      </c>
      <c r="D4" s="11" t="s">
        <v>643</v>
      </c>
      <c r="E4" s="12" t="s">
        <v>771</v>
      </c>
      <c r="F4" s="13">
        <v>4</v>
      </c>
      <c r="G4" s="22">
        <f>Overview!$B$11</f>
        <v>14</v>
      </c>
      <c r="H4" s="23">
        <f t="shared" ref="H4:H20" si="0">G4-I4</f>
        <v>14</v>
      </c>
      <c r="I4" s="23">
        <f>Overview!$E$11</f>
        <v>0</v>
      </c>
      <c r="J4" s="52">
        <f t="shared" ref="J4:J20" si="1">I4/F4</f>
        <v>0</v>
      </c>
      <c r="K4" s="53">
        <f>Overview!$H$11</f>
        <v>0</v>
      </c>
      <c r="L4" s="54" t="e">
        <f t="shared" ref="L4:L20" si="2">(K4-J4)/K4</f>
        <v>#DIV/0!</v>
      </c>
      <c r="M4" s="179"/>
      <c r="N4" s="179" t="s">
        <v>3735</v>
      </c>
      <c r="O4" s="141">
        <f t="shared" ref="O4:O20" si="3">I4</f>
        <v>0</v>
      </c>
      <c r="P4" s="181" t="b">
        <f>COUNTIF('Facility Data'!$A$1:$A$1500,"*"&amp;A4&amp;"*")&gt;0</f>
        <v>1</v>
      </c>
      <c r="Q4" s="181" t="b">
        <f>COUNTIF('Account Data'!$A$1:$A$1000,"*"&amp;A4&amp;"*")&gt;0</f>
        <v>1</v>
      </c>
      <c r="R4" s="182" t="b">
        <f t="shared" ref="R4:R20" si="4">IF(OR(P4=TRUE,T4=TRUE),TRUE,FALSE)</f>
        <v>1</v>
      </c>
      <c r="S4" s="182" t="b">
        <f t="shared" ref="S4:S20" si="5">IF(OR(Q4=TRUE,T4=TRUE),TRUE,FALSE)</f>
        <v>1</v>
      </c>
      <c r="T4" s="181" t="b">
        <f>COUNTIF('New Items'!$A$1:$A$175,A4)&gt;0</f>
        <v>0</v>
      </c>
      <c r="U4" s="181" t="b">
        <f>COUNTIF(Discontinued!$A$1:$A$150,A4)&gt;0</f>
        <v>0</v>
      </c>
    </row>
    <row r="5" spans="1:25" s="8" customFormat="1" ht="11.25" x14ac:dyDescent="0.2">
      <c r="A5" s="152">
        <v>10085413</v>
      </c>
      <c r="B5" s="10" t="s">
        <v>4732</v>
      </c>
      <c r="C5" s="12" t="s">
        <v>124</v>
      </c>
      <c r="D5" s="11" t="s">
        <v>4733</v>
      </c>
      <c r="E5" s="12" t="s">
        <v>771</v>
      </c>
      <c r="F5" s="13">
        <v>4</v>
      </c>
      <c r="G5" s="22">
        <f>Overview!$B$11</f>
        <v>14</v>
      </c>
      <c r="H5" s="23">
        <f>G5-I5</f>
        <v>14</v>
      </c>
      <c r="I5" s="23">
        <f>Overview!$E$11</f>
        <v>0</v>
      </c>
      <c r="J5" s="52">
        <f>I5/F5</f>
        <v>0</v>
      </c>
      <c r="K5" s="53">
        <f>Overview!$H$11</f>
        <v>0</v>
      </c>
      <c r="L5" s="54" t="e">
        <f>(K5-J5)/K5</f>
        <v>#DIV/0!</v>
      </c>
      <c r="M5" s="179" t="s">
        <v>4406</v>
      </c>
      <c r="N5" s="179" t="s">
        <v>3735</v>
      </c>
      <c r="O5" s="141">
        <f>I5</f>
        <v>0</v>
      </c>
      <c r="P5" s="181" t="b">
        <f>COUNTIF('Facility Data'!$A$1:$A$1500,"*"&amp;A5&amp;"*")&gt;0</f>
        <v>1</v>
      </c>
      <c r="Q5" s="181" t="b">
        <f>COUNTIF('Account Data'!$A$1:$A$1000,"*"&amp;A5&amp;"*")&gt;0</f>
        <v>1</v>
      </c>
      <c r="R5" s="182" t="b">
        <f>IF(OR(P5=TRUE,T5=TRUE),TRUE,FALSE)</f>
        <v>1</v>
      </c>
      <c r="S5" s="182" t="b">
        <f>IF(OR(Q5=TRUE,T5=TRUE),TRUE,FALSE)</f>
        <v>1</v>
      </c>
      <c r="T5" s="181" t="b">
        <f>COUNTIF('New Items'!$A$1:$A$175,A5)&gt;0</f>
        <v>0</v>
      </c>
      <c r="U5" s="181" t="b">
        <f>COUNTIF(Discontinued!$A$1:$A$150,A5)&gt;0</f>
        <v>0</v>
      </c>
    </row>
    <row r="6" spans="1:25" s="8" customFormat="1" ht="11.25" x14ac:dyDescent="0.2">
      <c r="A6" s="152">
        <v>10085415</v>
      </c>
      <c r="B6" s="10" t="s">
        <v>130</v>
      </c>
      <c r="C6" s="12" t="s">
        <v>129</v>
      </c>
      <c r="D6" s="11" t="s">
        <v>645</v>
      </c>
      <c r="E6" s="12" t="s">
        <v>771</v>
      </c>
      <c r="F6" s="13">
        <v>4</v>
      </c>
      <c r="G6" s="22">
        <f>Overview!$B$11</f>
        <v>14</v>
      </c>
      <c r="H6" s="23">
        <f>G6-I6</f>
        <v>14</v>
      </c>
      <c r="I6" s="23">
        <f>Overview!$E$11</f>
        <v>0</v>
      </c>
      <c r="J6" s="52">
        <f>I6/F6</f>
        <v>0</v>
      </c>
      <c r="K6" s="53">
        <f>Overview!$H$11</f>
        <v>0</v>
      </c>
      <c r="L6" s="54" t="e">
        <f>(K6-J6)/K6</f>
        <v>#DIV/0!</v>
      </c>
      <c r="M6" s="179" t="s">
        <v>4406</v>
      </c>
      <c r="N6" s="179" t="s">
        <v>3735</v>
      </c>
      <c r="O6" s="141">
        <f>I6</f>
        <v>0</v>
      </c>
      <c r="P6" s="181" t="b">
        <f>COUNTIF('Facility Data'!$A$1:$A$1500,"*"&amp;A6&amp;"*")&gt;0</f>
        <v>1</v>
      </c>
      <c r="Q6" s="181" t="b">
        <f>COUNTIF('Account Data'!$A$1:$A$1000,"*"&amp;A6&amp;"*")&gt;0</f>
        <v>1</v>
      </c>
      <c r="R6" s="182" t="b">
        <f>IF(OR(P6=TRUE,T6=TRUE),TRUE,FALSE)</f>
        <v>1</v>
      </c>
      <c r="S6" s="182" t="b">
        <f>IF(OR(Q6=TRUE,T6=TRUE),TRUE,FALSE)</f>
        <v>1</v>
      </c>
      <c r="T6" s="181" t="b">
        <f>COUNTIF('New Items'!$A$1:$A$175,A6)&gt;0</f>
        <v>0</v>
      </c>
      <c r="U6" s="181" t="b">
        <f>COUNTIF(Discontinued!$A$1:$A$150,A6)&gt;0</f>
        <v>0</v>
      </c>
    </row>
    <row r="7" spans="1:25" s="8" customFormat="1" ht="11.25" x14ac:dyDescent="0.2">
      <c r="A7" s="152">
        <v>10085416</v>
      </c>
      <c r="B7" s="10" t="s">
        <v>4734</v>
      </c>
      <c r="C7" s="12" t="s">
        <v>1569</v>
      </c>
      <c r="D7" s="11" t="s">
        <v>4735</v>
      </c>
      <c r="E7" s="12" t="s">
        <v>771</v>
      </c>
      <c r="F7" s="13">
        <v>4</v>
      </c>
      <c r="G7" s="22">
        <f>Overview!$B$11</f>
        <v>14</v>
      </c>
      <c r="H7" s="23">
        <f t="shared" si="0"/>
        <v>14</v>
      </c>
      <c r="I7" s="23">
        <f>Overview!$E$11</f>
        <v>0</v>
      </c>
      <c r="J7" s="52">
        <f t="shared" si="1"/>
        <v>0</v>
      </c>
      <c r="K7" s="53">
        <f>Overview!$H$11</f>
        <v>0</v>
      </c>
      <c r="L7" s="54" t="e">
        <f t="shared" si="2"/>
        <v>#DIV/0!</v>
      </c>
      <c r="M7" s="179" t="s">
        <v>4406</v>
      </c>
      <c r="N7" s="179" t="s">
        <v>3735</v>
      </c>
      <c r="O7" s="141">
        <f t="shared" si="3"/>
        <v>0</v>
      </c>
      <c r="P7" s="181" t="b">
        <f>COUNTIF('Facility Data'!$A$1:$A$1500,"*"&amp;A7&amp;"*")&gt;0</f>
        <v>0</v>
      </c>
      <c r="Q7" s="181" t="b">
        <f>COUNTIF('Account Data'!$A$1:$A$1000,"*"&amp;A7&amp;"*")&gt;0</f>
        <v>0</v>
      </c>
      <c r="R7" s="182" t="b">
        <f t="shared" si="4"/>
        <v>0</v>
      </c>
      <c r="S7" s="182" t="b">
        <f t="shared" si="5"/>
        <v>0</v>
      </c>
      <c r="T7" s="181" t="b">
        <f>COUNTIF('New Items'!$A$1:$A$175,A7)&gt;0</f>
        <v>0</v>
      </c>
      <c r="U7" s="181" t="b">
        <f>COUNTIF(Discontinued!$A$1:$A$150,A7)&gt;0</f>
        <v>0</v>
      </c>
    </row>
    <row r="8" spans="1:25" s="8" customFormat="1" ht="11.25" x14ac:dyDescent="0.2">
      <c r="A8" s="152">
        <v>10085703</v>
      </c>
      <c r="B8" s="10" t="s">
        <v>1419</v>
      </c>
      <c r="C8" s="12" t="s">
        <v>1420</v>
      </c>
      <c r="D8" s="11" t="s">
        <v>640</v>
      </c>
      <c r="E8" s="12" t="s">
        <v>771</v>
      </c>
      <c r="F8" s="13">
        <v>4</v>
      </c>
      <c r="G8" s="22">
        <f>Overview!$B$11</f>
        <v>14</v>
      </c>
      <c r="H8" s="23">
        <f t="shared" si="0"/>
        <v>14</v>
      </c>
      <c r="I8" s="23">
        <f>Overview!$E$11</f>
        <v>0</v>
      </c>
      <c r="J8" s="52">
        <f t="shared" si="1"/>
        <v>0</v>
      </c>
      <c r="K8" s="53">
        <f>Overview!$H$11</f>
        <v>0</v>
      </c>
      <c r="L8" s="54" t="e">
        <f t="shared" si="2"/>
        <v>#DIV/0!</v>
      </c>
      <c r="M8" s="179"/>
      <c r="N8" s="179" t="s">
        <v>3735</v>
      </c>
      <c r="O8" s="141">
        <f t="shared" si="3"/>
        <v>0</v>
      </c>
      <c r="P8" s="181" t="b">
        <f>COUNTIF('Facility Data'!$A$1:$A$1500,"*"&amp;A8&amp;"*")&gt;0</f>
        <v>1</v>
      </c>
      <c r="Q8" s="181" t="b">
        <f>COUNTIF('Account Data'!$A$1:$A$1000,"*"&amp;A8&amp;"*")&gt;0</f>
        <v>0</v>
      </c>
      <c r="R8" s="182" t="b">
        <f t="shared" si="4"/>
        <v>1</v>
      </c>
      <c r="S8" s="182" t="b">
        <f t="shared" si="5"/>
        <v>0</v>
      </c>
      <c r="T8" s="181" t="b">
        <f>COUNTIF('New Items'!$A$1:$A$175,A8)&gt;0</f>
        <v>0</v>
      </c>
      <c r="U8" s="181" t="b">
        <f>COUNTIF(Discontinued!$A$1:$A$150,A8)&gt;0</f>
        <v>0</v>
      </c>
    </row>
    <row r="9" spans="1:25" s="8" customFormat="1" ht="11.25" x14ac:dyDescent="0.2">
      <c r="A9" s="152">
        <v>10126464</v>
      </c>
      <c r="B9" s="10" t="s">
        <v>3956</v>
      </c>
      <c r="C9" s="12" t="s">
        <v>4450</v>
      </c>
      <c r="D9" s="11" t="s">
        <v>3773</v>
      </c>
      <c r="E9" s="12" t="s">
        <v>771</v>
      </c>
      <c r="F9" s="13">
        <v>4</v>
      </c>
      <c r="G9" s="22">
        <f>Overview!$B$11</f>
        <v>14</v>
      </c>
      <c r="H9" s="23">
        <f>G9-I9</f>
        <v>14</v>
      </c>
      <c r="I9" s="23">
        <f>Overview!$E$11</f>
        <v>0</v>
      </c>
      <c r="J9" s="52">
        <f>I9/F9</f>
        <v>0</v>
      </c>
      <c r="K9" s="53">
        <f>Overview!$H$11</f>
        <v>0</v>
      </c>
      <c r="L9" s="54" t="e">
        <f>(K9-J9)/K9</f>
        <v>#DIV/0!</v>
      </c>
      <c r="M9" s="179"/>
      <c r="N9" s="179" t="s">
        <v>3735</v>
      </c>
      <c r="O9" s="141">
        <f>I9</f>
        <v>0</v>
      </c>
      <c r="P9" s="181" t="b">
        <f>COUNTIF('Facility Data'!$A$1:$A$1500,"*"&amp;A9&amp;"*")&gt;0</f>
        <v>1</v>
      </c>
      <c r="Q9" s="181" t="b">
        <f>COUNTIF('Account Data'!$A$1:$A$1000,"*"&amp;A9&amp;"*")&gt;0</f>
        <v>0</v>
      </c>
      <c r="R9" s="182" t="b">
        <f t="shared" si="4"/>
        <v>1</v>
      </c>
      <c r="S9" s="182" t="b">
        <f>IF(OR(Q9=TRUE,T9=TRUE),TRUE,FALSE)</f>
        <v>0</v>
      </c>
      <c r="T9" s="181" t="b">
        <f>COUNTIF('New Items'!$A$1:$A$175,A9)&gt;0</f>
        <v>0</v>
      </c>
      <c r="U9" s="181" t="b">
        <f>COUNTIF(Discontinued!$A$1:$A$150,A9)&gt;0</f>
        <v>0</v>
      </c>
    </row>
    <row r="10" spans="1:25" s="8" customFormat="1" ht="11.25" x14ac:dyDescent="0.2">
      <c r="A10" s="152">
        <v>10085417</v>
      </c>
      <c r="B10" s="10" t="s">
        <v>128</v>
      </c>
      <c r="C10" s="12" t="s">
        <v>127</v>
      </c>
      <c r="D10" s="11" t="s">
        <v>652</v>
      </c>
      <c r="E10" s="12" t="s">
        <v>771</v>
      </c>
      <c r="F10" s="13">
        <v>4</v>
      </c>
      <c r="G10" s="22">
        <f>Overview!$B$11</f>
        <v>14</v>
      </c>
      <c r="H10" s="23">
        <f t="shared" si="0"/>
        <v>14</v>
      </c>
      <c r="I10" s="23">
        <f>Overview!$E$11</f>
        <v>0</v>
      </c>
      <c r="J10" s="52">
        <f t="shared" si="1"/>
        <v>0</v>
      </c>
      <c r="K10" s="53">
        <f>Overview!$H$11</f>
        <v>0</v>
      </c>
      <c r="L10" s="54" t="e">
        <f t="shared" si="2"/>
        <v>#DIV/0!</v>
      </c>
      <c r="M10" s="179"/>
      <c r="N10" s="179" t="s">
        <v>3735</v>
      </c>
      <c r="O10" s="141">
        <f t="shared" si="3"/>
        <v>0</v>
      </c>
      <c r="P10" s="181" t="b">
        <f>COUNTIF('Facility Data'!$A$1:$A$1500,"*"&amp;A10&amp;"*")&gt;0</f>
        <v>1</v>
      </c>
      <c r="Q10" s="181" t="b">
        <f>COUNTIF('Account Data'!$A$1:$A$1000,"*"&amp;A10&amp;"*")&gt;0</f>
        <v>1</v>
      </c>
      <c r="R10" s="182" t="b">
        <f t="shared" si="4"/>
        <v>1</v>
      </c>
      <c r="S10" s="182" t="b">
        <f t="shared" si="5"/>
        <v>1</v>
      </c>
      <c r="T10" s="181" t="b">
        <f>COUNTIF('New Items'!$A$1:$A$175,A10)&gt;0</f>
        <v>0</v>
      </c>
      <c r="U10" s="181" t="b">
        <f>COUNTIF(Discontinued!$A$1:$A$150,A10)&gt;0</f>
        <v>0</v>
      </c>
    </row>
    <row r="11" spans="1:25" s="8" customFormat="1" ht="11.25" x14ac:dyDescent="0.2">
      <c r="A11" s="152">
        <v>10086588</v>
      </c>
      <c r="B11" s="10" t="s">
        <v>4736</v>
      </c>
      <c r="C11" s="12" t="s">
        <v>122</v>
      </c>
      <c r="D11" s="11" t="s">
        <v>4737</v>
      </c>
      <c r="E11" s="12" t="s">
        <v>771</v>
      </c>
      <c r="F11" s="13">
        <v>4</v>
      </c>
      <c r="G11" s="22">
        <f>Overview!$B$11</f>
        <v>14</v>
      </c>
      <c r="H11" s="23">
        <f t="shared" si="0"/>
        <v>14</v>
      </c>
      <c r="I11" s="23">
        <f>Overview!$E$11</f>
        <v>0</v>
      </c>
      <c r="J11" s="52">
        <f t="shared" si="1"/>
        <v>0</v>
      </c>
      <c r="K11" s="53">
        <f>Overview!$H$11</f>
        <v>0</v>
      </c>
      <c r="L11" s="54" t="e">
        <f t="shared" si="2"/>
        <v>#DIV/0!</v>
      </c>
      <c r="M11" s="179"/>
      <c r="N11" s="179" t="s">
        <v>3735</v>
      </c>
      <c r="O11" s="141">
        <f t="shared" si="3"/>
        <v>0</v>
      </c>
      <c r="P11" s="181" t="b">
        <f>COUNTIF('Facility Data'!$A$1:$A$1500,"*"&amp;A11&amp;"*")&gt;0</f>
        <v>0</v>
      </c>
      <c r="Q11" s="181" t="b">
        <f>COUNTIF('Account Data'!$A$1:$A$1000,"*"&amp;A11&amp;"*")&gt;0</f>
        <v>0</v>
      </c>
      <c r="R11" s="182" t="b">
        <f t="shared" si="4"/>
        <v>0</v>
      </c>
      <c r="S11" s="182" t="b">
        <f t="shared" si="5"/>
        <v>0</v>
      </c>
      <c r="T11" s="181" t="b">
        <f>COUNTIF('New Items'!$A$1:$A$175,A11)&gt;0</f>
        <v>0</v>
      </c>
      <c r="U11" s="181" t="b">
        <f>COUNTIF(Discontinued!$A$1:$A$150,A11)&gt;0</f>
        <v>0</v>
      </c>
    </row>
    <row r="12" spans="1:25" s="8" customFormat="1" ht="11.25" x14ac:dyDescent="0.2">
      <c r="A12" s="152">
        <v>10085420</v>
      </c>
      <c r="B12" s="10" t="s">
        <v>119</v>
      </c>
      <c r="C12" s="12" t="s">
        <v>120</v>
      </c>
      <c r="D12" s="11" t="s">
        <v>631</v>
      </c>
      <c r="E12" s="12" t="s">
        <v>771</v>
      </c>
      <c r="F12" s="13">
        <v>4</v>
      </c>
      <c r="G12" s="22">
        <f>Overview!$B$11</f>
        <v>14</v>
      </c>
      <c r="H12" s="23">
        <f t="shared" si="0"/>
        <v>14</v>
      </c>
      <c r="I12" s="23">
        <f>Overview!$E$11</f>
        <v>0</v>
      </c>
      <c r="J12" s="52">
        <f t="shared" si="1"/>
        <v>0</v>
      </c>
      <c r="K12" s="53">
        <f>Overview!$H$11</f>
        <v>0</v>
      </c>
      <c r="L12" s="54" t="e">
        <f t="shared" si="2"/>
        <v>#DIV/0!</v>
      </c>
      <c r="M12" s="179" t="s">
        <v>951</v>
      </c>
      <c r="N12" s="179" t="s">
        <v>3735</v>
      </c>
      <c r="O12" s="141">
        <f t="shared" si="3"/>
        <v>0</v>
      </c>
      <c r="P12" s="181" t="b">
        <f>COUNTIF('Facility Data'!$A$1:$A$1500,"*"&amp;A12&amp;"*")&gt;0</f>
        <v>0</v>
      </c>
      <c r="Q12" s="181" t="b">
        <f>COUNTIF('Account Data'!$A$1:$A$1000,"*"&amp;A12&amp;"*")&gt;0</f>
        <v>0</v>
      </c>
      <c r="R12" s="182" t="b">
        <f t="shared" si="4"/>
        <v>0</v>
      </c>
      <c r="S12" s="182" t="b">
        <f t="shared" si="5"/>
        <v>0</v>
      </c>
      <c r="T12" s="181" t="b">
        <f>COUNTIF('New Items'!$A$1:$A$175,A12)&gt;0</f>
        <v>0</v>
      </c>
      <c r="U12" s="181" t="b">
        <f>COUNTIF(Discontinued!$A$1:$A$150,A12)&gt;0</f>
        <v>0</v>
      </c>
    </row>
    <row r="13" spans="1:25" s="8" customFormat="1" ht="11.25" x14ac:dyDescent="0.2">
      <c r="A13" s="152">
        <v>10085419</v>
      </c>
      <c r="B13" s="10" t="s">
        <v>125</v>
      </c>
      <c r="C13" s="12" t="s">
        <v>126</v>
      </c>
      <c r="D13" s="11" t="s">
        <v>629</v>
      </c>
      <c r="E13" s="12" t="s">
        <v>771</v>
      </c>
      <c r="F13" s="13">
        <v>4</v>
      </c>
      <c r="G13" s="22">
        <f>Overview!$B$11</f>
        <v>14</v>
      </c>
      <c r="H13" s="23">
        <f>G13-I13</f>
        <v>14</v>
      </c>
      <c r="I13" s="23">
        <f>Overview!$E$11</f>
        <v>0</v>
      </c>
      <c r="J13" s="52">
        <f>I13/F13</f>
        <v>0</v>
      </c>
      <c r="K13" s="53">
        <f>Overview!$H$11</f>
        <v>0</v>
      </c>
      <c r="L13" s="54" t="e">
        <f>(K13-J13)/K13</f>
        <v>#DIV/0!</v>
      </c>
      <c r="M13" s="179" t="s">
        <v>951</v>
      </c>
      <c r="N13" s="179" t="s">
        <v>3735</v>
      </c>
      <c r="O13" s="141">
        <f>I13</f>
        <v>0</v>
      </c>
      <c r="P13" s="181" t="b">
        <f>COUNTIF('Facility Data'!$A$1:$A$1500,"*"&amp;A13&amp;"*")&gt;0</f>
        <v>0</v>
      </c>
      <c r="Q13" s="181" t="b">
        <f>COUNTIF('Account Data'!$A$1:$A$1000,"*"&amp;A13&amp;"*")&gt;0</f>
        <v>1</v>
      </c>
      <c r="R13" s="182" t="b">
        <f>IF(OR(P13=TRUE,T13=TRUE),TRUE,FALSE)</f>
        <v>0</v>
      </c>
      <c r="S13" s="182" t="b">
        <f>IF(OR(Q13=TRUE,T13=TRUE),TRUE,FALSE)</f>
        <v>1</v>
      </c>
      <c r="T13" s="181" t="b">
        <f>COUNTIF('New Items'!$A$1:$A$175,A13)&gt;0</f>
        <v>0</v>
      </c>
      <c r="U13" s="181" t="b">
        <f>COUNTIF(Discontinued!$A$1:$A$150,A13)&gt;0</f>
        <v>0</v>
      </c>
    </row>
    <row r="14" spans="1:25" s="8" customFormat="1" ht="11.25" x14ac:dyDescent="0.2">
      <c r="A14" s="152">
        <v>10137273</v>
      </c>
      <c r="B14" s="10" t="s">
        <v>4776</v>
      </c>
      <c r="C14" s="12" t="s">
        <v>4782</v>
      </c>
      <c r="D14" s="11" t="s">
        <v>3761</v>
      </c>
      <c r="E14" s="12" t="s">
        <v>771</v>
      </c>
      <c r="F14" s="13">
        <v>4</v>
      </c>
      <c r="G14" s="22">
        <f>Overview!$B$11</f>
        <v>14</v>
      </c>
      <c r="H14" s="23">
        <f t="shared" si="0"/>
        <v>14</v>
      </c>
      <c r="I14" s="23">
        <f>Overview!$E$11</f>
        <v>0</v>
      </c>
      <c r="J14" s="52">
        <f t="shared" si="1"/>
        <v>0</v>
      </c>
      <c r="K14" s="53">
        <f>Overview!$H$11</f>
        <v>0</v>
      </c>
      <c r="L14" s="54" t="e">
        <f t="shared" si="2"/>
        <v>#DIV/0!</v>
      </c>
      <c r="M14" s="179" t="s">
        <v>951</v>
      </c>
      <c r="N14" s="179" t="s">
        <v>3735</v>
      </c>
      <c r="O14" s="141">
        <f t="shared" si="3"/>
        <v>0</v>
      </c>
      <c r="P14" s="181" t="b">
        <f>COUNTIF('Facility Data'!$A$1:$A$1500,"*"&amp;A14&amp;"*")&gt;0</f>
        <v>0</v>
      </c>
      <c r="Q14" s="181" t="b">
        <f>COUNTIF('Account Data'!$A$1:$A$1000,"*"&amp;A14&amp;"*")&gt;0</f>
        <v>0</v>
      </c>
      <c r="R14" s="182" t="b">
        <f t="shared" si="4"/>
        <v>1</v>
      </c>
      <c r="S14" s="182" t="b">
        <f t="shared" si="5"/>
        <v>1</v>
      </c>
      <c r="T14" s="181" t="b">
        <f>COUNTIF('New Items'!$A$1:$A$175,A14)&gt;0</f>
        <v>1</v>
      </c>
      <c r="U14" s="181" t="b">
        <f>COUNTIF(Discontinued!$A$1:$A$150,A14)&gt;0</f>
        <v>0</v>
      </c>
    </row>
    <row r="15" spans="1:25" s="8" customFormat="1" ht="11.25" x14ac:dyDescent="0.2">
      <c r="A15" s="152">
        <v>10085414</v>
      </c>
      <c r="B15" s="10" t="s">
        <v>1286</v>
      </c>
      <c r="C15" s="12" t="s">
        <v>1287</v>
      </c>
      <c r="D15" s="11" t="s">
        <v>660</v>
      </c>
      <c r="E15" s="12" t="s">
        <v>771</v>
      </c>
      <c r="F15" s="13">
        <v>4</v>
      </c>
      <c r="G15" s="22">
        <f>Overview!$B$11</f>
        <v>14</v>
      </c>
      <c r="H15" s="23">
        <f t="shared" si="0"/>
        <v>14</v>
      </c>
      <c r="I15" s="23">
        <f>Overview!$E$11</f>
        <v>0</v>
      </c>
      <c r="J15" s="52">
        <f t="shared" si="1"/>
        <v>0</v>
      </c>
      <c r="K15" s="53">
        <f>Overview!$H$11</f>
        <v>0</v>
      </c>
      <c r="L15" s="54" t="e">
        <f t="shared" si="2"/>
        <v>#DIV/0!</v>
      </c>
      <c r="M15" s="179"/>
      <c r="N15" s="179" t="s">
        <v>3735</v>
      </c>
      <c r="O15" s="141">
        <f t="shared" si="3"/>
        <v>0</v>
      </c>
      <c r="P15" s="181" t="b">
        <f>COUNTIF('Facility Data'!$A$1:$A$1500,"*"&amp;A15&amp;"*")&gt;0</f>
        <v>0</v>
      </c>
      <c r="Q15" s="181" t="b">
        <f>COUNTIF('Account Data'!$A$1:$A$1000,"*"&amp;A15&amp;"*")&gt;0</f>
        <v>0</v>
      </c>
      <c r="R15" s="182" t="b">
        <f t="shared" si="4"/>
        <v>0</v>
      </c>
      <c r="S15" s="182" t="b">
        <f t="shared" si="5"/>
        <v>0</v>
      </c>
      <c r="T15" s="181" t="b">
        <f>COUNTIF('New Items'!$A$1:$A$175,A15)&gt;0</f>
        <v>0</v>
      </c>
      <c r="U15" s="181" t="b">
        <f>COUNTIF(Discontinued!$A$1:$A$150,A15)&gt;0</f>
        <v>0</v>
      </c>
    </row>
    <row r="16" spans="1:25" s="8" customFormat="1" ht="11.25" x14ac:dyDescent="0.2">
      <c r="A16" s="152">
        <v>10085424</v>
      </c>
      <c r="B16" s="10" t="s">
        <v>118</v>
      </c>
      <c r="C16" s="12" t="s">
        <v>117</v>
      </c>
      <c r="D16" s="11" t="s">
        <v>636</v>
      </c>
      <c r="E16" s="12" t="s">
        <v>771</v>
      </c>
      <c r="F16" s="13">
        <v>4</v>
      </c>
      <c r="G16" s="22">
        <f>Overview!$B$11</f>
        <v>14</v>
      </c>
      <c r="H16" s="23">
        <f t="shared" si="0"/>
        <v>14</v>
      </c>
      <c r="I16" s="23">
        <f>Overview!$E$11</f>
        <v>0</v>
      </c>
      <c r="J16" s="52">
        <f t="shared" si="1"/>
        <v>0</v>
      </c>
      <c r="K16" s="53">
        <f>Overview!$H$11</f>
        <v>0</v>
      </c>
      <c r="L16" s="54" t="e">
        <f t="shared" si="2"/>
        <v>#DIV/0!</v>
      </c>
      <c r="M16" s="179" t="s">
        <v>4370</v>
      </c>
      <c r="N16" s="179" t="s">
        <v>3735</v>
      </c>
      <c r="O16" s="141">
        <f t="shared" si="3"/>
        <v>0</v>
      </c>
      <c r="P16" s="181" t="b">
        <f>COUNTIF('Facility Data'!$A$1:$A$1500,"*"&amp;A16&amp;"*")&gt;0</f>
        <v>1</v>
      </c>
      <c r="Q16" s="181" t="b">
        <f>COUNTIF('Account Data'!$A$1:$A$1000,"*"&amp;A16&amp;"*")&gt;0</f>
        <v>1</v>
      </c>
      <c r="R16" s="182" t="b">
        <f t="shared" si="4"/>
        <v>1</v>
      </c>
      <c r="S16" s="182" t="b">
        <f t="shared" si="5"/>
        <v>1</v>
      </c>
      <c r="T16" s="181" t="b">
        <f>COUNTIF('New Items'!$A$1:$A$175,A16)&gt;0</f>
        <v>0</v>
      </c>
      <c r="U16" s="181" t="b">
        <f>COUNTIF(Discontinued!$A$1:$A$150,A16)&gt;0</f>
        <v>0</v>
      </c>
    </row>
    <row r="17" spans="1:21" s="8" customFormat="1" ht="11.25" x14ac:dyDescent="0.2">
      <c r="A17" s="152">
        <v>10085423</v>
      </c>
      <c r="B17" s="10" t="s">
        <v>116</v>
      </c>
      <c r="C17" s="12" t="s">
        <v>115</v>
      </c>
      <c r="D17" s="11" t="s">
        <v>650</v>
      </c>
      <c r="E17" s="12" t="s">
        <v>771</v>
      </c>
      <c r="F17" s="13">
        <v>4</v>
      </c>
      <c r="G17" s="22">
        <f>Overview!$B$11</f>
        <v>14</v>
      </c>
      <c r="H17" s="23">
        <f>G17-I17</f>
        <v>14</v>
      </c>
      <c r="I17" s="23">
        <f>Overview!$E$11</f>
        <v>0</v>
      </c>
      <c r="J17" s="52">
        <f>I17/F17</f>
        <v>0</v>
      </c>
      <c r="K17" s="53">
        <f>Overview!$H$11</f>
        <v>0</v>
      </c>
      <c r="L17" s="54" t="e">
        <f>(K17-J17)/K17</f>
        <v>#DIV/0!</v>
      </c>
      <c r="M17" s="179" t="s">
        <v>4369</v>
      </c>
      <c r="N17" s="179" t="s">
        <v>3735</v>
      </c>
      <c r="O17" s="141">
        <f>I17</f>
        <v>0</v>
      </c>
      <c r="P17" s="181" t="b">
        <f>COUNTIF('Facility Data'!$A$1:$A$1500,"*"&amp;A17&amp;"*")&gt;0</f>
        <v>1</v>
      </c>
      <c r="Q17" s="181" t="b">
        <f>COUNTIF('Account Data'!$A$1:$A$1000,"*"&amp;A17&amp;"*")&gt;0</f>
        <v>1</v>
      </c>
      <c r="R17" s="182" t="b">
        <f>IF(OR(P17=TRUE,T17=TRUE),TRUE,FALSE)</f>
        <v>1</v>
      </c>
      <c r="S17" s="182" t="b">
        <f>IF(OR(Q17=TRUE,T17=TRUE),TRUE,FALSE)</f>
        <v>1</v>
      </c>
      <c r="T17" s="181" t="b">
        <f>COUNTIF('New Items'!$A$1:$A$175,A17)&gt;0</f>
        <v>0</v>
      </c>
      <c r="U17" s="181" t="b">
        <f>COUNTIF(Discontinued!$A$1:$A$150,A17)&gt;0</f>
        <v>0</v>
      </c>
    </row>
    <row r="18" spans="1:21" s="8" customFormat="1" ht="11.25" x14ac:dyDescent="0.2">
      <c r="A18" s="152">
        <v>10137583</v>
      </c>
      <c r="B18" s="10" t="s">
        <v>4777</v>
      </c>
      <c r="C18" s="12" t="s">
        <v>4778</v>
      </c>
      <c r="D18" s="11" t="s">
        <v>1054</v>
      </c>
      <c r="E18" s="12" t="s">
        <v>771</v>
      </c>
      <c r="F18" s="13">
        <v>4</v>
      </c>
      <c r="G18" s="22">
        <f>Overview!$B$11</f>
        <v>14</v>
      </c>
      <c r="H18" s="23">
        <f>G18-I18</f>
        <v>14</v>
      </c>
      <c r="I18" s="23">
        <f>Overview!$E$11</f>
        <v>0</v>
      </c>
      <c r="J18" s="52">
        <f>I18/F18</f>
        <v>0</v>
      </c>
      <c r="K18" s="53">
        <f>Overview!$H$11</f>
        <v>0</v>
      </c>
      <c r="L18" s="54" t="e">
        <f>(K18-J18)/K18</f>
        <v>#DIV/0!</v>
      </c>
      <c r="M18" s="179" t="s">
        <v>4369</v>
      </c>
      <c r="N18" s="179" t="s">
        <v>3735</v>
      </c>
      <c r="O18" s="141">
        <f>I18</f>
        <v>0</v>
      </c>
      <c r="P18" s="181" t="b">
        <f>COUNTIF('Facility Data'!$A$1:$A$1500,"*"&amp;A18&amp;"*")&gt;0</f>
        <v>0</v>
      </c>
      <c r="Q18" s="181" t="b">
        <f>COUNTIF('Account Data'!$A$1:$A$1000,"*"&amp;A18&amp;"*")&gt;0</f>
        <v>0</v>
      </c>
      <c r="R18" s="182" t="b">
        <f>IF(OR(P18=TRUE,T18=TRUE),TRUE,FALSE)</f>
        <v>1</v>
      </c>
      <c r="S18" s="182" t="b">
        <f>IF(OR(Q18=TRUE,T18=TRUE),TRUE,FALSE)</f>
        <v>1</v>
      </c>
      <c r="T18" s="181" t="b">
        <f>COUNTIF('New Items'!$A$1:$A$175,A18)&gt;0</f>
        <v>1</v>
      </c>
      <c r="U18" s="181" t="b">
        <f>COUNTIF(Discontinued!$A$1:$A$150,A18)&gt;0</f>
        <v>0</v>
      </c>
    </row>
    <row r="19" spans="1:21" s="8" customFormat="1" ht="11.25" x14ac:dyDescent="0.2">
      <c r="A19" s="152">
        <v>10085421</v>
      </c>
      <c r="B19" s="10" t="s">
        <v>2707</v>
      </c>
      <c r="C19" s="12" t="s">
        <v>2708</v>
      </c>
      <c r="D19" s="11" t="s">
        <v>4116</v>
      </c>
      <c r="E19" s="12" t="s">
        <v>771</v>
      </c>
      <c r="F19" s="13">
        <v>4</v>
      </c>
      <c r="G19" s="22">
        <f>Overview!$B$11</f>
        <v>14</v>
      </c>
      <c r="H19" s="23">
        <f t="shared" si="0"/>
        <v>14</v>
      </c>
      <c r="I19" s="23">
        <f>Overview!$E$11</f>
        <v>0</v>
      </c>
      <c r="J19" s="52">
        <f t="shared" si="1"/>
        <v>0</v>
      </c>
      <c r="K19" s="53">
        <f>Overview!$H$11</f>
        <v>0</v>
      </c>
      <c r="L19" s="54" t="e">
        <f t="shared" si="2"/>
        <v>#DIV/0!</v>
      </c>
      <c r="M19" s="179" t="s">
        <v>4369</v>
      </c>
      <c r="N19" s="179" t="s">
        <v>3735</v>
      </c>
      <c r="O19" s="141">
        <f t="shared" si="3"/>
        <v>0</v>
      </c>
      <c r="P19" s="181" t="b">
        <f>COUNTIF('Facility Data'!$A$1:$A$1500,"*"&amp;A19&amp;"*")&gt;0</f>
        <v>0</v>
      </c>
      <c r="Q19" s="181" t="b">
        <f>COUNTIF('Account Data'!$A$1:$A$1000,"*"&amp;A19&amp;"*")&gt;0</f>
        <v>0</v>
      </c>
      <c r="R19" s="182" t="b">
        <f t="shared" si="4"/>
        <v>0</v>
      </c>
      <c r="S19" s="182" t="b">
        <f t="shared" si="5"/>
        <v>0</v>
      </c>
      <c r="T19" s="181" t="b">
        <f>COUNTIF('New Items'!$A$1:$A$175,A19)&gt;0</f>
        <v>0</v>
      </c>
      <c r="U19" s="181" t="b">
        <f>COUNTIF(Discontinued!$A$1:$A$150,A19)&gt;0</f>
        <v>0</v>
      </c>
    </row>
    <row r="20" spans="1:21" s="8" customFormat="1" ht="12" thickBot="1" x14ac:dyDescent="0.25">
      <c r="A20" s="152">
        <v>10085422</v>
      </c>
      <c r="B20" s="10" t="s">
        <v>4779</v>
      </c>
      <c r="C20" s="12" t="s">
        <v>2709</v>
      </c>
      <c r="D20" s="11" t="s">
        <v>4780</v>
      </c>
      <c r="E20" s="12" t="s">
        <v>771</v>
      </c>
      <c r="F20" s="13">
        <v>4</v>
      </c>
      <c r="G20" s="22">
        <f>Overview!$B$11</f>
        <v>14</v>
      </c>
      <c r="H20" s="23">
        <f t="shared" si="0"/>
        <v>14</v>
      </c>
      <c r="I20" s="23">
        <f>Overview!$E$11</f>
        <v>0</v>
      </c>
      <c r="J20" s="52">
        <f t="shared" si="1"/>
        <v>0</v>
      </c>
      <c r="K20" s="53">
        <f>Overview!$H$11</f>
        <v>0</v>
      </c>
      <c r="L20" s="54" t="e">
        <f t="shared" si="2"/>
        <v>#DIV/0!</v>
      </c>
      <c r="M20" s="179" t="s">
        <v>953</v>
      </c>
      <c r="N20" s="179" t="s">
        <v>3735</v>
      </c>
      <c r="O20" s="141">
        <f t="shared" si="3"/>
        <v>0</v>
      </c>
      <c r="P20" s="181" t="b">
        <f>COUNTIF('Facility Data'!$A$1:$A$1500,"*"&amp;A20&amp;"*")&gt;0</f>
        <v>0</v>
      </c>
      <c r="Q20" s="181" t="b">
        <f>COUNTIF('Account Data'!$A$1:$A$1000,"*"&amp;A20&amp;"*")&gt;0</f>
        <v>0</v>
      </c>
      <c r="R20" s="182" t="b">
        <f t="shared" si="4"/>
        <v>0</v>
      </c>
      <c r="S20" s="182" t="b">
        <f t="shared" si="5"/>
        <v>0</v>
      </c>
      <c r="T20" s="181" t="b">
        <f>COUNTIF('New Items'!$A$1:$A$175,A20)&gt;0</f>
        <v>0</v>
      </c>
      <c r="U20" s="181" t="b">
        <f>COUNTIF(Discontinued!$A$1:$A$150,A20)&gt;0</f>
        <v>0</v>
      </c>
    </row>
    <row r="21" spans="1:21" s="8" customFormat="1" ht="13.5" thickBot="1" x14ac:dyDescent="0.25">
      <c r="A21" s="300" t="s">
        <v>3734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2"/>
      <c r="M21" s="179"/>
      <c r="N21" s="179" t="s">
        <v>3736</v>
      </c>
      <c r="O21" s="141">
        <f>AVERAGE(O22:O33)</f>
        <v>0</v>
      </c>
      <c r="P21" s="181" t="b">
        <f>COUNTIF(P22:P33,TRUE)&gt;0</f>
        <v>1</v>
      </c>
      <c r="Q21" s="181" t="b">
        <f>COUNTIF(Q22:Q33,TRUE)&gt;0</f>
        <v>0</v>
      </c>
      <c r="R21" s="181" t="b">
        <f>COUNTIF(R22:R33,TRUE)&gt;0</f>
        <v>1</v>
      </c>
      <c r="S21" s="181" t="b">
        <f>COUNTIF(S22:S33,TRUE)&gt;0</f>
        <v>0</v>
      </c>
      <c r="T21" s="181" t="b">
        <f>COUNTIF(T22:T33,TRUE)&gt;0</f>
        <v>0</v>
      </c>
      <c r="U21" s="181"/>
    </row>
    <row r="22" spans="1:21" s="8" customFormat="1" ht="11.25" x14ac:dyDescent="0.2">
      <c r="A22" s="152">
        <v>10128315</v>
      </c>
      <c r="B22" s="10" t="s">
        <v>3739</v>
      </c>
      <c r="C22" s="12" t="s">
        <v>3740</v>
      </c>
      <c r="D22" s="11" t="s">
        <v>643</v>
      </c>
      <c r="E22" s="12" t="s">
        <v>771</v>
      </c>
      <c r="F22" s="13">
        <v>3</v>
      </c>
      <c r="G22" s="22">
        <f>Overview!$B$12</f>
        <v>14</v>
      </c>
      <c r="H22" s="23">
        <f t="shared" ref="H22:H33" si="6">G22-I22</f>
        <v>14</v>
      </c>
      <c r="I22" s="23">
        <f>Overview!$E$12</f>
        <v>0</v>
      </c>
      <c r="J22" s="52">
        <f t="shared" ref="J22:J33" si="7">I22/F22</f>
        <v>0</v>
      </c>
      <c r="K22" s="53">
        <f>Overview!$H$12</f>
        <v>0</v>
      </c>
      <c r="L22" s="54" t="e">
        <f t="shared" ref="L22:L33" si="8">(K22-J22)/K22</f>
        <v>#DIV/0!</v>
      </c>
      <c r="M22" s="249"/>
      <c r="N22" s="179" t="s">
        <v>3736</v>
      </c>
      <c r="O22" s="141">
        <f t="shared" ref="O22:O33" si="9">I22</f>
        <v>0</v>
      </c>
      <c r="P22" s="181" t="b">
        <f>COUNTIF('Facility Data'!$A$1:$A$1500,"*"&amp;A22&amp;"*")&gt;0</f>
        <v>1</v>
      </c>
      <c r="Q22" s="181" t="b">
        <f>COUNTIF('Account Data'!$A$1:$A$1000,"*"&amp;A22&amp;"*")&gt;0</f>
        <v>0</v>
      </c>
      <c r="R22" s="182" t="b">
        <f t="shared" ref="R22:R33" si="10">IF(OR(P22=TRUE,T22=TRUE),TRUE,FALSE)</f>
        <v>1</v>
      </c>
      <c r="S22" s="182" t="b">
        <f t="shared" ref="S22:S33" si="11">IF(OR(Q22=TRUE,T22=TRUE),TRUE,FALSE)</f>
        <v>0</v>
      </c>
      <c r="T22" s="181" t="b">
        <f>COUNTIF('New Items'!$A$1:$A$175,A22)&gt;0</f>
        <v>0</v>
      </c>
      <c r="U22" s="181" t="b">
        <f>COUNTIF(Discontinued!$A$1:$A$150,A22)&gt;0</f>
        <v>0</v>
      </c>
    </row>
    <row r="23" spans="1:21" s="8" customFormat="1" ht="11.25" x14ac:dyDescent="0.2">
      <c r="A23" s="152">
        <v>10130138</v>
      </c>
      <c r="B23" s="10" t="s">
        <v>4738</v>
      </c>
      <c r="C23" s="12" t="s">
        <v>3742</v>
      </c>
      <c r="D23" s="11" t="s">
        <v>4733</v>
      </c>
      <c r="E23" s="12" t="s">
        <v>771</v>
      </c>
      <c r="F23" s="13">
        <v>3</v>
      </c>
      <c r="G23" s="22">
        <f>Overview!$B$12</f>
        <v>14</v>
      </c>
      <c r="H23" s="23">
        <f>G23-I23</f>
        <v>14</v>
      </c>
      <c r="I23" s="23">
        <f>Overview!$E$12</f>
        <v>0</v>
      </c>
      <c r="J23" s="52">
        <f>I23/F23</f>
        <v>0</v>
      </c>
      <c r="K23" s="53">
        <f>Overview!$H$12</f>
        <v>0</v>
      </c>
      <c r="L23" s="54" t="e">
        <f>(K23-J23)/K23</f>
        <v>#DIV/0!</v>
      </c>
      <c r="M23" s="179"/>
      <c r="N23" s="179" t="s">
        <v>3736</v>
      </c>
      <c r="O23" s="141">
        <f>I23</f>
        <v>0</v>
      </c>
      <c r="P23" s="181" t="b">
        <f>COUNTIF('Facility Data'!$A$1:$A$1500,"*"&amp;A23&amp;"*")&gt;0</f>
        <v>1</v>
      </c>
      <c r="Q23" s="181" t="b">
        <f>COUNTIF('Account Data'!$A$1:$A$1000,"*"&amp;A23&amp;"*")&gt;0</f>
        <v>0</v>
      </c>
      <c r="R23" s="182" t="b">
        <f>IF(OR(P23=TRUE,T23=TRUE),TRUE,FALSE)</f>
        <v>1</v>
      </c>
      <c r="S23" s="182" t="b">
        <f>IF(OR(Q23=TRUE,T23=TRUE),TRUE,FALSE)</f>
        <v>0</v>
      </c>
      <c r="T23" s="181" t="b">
        <f>COUNTIF('New Items'!$A$1:$A$175,A23)&gt;0</f>
        <v>0</v>
      </c>
      <c r="U23" s="181" t="b">
        <f>COUNTIF(Discontinued!$A$1:$A$150,A23)&gt;0</f>
        <v>0</v>
      </c>
    </row>
    <row r="24" spans="1:21" s="8" customFormat="1" ht="11.25" x14ac:dyDescent="0.2">
      <c r="A24" s="152">
        <v>10130141</v>
      </c>
      <c r="B24" s="10" t="s">
        <v>3743</v>
      </c>
      <c r="C24" s="12" t="s">
        <v>3744</v>
      </c>
      <c r="D24" s="11" t="s">
        <v>645</v>
      </c>
      <c r="E24" s="12" t="s">
        <v>771</v>
      </c>
      <c r="F24" s="13">
        <v>3</v>
      </c>
      <c r="G24" s="22">
        <f>Overview!$B$12</f>
        <v>14</v>
      </c>
      <c r="H24" s="23">
        <f t="shared" si="6"/>
        <v>14</v>
      </c>
      <c r="I24" s="23">
        <f>Overview!$E$12</f>
        <v>0</v>
      </c>
      <c r="J24" s="52">
        <f t="shared" si="7"/>
        <v>0</v>
      </c>
      <c r="K24" s="53">
        <f>Overview!$H$12</f>
        <v>0</v>
      </c>
      <c r="L24" s="54" t="e">
        <f t="shared" si="8"/>
        <v>#DIV/0!</v>
      </c>
      <c r="M24" s="179" t="s">
        <v>4406</v>
      </c>
      <c r="N24" s="179" t="s">
        <v>3736</v>
      </c>
      <c r="O24" s="141">
        <f t="shared" si="9"/>
        <v>0</v>
      </c>
      <c r="P24" s="181" t="b">
        <f>COUNTIF('Facility Data'!$A$1:$A$1500,"*"&amp;A24&amp;"*")&gt;0</f>
        <v>1</v>
      </c>
      <c r="Q24" s="181" t="b">
        <f>COUNTIF('Account Data'!$A$1:$A$1000,"*"&amp;A24&amp;"*")&gt;0</f>
        <v>0</v>
      </c>
      <c r="R24" s="182" t="b">
        <f t="shared" si="10"/>
        <v>1</v>
      </c>
      <c r="S24" s="182" t="b">
        <f t="shared" si="11"/>
        <v>0</v>
      </c>
      <c r="T24" s="181" t="b">
        <f>COUNTIF('New Items'!$A$1:$A$175,A24)&gt;0</f>
        <v>0</v>
      </c>
      <c r="U24" s="181" t="b">
        <f>COUNTIF(Discontinued!$A$1:$A$150,A24)&gt;0</f>
        <v>0</v>
      </c>
    </row>
    <row r="25" spans="1:21" s="8" customFormat="1" ht="11.25" x14ac:dyDescent="0.2">
      <c r="A25" s="152">
        <v>10130139</v>
      </c>
      <c r="B25" s="10" t="s">
        <v>3754</v>
      </c>
      <c r="C25" s="12" t="s">
        <v>3755</v>
      </c>
      <c r="D25" s="11" t="s">
        <v>640</v>
      </c>
      <c r="E25" s="12" t="s">
        <v>771</v>
      </c>
      <c r="F25" s="13">
        <v>3</v>
      </c>
      <c r="G25" s="22">
        <f>Overview!$B$12</f>
        <v>14</v>
      </c>
      <c r="H25" s="23">
        <f t="shared" si="6"/>
        <v>14</v>
      </c>
      <c r="I25" s="23">
        <f>Overview!$E$12</f>
        <v>0</v>
      </c>
      <c r="J25" s="52">
        <f t="shared" si="7"/>
        <v>0</v>
      </c>
      <c r="K25" s="53">
        <f>Overview!$H$12</f>
        <v>0</v>
      </c>
      <c r="L25" s="54" t="e">
        <f t="shared" si="8"/>
        <v>#DIV/0!</v>
      </c>
      <c r="M25" s="179"/>
      <c r="N25" s="179" t="s">
        <v>3736</v>
      </c>
      <c r="O25" s="141">
        <f t="shared" si="9"/>
        <v>0</v>
      </c>
      <c r="P25" s="181" t="b">
        <f>COUNTIF('Facility Data'!$A$1:$A$1500,"*"&amp;A25&amp;"*")&gt;0</f>
        <v>1</v>
      </c>
      <c r="Q25" s="181" t="b">
        <f>COUNTIF('Account Data'!$A$1:$A$1000,"*"&amp;A25&amp;"*")&gt;0</f>
        <v>0</v>
      </c>
      <c r="R25" s="182" t="b">
        <f t="shared" si="10"/>
        <v>1</v>
      </c>
      <c r="S25" s="182" t="b">
        <f t="shared" si="11"/>
        <v>0</v>
      </c>
      <c r="T25" s="181" t="b">
        <f>COUNTIF('New Items'!$A$1:$A$175,A25)&gt;0</f>
        <v>0</v>
      </c>
      <c r="U25" s="181" t="b">
        <f>COUNTIF(Discontinued!$A$1:$A$150,A25)&gt;0</f>
        <v>0</v>
      </c>
    </row>
    <row r="26" spans="1:21" s="8" customFormat="1" ht="11.25" x14ac:dyDescent="0.2">
      <c r="A26" s="152">
        <v>10128316</v>
      </c>
      <c r="B26" s="10" t="s">
        <v>3747</v>
      </c>
      <c r="C26" s="12" t="s">
        <v>3902</v>
      </c>
      <c r="D26" s="11" t="s">
        <v>652</v>
      </c>
      <c r="E26" s="12" t="s">
        <v>771</v>
      </c>
      <c r="F26" s="13">
        <v>3</v>
      </c>
      <c r="G26" s="22">
        <f>Overview!$B$12</f>
        <v>14</v>
      </c>
      <c r="H26" s="23">
        <f t="shared" si="6"/>
        <v>14</v>
      </c>
      <c r="I26" s="23">
        <f>Overview!$E$12</f>
        <v>0</v>
      </c>
      <c r="J26" s="52">
        <f t="shared" si="7"/>
        <v>0</v>
      </c>
      <c r="K26" s="53">
        <f>Overview!$H$12</f>
        <v>0</v>
      </c>
      <c r="L26" s="54" t="e">
        <f t="shared" si="8"/>
        <v>#DIV/0!</v>
      </c>
      <c r="M26" s="179"/>
      <c r="N26" s="179" t="s">
        <v>3736</v>
      </c>
      <c r="O26" s="141">
        <f t="shared" si="9"/>
        <v>0</v>
      </c>
      <c r="P26" s="181" t="b">
        <f>COUNTIF('Facility Data'!$A$1:$A$1500,"*"&amp;A26&amp;"*")&gt;0</f>
        <v>1</v>
      </c>
      <c r="Q26" s="181" t="b">
        <f>COUNTIF('Account Data'!$A$1:$A$1000,"*"&amp;A26&amp;"*")&gt;0</f>
        <v>0</v>
      </c>
      <c r="R26" s="182" t="b">
        <f t="shared" si="10"/>
        <v>1</v>
      </c>
      <c r="S26" s="182" t="b">
        <f t="shared" si="11"/>
        <v>0</v>
      </c>
      <c r="T26" s="181" t="b">
        <f>COUNTIF('New Items'!$A$1:$A$175,A26)&gt;0</f>
        <v>0</v>
      </c>
      <c r="U26" s="181" t="b">
        <f>COUNTIF(Discontinued!$A$1:$A$150,A26)&gt;0</f>
        <v>0</v>
      </c>
    </row>
    <row r="27" spans="1:21" s="8" customFormat="1" ht="11.25" x14ac:dyDescent="0.2">
      <c r="A27" s="152">
        <v>10130140</v>
      </c>
      <c r="B27" s="10" t="s">
        <v>4739</v>
      </c>
      <c r="C27" s="12" t="s">
        <v>3749</v>
      </c>
      <c r="D27" s="11" t="s">
        <v>4737</v>
      </c>
      <c r="E27" s="12" t="s">
        <v>771</v>
      </c>
      <c r="F27" s="13">
        <v>3</v>
      </c>
      <c r="G27" s="22">
        <f>Overview!$B$12</f>
        <v>14</v>
      </c>
      <c r="H27" s="23">
        <f t="shared" si="6"/>
        <v>14</v>
      </c>
      <c r="I27" s="23">
        <f>Overview!$E$12</f>
        <v>0</v>
      </c>
      <c r="J27" s="52">
        <f t="shared" si="7"/>
        <v>0</v>
      </c>
      <c r="K27" s="53">
        <f>Overview!$H$12</f>
        <v>0</v>
      </c>
      <c r="L27" s="54" t="e">
        <f t="shared" si="8"/>
        <v>#DIV/0!</v>
      </c>
      <c r="M27" s="179"/>
      <c r="N27" s="179" t="s">
        <v>3736</v>
      </c>
      <c r="O27" s="141">
        <f t="shared" si="9"/>
        <v>0</v>
      </c>
      <c r="P27" s="181" t="b">
        <f>COUNTIF('Facility Data'!$A$1:$A$1500,"*"&amp;A27&amp;"*")&gt;0</f>
        <v>0</v>
      </c>
      <c r="Q27" s="181" t="b">
        <f>COUNTIF('Account Data'!$A$1:$A$1000,"*"&amp;A27&amp;"*")&gt;0</f>
        <v>0</v>
      </c>
      <c r="R27" s="182" t="b">
        <f t="shared" si="10"/>
        <v>0</v>
      </c>
      <c r="S27" s="182" t="b">
        <f t="shared" si="11"/>
        <v>0</v>
      </c>
      <c r="T27" s="181" t="b">
        <f>COUNTIF('New Items'!$A$1:$A$175,A27)&gt;0</f>
        <v>0</v>
      </c>
      <c r="U27" s="181" t="b">
        <f>COUNTIF(Discontinued!$A$1:$A$150,A27)&gt;0</f>
        <v>0</v>
      </c>
    </row>
    <row r="28" spans="1:21" s="8" customFormat="1" ht="11.25" x14ac:dyDescent="0.2">
      <c r="A28" s="152">
        <v>10130158</v>
      </c>
      <c r="B28" s="10" t="s">
        <v>4063</v>
      </c>
      <c r="C28" s="12" t="s">
        <v>3738</v>
      </c>
      <c r="D28" s="11" t="s">
        <v>631</v>
      </c>
      <c r="E28" s="12" t="s">
        <v>771</v>
      </c>
      <c r="F28" s="13">
        <v>3</v>
      </c>
      <c r="G28" s="22">
        <f>Overview!$B$12</f>
        <v>14</v>
      </c>
      <c r="H28" s="23">
        <f t="shared" si="6"/>
        <v>14</v>
      </c>
      <c r="I28" s="23">
        <f>Overview!$E$12</f>
        <v>0</v>
      </c>
      <c r="J28" s="52">
        <f t="shared" si="7"/>
        <v>0</v>
      </c>
      <c r="K28" s="53">
        <f>Overview!$H$12</f>
        <v>0</v>
      </c>
      <c r="L28" s="54" t="e">
        <f t="shared" si="8"/>
        <v>#DIV/0!</v>
      </c>
      <c r="M28" s="179" t="s">
        <v>951</v>
      </c>
      <c r="N28" s="179" t="s">
        <v>3736</v>
      </c>
      <c r="O28" s="141">
        <f t="shared" si="9"/>
        <v>0</v>
      </c>
      <c r="P28" s="181" t="b">
        <f>COUNTIF('Facility Data'!$A$1:$A$1500,"*"&amp;A28&amp;"*")&gt;0</f>
        <v>0</v>
      </c>
      <c r="Q28" s="181" t="b">
        <f>COUNTIF('Account Data'!$A$1:$A$1000,"*"&amp;A28&amp;"*")&gt;0</f>
        <v>0</v>
      </c>
      <c r="R28" s="182" t="b">
        <f t="shared" si="10"/>
        <v>0</v>
      </c>
      <c r="S28" s="182" t="b">
        <f t="shared" si="11"/>
        <v>0</v>
      </c>
      <c r="T28" s="181" t="b">
        <f>COUNTIF('New Items'!$A$1:$A$175,A28)&gt;0</f>
        <v>0</v>
      </c>
      <c r="U28" s="181" t="b">
        <f>COUNTIF(Discontinued!$A$1:$A$150,A28)&gt;0</f>
        <v>0</v>
      </c>
    </row>
    <row r="29" spans="1:21" s="8" customFormat="1" ht="11.25" x14ac:dyDescent="0.2">
      <c r="A29" s="152">
        <v>10128313</v>
      </c>
      <c r="B29" s="10" t="s">
        <v>3737</v>
      </c>
      <c r="C29" s="12" t="s">
        <v>3901</v>
      </c>
      <c r="D29" s="11" t="s">
        <v>629</v>
      </c>
      <c r="E29" s="12" t="s">
        <v>771</v>
      </c>
      <c r="F29" s="13">
        <v>3</v>
      </c>
      <c r="G29" s="22">
        <f>Overview!$B$12</f>
        <v>14</v>
      </c>
      <c r="H29" s="23">
        <f t="shared" si="6"/>
        <v>14</v>
      </c>
      <c r="I29" s="23">
        <f>Overview!$E$12</f>
        <v>0</v>
      </c>
      <c r="J29" s="52">
        <f t="shared" si="7"/>
        <v>0</v>
      </c>
      <c r="K29" s="53">
        <f>Overview!$H$12</f>
        <v>0</v>
      </c>
      <c r="L29" s="54" t="e">
        <f t="shared" si="8"/>
        <v>#DIV/0!</v>
      </c>
      <c r="M29" s="179" t="s">
        <v>951</v>
      </c>
      <c r="N29" s="179" t="s">
        <v>3736</v>
      </c>
      <c r="O29" s="141">
        <f t="shared" si="9"/>
        <v>0</v>
      </c>
      <c r="P29" s="181" t="b">
        <f>COUNTIF('Facility Data'!$A$1:$A$1500,"*"&amp;A29&amp;"*")&gt;0</f>
        <v>0</v>
      </c>
      <c r="Q29" s="181" t="b">
        <f>COUNTIF('Account Data'!$A$1:$A$1000,"*"&amp;A29&amp;"*")&gt;0</f>
        <v>0</v>
      </c>
      <c r="R29" s="182" t="b">
        <f t="shared" si="10"/>
        <v>0</v>
      </c>
      <c r="S29" s="182" t="b">
        <f t="shared" si="11"/>
        <v>0</v>
      </c>
      <c r="T29" s="181" t="b">
        <f>COUNTIF('New Items'!$A$1:$A$175,A29)&gt;0</f>
        <v>0</v>
      </c>
      <c r="U29" s="181" t="b">
        <f>COUNTIF(Discontinued!$A$1:$A$150,A29)&gt;0</f>
        <v>0</v>
      </c>
    </row>
    <row r="30" spans="1:21" s="8" customFormat="1" ht="11.25" x14ac:dyDescent="0.2">
      <c r="A30" s="152">
        <v>10130143</v>
      </c>
      <c r="B30" s="10" t="s">
        <v>3756</v>
      </c>
      <c r="C30" s="12" t="s">
        <v>3757</v>
      </c>
      <c r="D30" s="11" t="s">
        <v>660</v>
      </c>
      <c r="E30" s="12" t="s">
        <v>771</v>
      </c>
      <c r="F30" s="13">
        <v>3</v>
      </c>
      <c r="G30" s="22">
        <f>Overview!$B$12</f>
        <v>14</v>
      </c>
      <c r="H30" s="23">
        <f t="shared" si="6"/>
        <v>14</v>
      </c>
      <c r="I30" s="23">
        <f>Overview!$E$12</f>
        <v>0</v>
      </c>
      <c r="J30" s="52">
        <f t="shared" si="7"/>
        <v>0</v>
      </c>
      <c r="K30" s="53">
        <f>Overview!$H$12</f>
        <v>0</v>
      </c>
      <c r="L30" s="54" t="e">
        <f t="shared" si="8"/>
        <v>#DIV/0!</v>
      </c>
      <c r="M30" s="249"/>
      <c r="N30" s="179" t="s">
        <v>3736</v>
      </c>
      <c r="O30" s="141">
        <f t="shared" si="9"/>
        <v>0</v>
      </c>
      <c r="P30" s="181" t="b">
        <f>COUNTIF('Facility Data'!$A$1:$A$1500,"*"&amp;A30&amp;"*")&gt;0</f>
        <v>0</v>
      </c>
      <c r="Q30" s="181" t="b">
        <f>COUNTIF('Account Data'!$A$1:$A$1000,"*"&amp;A30&amp;"*")&gt;0</f>
        <v>0</v>
      </c>
      <c r="R30" s="182" t="b">
        <f t="shared" si="10"/>
        <v>0</v>
      </c>
      <c r="S30" s="182" t="b">
        <f t="shared" si="11"/>
        <v>0</v>
      </c>
      <c r="T30" s="181" t="b">
        <f>COUNTIF('New Items'!$A$1:$A$175,A30)&gt;0</f>
        <v>0</v>
      </c>
      <c r="U30" s="181" t="b">
        <f>COUNTIF(Discontinued!$A$1:$A$150,A30)&gt;0</f>
        <v>0</v>
      </c>
    </row>
    <row r="31" spans="1:21" s="8" customFormat="1" ht="11.25" x14ac:dyDescent="0.2">
      <c r="A31" s="152">
        <v>10130144</v>
      </c>
      <c r="B31" s="10" t="s">
        <v>3752</v>
      </c>
      <c r="C31" s="12" t="s">
        <v>3753</v>
      </c>
      <c r="D31" s="11" t="s">
        <v>636</v>
      </c>
      <c r="E31" s="12" t="s">
        <v>771</v>
      </c>
      <c r="F31" s="13">
        <v>3</v>
      </c>
      <c r="G31" s="22">
        <f>Overview!$B$12</f>
        <v>14</v>
      </c>
      <c r="H31" s="23">
        <f t="shared" si="6"/>
        <v>14</v>
      </c>
      <c r="I31" s="23">
        <f>Overview!$E$12</f>
        <v>0</v>
      </c>
      <c r="J31" s="52">
        <f t="shared" si="7"/>
        <v>0</v>
      </c>
      <c r="K31" s="53">
        <f>Overview!$H$12</f>
        <v>0</v>
      </c>
      <c r="L31" s="54" t="e">
        <f t="shared" si="8"/>
        <v>#DIV/0!</v>
      </c>
      <c r="M31" s="179" t="s">
        <v>4370</v>
      </c>
      <c r="N31" s="179" t="s">
        <v>3736</v>
      </c>
      <c r="O31" s="141">
        <f t="shared" si="9"/>
        <v>0</v>
      </c>
      <c r="P31" s="181" t="b">
        <f>COUNTIF('Facility Data'!$A$1:$A$1500,"*"&amp;A31&amp;"*")&gt;0</f>
        <v>1</v>
      </c>
      <c r="Q31" s="181" t="b">
        <f>COUNTIF('Account Data'!$A$1:$A$1000,"*"&amp;A31&amp;"*")&gt;0</f>
        <v>0</v>
      </c>
      <c r="R31" s="182" t="b">
        <f t="shared" si="10"/>
        <v>1</v>
      </c>
      <c r="S31" s="182" t="b">
        <f t="shared" si="11"/>
        <v>0</v>
      </c>
      <c r="T31" s="181" t="b">
        <f>COUNTIF('New Items'!$A$1:$A$175,A31)&gt;0</f>
        <v>0</v>
      </c>
      <c r="U31" s="181" t="b">
        <f>COUNTIF(Discontinued!$A$1:$A$150,A31)&gt;0</f>
        <v>0</v>
      </c>
    </row>
    <row r="32" spans="1:21" s="8" customFormat="1" ht="11.25" x14ac:dyDescent="0.2">
      <c r="A32" s="152">
        <v>10130142</v>
      </c>
      <c r="B32" s="10" t="s">
        <v>3745</v>
      </c>
      <c r="C32" s="12" t="s">
        <v>3746</v>
      </c>
      <c r="D32" s="11" t="s">
        <v>650</v>
      </c>
      <c r="E32" s="12" t="s">
        <v>771</v>
      </c>
      <c r="F32" s="13">
        <v>3</v>
      </c>
      <c r="G32" s="22">
        <f>Overview!$B$12</f>
        <v>14</v>
      </c>
      <c r="H32" s="23">
        <f t="shared" si="6"/>
        <v>14</v>
      </c>
      <c r="I32" s="23">
        <f>Overview!$E$12</f>
        <v>0</v>
      </c>
      <c r="J32" s="52">
        <f t="shared" si="7"/>
        <v>0</v>
      </c>
      <c r="K32" s="53">
        <f>Overview!$H$12</f>
        <v>0</v>
      </c>
      <c r="L32" s="54" t="e">
        <f t="shared" si="8"/>
        <v>#DIV/0!</v>
      </c>
      <c r="M32" s="179" t="s">
        <v>4369</v>
      </c>
      <c r="N32" s="179" t="s">
        <v>3736</v>
      </c>
      <c r="O32" s="141">
        <f t="shared" si="9"/>
        <v>0</v>
      </c>
      <c r="P32" s="181" t="b">
        <f>COUNTIF('Facility Data'!$A$1:$A$1500,"*"&amp;A32&amp;"*")&gt;0</f>
        <v>1</v>
      </c>
      <c r="Q32" s="181" t="b">
        <f>COUNTIF('Account Data'!$A$1:$A$1000,"*"&amp;A32&amp;"*")&gt;0</f>
        <v>0</v>
      </c>
      <c r="R32" s="182" t="b">
        <f t="shared" si="10"/>
        <v>1</v>
      </c>
      <c r="S32" s="182" t="b">
        <f t="shared" si="11"/>
        <v>0</v>
      </c>
      <c r="T32" s="181" t="b">
        <f>COUNTIF('New Items'!$A$1:$A$175,A32)&gt;0</f>
        <v>0</v>
      </c>
      <c r="U32" s="181" t="b">
        <f>COUNTIF(Discontinued!$A$1:$A$150,A32)&gt;0</f>
        <v>0</v>
      </c>
    </row>
    <row r="33" spans="1:21" s="8" customFormat="1" ht="12" thickBot="1" x14ac:dyDescent="0.25">
      <c r="A33" s="152">
        <v>10130137</v>
      </c>
      <c r="B33" s="10" t="s">
        <v>3750</v>
      </c>
      <c r="C33" s="12" t="s">
        <v>3751</v>
      </c>
      <c r="D33" s="11" t="s">
        <v>4116</v>
      </c>
      <c r="E33" s="12" t="s">
        <v>771</v>
      </c>
      <c r="F33" s="13">
        <v>3</v>
      </c>
      <c r="G33" s="22">
        <f>Overview!$B$12</f>
        <v>14</v>
      </c>
      <c r="H33" s="23">
        <f t="shared" si="6"/>
        <v>14</v>
      </c>
      <c r="I33" s="23">
        <f>Overview!$E$12</f>
        <v>0</v>
      </c>
      <c r="J33" s="52">
        <f t="shared" si="7"/>
        <v>0</v>
      </c>
      <c r="K33" s="53">
        <f>Overview!$H$12</f>
        <v>0</v>
      </c>
      <c r="L33" s="54" t="e">
        <f t="shared" si="8"/>
        <v>#DIV/0!</v>
      </c>
      <c r="M33" s="179" t="s">
        <v>953</v>
      </c>
      <c r="N33" s="179" t="s">
        <v>3736</v>
      </c>
      <c r="O33" s="141">
        <f t="shared" si="9"/>
        <v>0</v>
      </c>
      <c r="P33" s="181" t="b">
        <f>COUNTIF('Facility Data'!$A$1:$A$1500,"*"&amp;A33&amp;"*")&gt;0</f>
        <v>0</v>
      </c>
      <c r="Q33" s="181" t="b">
        <f>COUNTIF('Account Data'!$A$1:$A$1000,"*"&amp;A33&amp;"*")&gt;0</f>
        <v>0</v>
      </c>
      <c r="R33" s="182" t="b">
        <f t="shared" si="10"/>
        <v>0</v>
      </c>
      <c r="S33" s="182" t="b">
        <f t="shared" si="11"/>
        <v>0</v>
      </c>
      <c r="T33" s="181" t="b">
        <f>COUNTIF('New Items'!$A$1:$A$175,A33)&gt;0</f>
        <v>0</v>
      </c>
      <c r="U33" s="181" t="b">
        <f>COUNTIF(Discontinued!$A$1:$A$150,A33)&gt;0</f>
        <v>0</v>
      </c>
    </row>
    <row r="34" spans="1:21" s="8" customFormat="1" ht="13.5" thickBot="1" x14ac:dyDescent="0.25">
      <c r="A34" s="300" t="s">
        <v>3020</v>
      </c>
      <c r="B34" s="301"/>
      <c r="C34" s="301"/>
      <c r="D34" s="301"/>
      <c r="E34" s="301"/>
      <c r="F34" s="301"/>
      <c r="G34" s="301"/>
      <c r="H34" s="301"/>
      <c r="I34" s="301"/>
      <c r="J34" s="301"/>
      <c r="K34" s="301"/>
      <c r="L34" s="302"/>
      <c r="M34" s="179" t="s">
        <v>951</v>
      </c>
      <c r="N34" s="179" t="s">
        <v>3134</v>
      </c>
      <c r="O34" s="141">
        <f>AVERAGE(O35)</f>
        <v>0</v>
      </c>
      <c r="P34" s="181" t="b">
        <f t="shared" ref="P34:U34" si="12">COUNTIF(P35:P35,TRUE)&gt;0</f>
        <v>0</v>
      </c>
      <c r="Q34" s="181" t="b">
        <f t="shared" si="12"/>
        <v>0</v>
      </c>
      <c r="R34" s="181" t="b">
        <f t="shared" si="12"/>
        <v>0</v>
      </c>
      <c r="S34" s="181" t="b">
        <f t="shared" si="12"/>
        <v>0</v>
      </c>
      <c r="T34" s="181" t="b">
        <f t="shared" si="12"/>
        <v>0</v>
      </c>
      <c r="U34" s="181" t="b">
        <f t="shared" si="12"/>
        <v>0</v>
      </c>
    </row>
    <row r="35" spans="1:21" s="8" customFormat="1" ht="12" thickBot="1" x14ac:dyDescent="0.25">
      <c r="A35" s="152">
        <v>10030587</v>
      </c>
      <c r="B35" s="10" t="s">
        <v>3021</v>
      </c>
      <c r="C35" s="12" t="s">
        <v>3022</v>
      </c>
      <c r="D35" s="11" t="s">
        <v>3011</v>
      </c>
      <c r="E35" s="12" t="s">
        <v>786</v>
      </c>
      <c r="F35" s="13">
        <v>4</v>
      </c>
      <c r="G35" s="98">
        <f>Overview!$B$33</f>
        <v>25</v>
      </c>
      <c r="H35" s="99">
        <f>G35-I35</f>
        <v>25</v>
      </c>
      <c r="I35" s="99">
        <f>Overview!$E$33</f>
        <v>0</v>
      </c>
      <c r="J35" s="100">
        <f>I35/F35</f>
        <v>0</v>
      </c>
      <c r="K35" s="101">
        <f>Overview!$H$33</f>
        <v>0</v>
      </c>
      <c r="L35" s="102" t="e">
        <f>(K35-J35)/K35</f>
        <v>#DIV/0!</v>
      </c>
      <c r="M35" s="179" t="s">
        <v>951</v>
      </c>
      <c r="N35" s="179" t="s">
        <v>3134</v>
      </c>
      <c r="O35" s="141">
        <f>I35</f>
        <v>0</v>
      </c>
      <c r="P35" s="181" t="b">
        <f>COUNTIF('Facility Data'!$A$1:$A$1500,"*"&amp;A35&amp;"*")&gt;0</f>
        <v>0</v>
      </c>
      <c r="Q35" s="181" t="b">
        <f>COUNTIF('Account Data'!$A$1:$A$1000,"*"&amp;A35&amp;"*")&gt;0</f>
        <v>0</v>
      </c>
      <c r="R35" s="182" t="b">
        <f>IF(OR(P35=TRUE,T35=TRUE),TRUE,FALSE)</f>
        <v>0</v>
      </c>
      <c r="S35" s="182" t="b">
        <f>IF(OR(Q35=TRUE,T35=TRUE),TRUE,FALSE)</f>
        <v>0</v>
      </c>
      <c r="T35" s="181" t="b">
        <f>COUNTIF('New Items'!$A$1:$A$175,A35)&gt;0</f>
        <v>0</v>
      </c>
      <c r="U35" s="181" t="b">
        <f>COUNTIF(Discontinued!$A$1:$A$150,A35)&gt;0</f>
        <v>0</v>
      </c>
    </row>
    <row r="36" spans="1:21" s="8" customFormat="1" ht="13.5" thickBot="1" x14ac:dyDescent="0.25">
      <c r="A36" s="300" t="s">
        <v>281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2"/>
      <c r="M36" s="179"/>
      <c r="N36" s="179" t="s">
        <v>965</v>
      </c>
      <c r="O36" s="141">
        <f>AVERAGE(O37:O79)</f>
        <v>0</v>
      </c>
      <c r="P36" s="181" t="b">
        <f>COUNTIF(P37:P79,TRUE)&gt;0</f>
        <v>0</v>
      </c>
      <c r="Q36" s="181" t="b">
        <f>COUNTIF(Q37:Q79,TRUE)&gt;0</f>
        <v>0</v>
      </c>
      <c r="R36" s="181" t="b">
        <f>COUNTIF(R37:R79,TRUE)&gt;0</f>
        <v>0</v>
      </c>
      <c r="S36" s="181" t="b">
        <f>COUNTIF(S37:S79,TRUE)&gt;0</f>
        <v>0</v>
      </c>
      <c r="T36" s="181" t="b">
        <f>COUNTIF(T37:T79,TRUE)&gt;0</f>
        <v>0</v>
      </c>
      <c r="U36" s="249"/>
    </row>
    <row r="37" spans="1:21" s="8" customFormat="1" ht="11.25" x14ac:dyDescent="0.2">
      <c r="A37" s="152">
        <v>10000759</v>
      </c>
      <c r="B37" s="10" t="s">
        <v>108</v>
      </c>
      <c r="C37" s="12" t="s">
        <v>113</v>
      </c>
      <c r="D37" s="11" t="s">
        <v>643</v>
      </c>
      <c r="E37" s="12" t="s">
        <v>769</v>
      </c>
      <c r="F37" s="13">
        <v>4</v>
      </c>
      <c r="G37" s="22">
        <f>Overview!$B$13</f>
        <v>14</v>
      </c>
      <c r="H37" s="23">
        <f t="shared" ref="H37:H79" si="13">G37-I37</f>
        <v>14</v>
      </c>
      <c r="I37" s="23">
        <f>Overview!$E$13</f>
        <v>0</v>
      </c>
      <c r="J37" s="52">
        <f t="shared" ref="J37:J79" si="14">I37/F37</f>
        <v>0</v>
      </c>
      <c r="K37" s="53">
        <f>Overview!$H$13</f>
        <v>0</v>
      </c>
      <c r="L37" s="54" t="e">
        <f t="shared" ref="L37:L79" si="15">(K37-J37)/K37</f>
        <v>#DIV/0!</v>
      </c>
      <c r="M37" s="179"/>
      <c r="N37" s="179" t="s">
        <v>965</v>
      </c>
      <c r="O37" s="141">
        <f t="shared" ref="O37:O79" si="16">I37</f>
        <v>0</v>
      </c>
      <c r="P37" s="181" t="b">
        <f>COUNTIF('Facility Data'!$A$1:$A$1500,"*"&amp;A37&amp;"*")&gt;0</f>
        <v>0</v>
      </c>
      <c r="Q37" s="181" t="b">
        <f>COUNTIF('Account Data'!$A$1:$A$1000,"*"&amp;A37&amp;"*")&gt;0</f>
        <v>0</v>
      </c>
      <c r="R37" s="182" t="b">
        <f t="shared" ref="R37:R79" si="17">IF(OR(P37=TRUE,T37=TRUE),TRUE,FALSE)</f>
        <v>0</v>
      </c>
      <c r="S37" s="182" t="b">
        <f t="shared" ref="S37:S79" si="18">IF(OR(Q37=TRUE,T37=TRUE),TRUE,FALSE)</f>
        <v>0</v>
      </c>
      <c r="T37" s="181" t="b">
        <f>COUNTIF('New Items'!$A$1:$A$175,A37)&gt;0</f>
        <v>0</v>
      </c>
      <c r="U37" s="181" t="b">
        <f>COUNTIF(Discontinued!$A$1:$A$150,A37)&gt;0</f>
        <v>0</v>
      </c>
    </row>
    <row r="38" spans="1:21" s="8" customFormat="1" ht="11.25" x14ac:dyDescent="0.2">
      <c r="A38" s="152">
        <v>10097402</v>
      </c>
      <c r="B38" s="10" t="s">
        <v>2871</v>
      </c>
      <c r="C38" s="12" t="s">
        <v>113</v>
      </c>
      <c r="D38" s="11" t="s">
        <v>2872</v>
      </c>
      <c r="E38" s="12" t="s">
        <v>769</v>
      </c>
      <c r="F38" s="13">
        <v>4</v>
      </c>
      <c r="G38" s="22">
        <f>Overview!$B$13</f>
        <v>14</v>
      </c>
      <c r="H38" s="23">
        <f t="shared" si="13"/>
        <v>14</v>
      </c>
      <c r="I38" s="23">
        <f>Overview!$E$13</f>
        <v>0</v>
      </c>
      <c r="J38" s="52">
        <f t="shared" si="14"/>
        <v>0</v>
      </c>
      <c r="K38" s="53">
        <f>Overview!$H$13</f>
        <v>0</v>
      </c>
      <c r="L38" s="54" t="e">
        <f t="shared" si="15"/>
        <v>#DIV/0!</v>
      </c>
      <c r="M38" s="179"/>
      <c r="N38" s="179" t="s">
        <v>965</v>
      </c>
      <c r="O38" s="141">
        <f t="shared" si="16"/>
        <v>0</v>
      </c>
      <c r="P38" s="181" t="b">
        <f>COUNTIF('Facility Data'!$A$1:$A$1500,"*"&amp;A38&amp;"*")&gt;0</f>
        <v>0</v>
      </c>
      <c r="Q38" s="181" t="b">
        <f>COUNTIF('Account Data'!$A$1:$A$1000,"*"&amp;A38&amp;"*")&gt;0</f>
        <v>0</v>
      </c>
      <c r="R38" s="182" t="b">
        <f t="shared" si="17"/>
        <v>0</v>
      </c>
      <c r="S38" s="182" t="b">
        <f t="shared" si="18"/>
        <v>0</v>
      </c>
      <c r="T38" s="181" t="b">
        <f>COUNTIF('New Items'!$A$1:$A$175,A38)&gt;0</f>
        <v>0</v>
      </c>
      <c r="U38" s="181" t="b">
        <f>COUNTIF(Discontinued!$A$1:$A$150,A38)&gt;0</f>
        <v>0</v>
      </c>
    </row>
    <row r="39" spans="1:21" s="8" customFormat="1" ht="11.25" x14ac:dyDescent="0.2">
      <c r="A39" s="152">
        <v>10000154</v>
      </c>
      <c r="B39" s="10" t="s">
        <v>2873</v>
      </c>
      <c r="C39" s="12" t="s">
        <v>113</v>
      </c>
      <c r="D39" s="11" t="s">
        <v>2874</v>
      </c>
      <c r="E39" s="12" t="s">
        <v>769</v>
      </c>
      <c r="F39" s="13">
        <v>4</v>
      </c>
      <c r="G39" s="22">
        <f>Overview!$B$13</f>
        <v>14</v>
      </c>
      <c r="H39" s="23">
        <f t="shared" si="13"/>
        <v>14</v>
      </c>
      <c r="I39" s="23">
        <f>Overview!$E$13</f>
        <v>0</v>
      </c>
      <c r="J39" s="52">
        <f t="shared" si="14"/>
        <v>0</v>
      </c>
      <c r="K39" s="53">
        <f>Overview!$H$13</f>
        <v>0</v>
      </c>
      <c r="L39" s="54" t="e">
        <f t="shared" si="15"/>
        <v>#DIV/0!</v>
      </c>
      <c r="M39" s="179"/>
      <c r="N39" s="179" t="s">
        <v>965</v>
      </c>
      <c r="O39" s="141">
        <f t="shared" si="16"/>
        <v>0</v>
      </c>
      <c r="P39" s="181" t="b">
        <f>COUNTIF('Facility Data'!$A$1:$A$1500,"*"&amp;A39&amp;"*")&gt;0</f>
        <v>0</v>
      </c>
      <c r="Q39" s="181" t="b">
        <f>COUNTIF('Account Data'!$A$1:$A$1000,"*"&amp;A39&amp;"*")&gt;0</f>
        <v>0</v>
      </c>
      <c r="R39" s="182" t="b">
        <f t="shared" si="17"/>
        <v>0</v>
      </c>
      <c r="S39" s="182" t="b">
        <f t="shared" si="18"/>
        <v>0</v>
      </c>
      <c r="T39" s="181" t="b">
        <f>COUNTIF('New Items'!$A$1:$A$175,A39)&gt;0</f>
        <v>0</v>
      </c>
      <c r="U39" s="181" t="b">
        <f>COUNTIF(Discontinued!$A$1:$A$150,A39)&gt;0</f>
        <v>0</v>
      </c>
    </row>
    <row r="40" spans="1:21" s="8" customFormat="1" ht="11.25" x14ac:dyDescent="0.2">
      <c r="A40" s="152">
        <v>10000760</v>
      </c>
      <c r="B40" s="10" t="s">
        <v>4741</v>
      </c>
      <c r="C40" s="12" t="s">
        <v>1520</v>
      </c>
      <c r="D40" s="11" t="s">
        <v>4733</v>
      </c>
      <c r="E40" s="12" t="s">
        <v>769</v>
      </c>
      <c r="F40" s="13">
        <v>4</v>
      </c>
      <c r="G40" s="22">
        <f>Overview!$B$13</f>
        <v>14</v>
      </c>
      <c r="H40" s="23">
        <f>G40-I40</f>
        <v>14</v>
      </c>
      <c r="I40" s="23">
        <f>Overview!$E$13</f>
        <v>0</v>
      </c>
      <c r="J40" s="52">
        <f>I40/F40</f>
        <v>0</v>
      </c>
      <c r="K40" s="53">
        <f>Overview!$H$13</f>
        <v>0</v>
      </c>
      <c r="L40" s="54" t="e">
        <f>(K40-J40)/K40</f>
        <v>#DIV/0!</v>
      </c>
      <c r="M40" s="179"/>
      <c r="N40" s="179" t="s">
        <v>965</v>
      </c>
      <c r="O40" s="141">
        <f>I40</f>
        <v>0</v>
      </c>
      <c r="P40" s="181" t="b">
        <f>COUNTIF('Facility Data'!$A$1:$A$1500,"*"&amp;A40&amp;"*")&gt;0</f>
        <v>0</v>
      </c>
      <c r="Q40" s="181" t="b">
        <f>COUNTIF('Account Data'!$A$1:$A$1000,"*"&amp;A40&amp;"*")&gt;0</f>
        <v>0</v>
      </c>
      <c r="R40" s="182" t="b">
        <f>IF(OR(P40=TRUE,T40=TRUE),TRUE,FALSE)</f>
        <v>0</v>
      </c>
      <c r="S40" s="182" t="b">
        <f>IF(OR(Q40=TRUE,T40=TRUE),TRUE,FALSE)</f>
        <v>0</v>
      </c>
      <c r="T40" s="181" t="b">
        <f>COUNTIF('New Items'!$A$1:$A$175,A40)&gt;0</f>
        <v>0</v>
      </c>
      <c r="U40" s="181" t="b">
        <f>COUNTIF(Discontinued!$A$1:$A$150,A40)&gt;0</f>
        <v>0</v>
      </c>
    </row>
    <row r="41" spans="1:21" s="8" customFormat="1" ht="11.25" x14ac:dyDescent="0.2">
      <c r="A41" s="152">
        <v>10000155</v>
      </c>
      <c r="B41" s="10" t="s">
        <v>4784</v>
      </c>
      <c r="C41" s="12" t="s">
        <v>1520</v>
      </c>
      <c r="D41" s="11" t="s">
        <v>4783</v>
      </c>
      <c r="E41" s="12" t="s">
        <v>769</v>
      </c>
      <c r="F41" s="13">
        <v>4</v>
      </c>
      <c r="G41" s="22">
        <f>Overview!$B$13</f>
        <v>14</v>
      </c>
      <c r="H41" s="23">
        <f>G41-I41</f>
        <v>14</v>
      </c>
      <c r="I41" s="23">
        <f>Overview!$E$13</f>
        <v>0</v>
      </c>
      <c r="J41" s="52">
        <f>I41/F41</f>
        <v>0</v>
      </c>
      <c r="K41" s="53">
        <f>Overview!$H$13</f>
        <v>0</v>
      </c>
      <c r="L41" s="54" t="e">
        <f>(K41-J41)/K41</f>
        <v>#DIV/0!</v>
      </c>
      <c r="M41" s="179"/>
      <c r="N41" s="179" t="s">
        <v>965</v>
      </c>
      <c r="O41" s="141">
        <f>I41</f>
        <v>0</v>
      </c>
      <c r="P41" s="181" t="b">
        <f>COUNTIF('Facility Data'!$A$1:$A$1500,"*"&amp;A41&amp;"*")&gt;0</f>
        <v>0</v>
      </c>
      <c r="Q41" s="181" t="b">
        <f>COUNTIF('Account Data'!$A$1:$A$1000,"*"&amp;A41&amp;"*")&gt;0</f>
        <v>0</v>
      </c>
      <c r="R41" s="182" t="b">
        <f>IF(OR(P41=TRUE,T41=TRUE),TRUE,FALSE)</f>
        <v>0</v>
      </c>
      <c r="S41" s="182" t="b">
        <f>IF(OR(Q41=TRUE,T41=TRUE),TRUE,FALSE)</f>
        <v>0</v>
      </c>
      <c r="T41" s="181" t="b">
        <f>COUNTIF('New Items'!$A$1:$A$175,A41)&gt;0</f>
        <v>0</v>
      </c>
      <c r="U41" s="181" t="b">
        <f>COUNTIF(Discontinued!$A$1:$A$150,A41)&gt;0</f>
        <v>0</v>
      </c>
    </row>
    <row r="42" spans="1:21" s="8" customFormat="1" ht="11.25" x14ac:dyDescent="0.2">
      <c r="A42" s="152">
        <v>10000780</v>
      </c>
      <c r="B42" s="10" t="s">
        <v>107</v>
      </c>
      <c r="C42" s="12" t="s">
        <v>112</v>
      </c>
      <c r="D42" s="11" t="s">
        <v>645</v>
      </c>
      <c r="E42" s="12" t="s">
        <v>769</v>
      </c>
      <c r="F42" s="13">
        <v>4</v>
      </c>
      <c r="G42" s="22">
        <f>Overview!$B$13</f>
        <v>14</v>
      </c>
      <c r="H42" s="23">
        <f t="shared" si="13"/>
        <v>14</v>
      </c>
      <c r="I42" s="23">
        <f>Overview!$E$13</f>
        <v>0</v>
      </c>
      <c r="J42" s="52">
        <f t="shared" si="14"/>
        <v>0</v>
      </c>
      <c r="K42" s="53">
        <f>Overview!$H$13</f>
        <v>0</v>
      </c>
      <c r="L42" s="54" t="e">
        <f t="shared" si="15"/>
        <v>#DIV/0!</v>
      </c>
      <c r="M42" s="179" t="s">
        <v>4406</v>
      </c>
      <c r="N42" s="179" t="s">
        <v>965</v>
      </c>
      <c r="O42" s="141">
        <f t="shared" si="16"/>
        <v>0</v>
      </c>
      <c r="P42" s="181" t="b">
        <f>COUNTIF('Facility Data'!$A$1:$A$1500,"*"&amp;A42&amp;"*")&gt;0</f>
        <v>0</v>
      </c>
      <c r="Q42" s="181" t="b">
        <f>COUNTIF('Account Data'!$A$1:$A$1000,"*"&amp;A42&amp;"*")&gt;0</f>
        <v>0</v>
      </c>
      <c r="R42" s="182" t="b">
        <f t="shared" si="17"/>
        <v>0</v>
      </c>
      <c r="S42" s="182" t="b">
        <f t="shared" si="18"/>
        <v>0</v>
      </c>
      <c r="T42" s="181" t="b">
        <f>COUNTIF('New Items'!$A$1:$A$175,A42)&gt;0</f>
        <v>0</v>
      </c>
      <c r="U42" s="181" t="b">
        <f>COUNTIF(Discontinued!$A$1:$A$150,A42)&gt;0</f>
        <v>0</v>
      </c>
    </row>
    <row r="43" spans="1:21" s="8" customFormat="1" ht="11.25" x14ac:dyDescent="0.2">
      <c r="A43" s="152">
        <v>10097400</v>
      </c>
      <c r="B43" s="10" t="s">
        <v>2876</v>
      </c>
      <c r="C43" s="12" t="s">
        <v>112</v>
      </c>
      <c r="D43" s="11" t="s">
        <v>2877</v>
      </c>
      <c r="E43" s="12" t="s">
        <v>769</v>
      </c>
      <c r="F43" s="13">
        <v>4</v>
      </c>
      <c r="G43" s="22">
        <f>Overview!$B$13</f>
        <v>14</v>
      </c>
      <c r="H43" s="23">
        <f t="shared" si="13"/>
        <v>14</v>
      </c>
      <c r="I43" s="23">
        <f>Overview!$E$13</f>
        <v>0</v>
      </c>
      <c r="J43" s="52">
        <f t="shared" si="14"/>
        <v>0</v>
      </c>
      <c r="K43" s="53">
        <f>Overview!$H$13</f>
        <v>0</v>
      </c>
      <c r="L43" s="54" t="e">
        <f t="shared" si="15"/>
        <v>#DIV/0!</v>
      </c>
      <c r="M43" s="179" t="s">
        <v>4406</v>
      </c>
      <c r="N43" s="179" t="s">
        <v>965</v>
      </c>
      <c r="O43" s="141">
        <f t="shared" si="16"/>
        <v>0</v>
      </c>
      <c r="P43" s="181" t="b">
        <f>COUNTIF('Facility Data'!$A$1:$A$1500,"*"&amp;A43&amp;"*")&gt;0</f>
        <v>0</v>
      </c>
      <c r="Q43" s="181" t="b">
        <f>COUNTIF('Account Data'!$A$1:$A$1000,"*"&amp;A43&amp;"*")&gt;0</f>
        <v>0</v>
      </c>
      <c r="R43" s="182" t="b">
        <f t="shared" si="17"/>
        <v>0</v>
      </c>
      <c r="S43" s="182" t="b">
        <f t="shared" si="18"/>
        <v>0</v>
      </c>
      <c r="T43" s="181" t="b">
        <f>COUNTIF('New Items'!$A$1:$A$175,A43)&gt;0</f>
        <v>0</v>
      </c>
      <c r="U43" s="181" t="b">
        <f>COUNTIF(Discontinued!$A$1:$A$150,A43)&gt;0</f>
        <v>0</v>
      </c>
    </row>
    <row r="44" spans="1:21" s="8" customFormat="1" ht="11.25" x14ac:dyDescent="0.2">
      <c r="A44" s="152">
        <v>10000781</v>
      </c>
      <c r="B44" s="10" t="s">
        <v>4742</v>
      </c>
      <c r="C44" s="12" t="s">
        <v>2879</v>
      </c>
      <c r="D44" s="11" t="s">
        <v>4735</v>
      </c>
      <c r="E44" s="12" t="s">
        <v>769</v>
      </c>
      <c r="F44" s="13">
        <v>4</v>
      </c>
      <c r="G44" s="22">
        <f>Overview!$B$13</f>
        <v>14</v>
      </c>
      <c r="H44" s="23">
        <f>G44-I44</f>
        <v>14</v>
      </c>
      <c r="I44" s="23">
        <f>Overview!$E$13</f>
        <v>0</v>
      </c>
      <c r="J44" s="52">
        <f>I44/F44</f>
        <v>0</v>
      </c>
      <c r="K44" s="53">
        <f>Overview!$H$13</f>
        <v>0</v>
      </c>
      <c r="L44" s="54" t="e">
        <f>(K44-J44)/K44</f>
        <v>#DIV/0!</v>
      </c>
      <c r="M44" s="179" t="s">
        <v>4406</v>
      </c>
      <c r="N44" s="179" t="s">
        <v>965</v>
      </c>
      <c r="O44" s="141">
        <f>I44</f>
        <v>0</v>
      </c>
      <c r="P44" s="181" t="b">
        <f>COUNTIF('Facility Data'!$A$1:$A$1500,"*"&amp;A44&amp;"*")&gt;0</f>
        <v>0</v>
      </c>
      <c r="Q44" s="181" t="b">
        <f>COUNTIF('Account Data'!$A$1:$A$1000,"*"&amp;A44&amp;"*")&gt;0</f>
        <v>0</v>
      </c>
      <c r="R44" s="182" t="b">
        <f>IF(OR(P44=TRUE,T44=TRUE),TRUE,FALSE)</f>
        <v>0</v>
      </c>
      <c r="S44" s="182" t="b">
        <f>IF(OR(Q44=TRUE,T44=TRUE),TRUE,FALSE)</f>
        <v>0</v>
      </c>
      <c r="T44" s="181" t="b">
        <f>COUNTIF('New Items'!$A$1:$A$175,A44)&gt;0</f>
        <v>0</v>
      </c>
      <c r="U44" s="181" t="b">
        <f>COUNTIF(Discontinued!$A$1:$A$150,A44)&gt;0</f>
        <v>0</v>
      </c>
    </row>
    <row r="45" spans="1:21" s="8" customFormat="1" ht="11.25" x14ac:dyDescent="0.2">
      <c r="A45" s="152">
        <v>10000788</v>
      </c>
      <c r="B45" s="10" t="s">
        <v>1415</v>
      </c>
      <c r="C45" s="12" t="s">
        <v>1416</v>
      </c>
      <c r="D45" s="11" t="s">
        <v>640</v>
      </c>
      <c r="E45" s="12" t="s">
        <v>769</v>
      </c>
      <c r="F45" s="13">
        <v>4</v>
      </c>
      <c r="G45" s="22">
        <f>Overview!$B$13</f>
        <v>14</v>
      </c>
      <c r="H45" s="23">
        <f t="shared" si="13"/>
        <v>14</v>
      </c>
      <c r="I45" s="23">
        <f>Overview!$E$13</f>
        <v>0</v>
      </c>
      <c r="J45" s="52">
        <f t="shared" si="14"/>
        <v>0</v>
      </c>
      <c r="K45" s="53">
        <f>Overview!$H$13</f>
        <v>0</v>
      </c>
      <c r="L45" s="54" t="e">
        <f t="shared" si="15"/>
        <v>#DIV/0!</v>
      </c>
      <c r="M45" s="179"/>
      <c r="N45" s="179" t="s">
        <v>965</v>
      </c>
      <c r="O45" s="141">
        <f t="shared" si="16"/>
        <v>0</v>
      </c>
      <c r="P45" s="181" t="b">
        <f>COUNTIF('Facility Data'!$A$1:$A$1500,"*"&amp;A45&amp;"*")&gt;0</f>
        <v>0</v>
      </c>
      <c r="Q45" s="181" t="b">
        <f>COUNTIF('Account Data'!$A$1:$A$1000,"*"&amp;A45&amp;"*")&gt;0</f>
        <v>0</v>
      </c>
      <c r="R45" s="182" t="b">
        <f t="shared" si="17"/>
        <v>0</v>
      </c>
      <c r="S45" s="182" t="b">
        <f t="shared" si="18"/>
        <v>0</v>
      </c>
      <c r="T45" s="181" t="b">
        <f>COUNTIF('New Items'!$A$1:$A$175,A45)&gt;0</f>
        <v>0</v>
      </c>
      <c r="U45" s="181" t="b">
        <f>COUNTIF(Discontinued!$A$1:$A$150,A45)&gt;0</f>
        <v>0</v>
      </c>
    </row>
    <row r="46" spans="1:21" s="8" customFormat="1" ht="11.25" x14ac:dyDescent="0.2">
      <c r="A46" s="152">
        <v>10000810</v>
      </c>
      <c r="B46" s="10" t="s">
        <v>1613</v>
      </c>
      <c r="C46" s="12" t="s">
        <v>1614</v>
      </c>
      <c r="D46" s="11" t="s">
        <v>677</v>
      </c>
      <c r="E46" s="12" t="s">
        <v>769</v>
      </c>
      <c r="F46" s="13">
        <v>4</v>
      </c>
      <c r="G46" s="22">
        <f>Overview!$B$13</f>
        <v>14</v>
      </c>
      <c r="H46" s="23">
        <f t="shared" si="13"/>
        <v>14</v>
      </c>
      <c r="I46" s="23">
        <f>Overview!$E$13</f>
        <v>0</v>
      </c>
      <c r="J46" s="52">
        <f t="shared" si="14"/>
        <v>0</v>
      </c>
      <c r="K46" s="53">
        <f>Overview!$H$13</f>
        <v>0</v>
      </c>
      <c r="L46" s="54" t="e">
        <f t="shared" si="15"/>
        <v>#DIV/0!</v>
      </c>
      <c r="M46" s="179"/>
      <c r="N46" s="179" t="s">
        <v>965</v>
      </c>
      <c r="O46" s="141">
        <f t="shared" si="16"/>
        <v>0</v>
      </c>
      <c r="P46" s="181" t="b">
        <f>COUNTIF('Facility Data'!$A$1:$A$1500,"*"&amp;A46&amp;"*")&gt;0</f>
        <v>0</v>
      </c>
      <c r="Q46" s="181" t="b">
        <f>COUNTIF('Account Data'!$A$1:$A$1000,"*"&amp;A46&amp;"*")&gt;0</f>
        <v>0</v>
      </c>
      <c r="R46" s="182" t="b">
        <f t="shared" si="17"/>
        <v>0</v>
      </c>
      <c r="S46" s="182" t="b">
        <f t="shared" si="18"/>
        <v>0</v>
      </c>
      <c r="T46" s="181" t="b">
        <f>COUNTIF('New Items'!$A$1:$A$175,A46)&gt;0</f>
        <v>0</v>
      </c>
      <c r="U46" s="181" t="b">
        <f>COUNTIF(Discontinued!$A$1:$A$150,A46)&gt;0</f>
        <v>0</v>
      </c>
    </row>
    <row r="47" spans="1:21" s="8" customFormat="1" ht="11.25" x14ac:dyDescent="0.2">
      <c r="A47" s="152">
        <v>10086473</v>
      </c>
      <c r="B47" s="10" t="s">
        <v>1611</v>
      </c>
      <c r="C47" s="12" t="s">
        <v>1612</v>
      </c>
      <c r="D47" s="11" t="s">
        <v>653</v>
      </c>
      <c r="E47" s="12" t="s">
        <v>769</v>
      </c>
      <c r="F47" s="13">
        <v>4</v>
      </c>
      <c r="G47" s="22">
        <f>Overview!$B$13</f>
        <v>14</v>
      </c>
      <c r="H47" s="23">
        <f t="shared" si="13"/>
        <v>14</v>
      </c>
      <c r="I47" s="23">
        <f>Overview!$E$13</f>
        <v>0</v>
      </c>
      <c r="J47" s="52">
        <f t="shared" si="14"/>
        <v>0</v>
      </c>
      <c r="K47" s="53">
        <f>Overview!$H$13</f>
        <v>0</v>
      </c>
      <c r="L47" s="54" t="e">
        <f t="shared" si="15"/>
        <v>#DIV/0!</v>
      </c>
      <c r="M47" s="179"/>
      <c r="N47" s="179" t="s">
        <v>965</v>
      </c>
      <c r="O47" s="141">
        <f t="shared" si="16"/>
        <v>0</v>
      </c>
      <c r="P47" s="181" t="b">
        <f>COUNTIF('Facility Data'!$A$1:$A$1500,"*"&amp;A47&amp;"*")&gt;0</f>
        <v>0</v>
      </c>
      <c r="Q47" s="181" t="b">
        <f>COUNTIF('Account Data'!$A$1:$A$1000,"*"&amp;A47&amp;"*")&gt;0</f>
        <v>0</v>
      </c>
      <c r="R47" s="182" t="b">
        <f t="shared" si="17"/>
        <v>0</v>
      </c>
      <c r="S47" s="182" t="b">
        <f t="shared" si="18"/>
        <v>0</v>
      </c>
      <c r="T47" s="181" t="b">
        <f>COUNTIF('New Items'!$A$1:$A$175,A47)&gt;0</f>
        <v>0</v>
      </c>
      <c r="U47" s="181" t="b">
        <f>COUNTIF(Discontinued!$A$1:$A$150,A47)&gt;0</f>
        <v>0</v>
      </c>
    </row>
    <row r="48" spans="1:21" s="8" customFormat="1" ht="11.25" x14ac:dyDescent="0.2">
      <c r="A48" s="152">
        <v>10000809</v>
      </c>
      <c r="B48" s="10" t="s">
        <v>1409</v>
      </c>
      <c r="C48" s="12" t="s">
        <v>1410</v>
      </c>
      <c r="D48" s="11" t="s">
        <v>652</v>
      </c>
      <c r="E48" s="12" t="s">
        <v>769</v>
      </c>
      <c r="F48" s="13">
        <v>4</v>
      </c>
      <c r="G48" s="22">
        <f>Overview!$B$13</f>
        <v>14</v>
      </c>
      <c r="H48" s="23">
        <f t="shared" si="13"/>
        <v>14</v>
      </c>
      <c r="I48" s="23">
        <f>Overview!$E$13</f>
        <v>0</v>
      </c>
      <c r="J48" s="52">
        <f t="shared" si="14"/>
        <v>0</v>
      </c>
      <c r="K48" s="53">
        <f>Overview!$H$13</f>
        <v>0</v>
      </c>
      <c r="L48" s="54" t="e">
        <f t="shared" si="15"/>
        <v>#DIV/0!</v>
      </c>
      <c r="M48" s="179"/>
      <c r="N48" s="179" t="s">
        <v>965</v>
      </c>
      <c r="O48" s="141">
        <f t="shared" si="16"/>
        <v>0</v>
      </c>
      <c r="P48" s="181" t="b">
        <f>COUNTIF('Facility Data'!$A$1:$A$1500,"*"&amp;A48&amp;"*")&gt;0</f>
        <v>0</v>
      </c>
      <c r="Q48" s="181" t="b">
        <f>COUNTIF('Account Data'!$A$1:$A$1000,"*"&amp;A48&amp;"*")&gt;0</f>
        <v>0</v>
      </c>
      <c r="R48" s="182" t="b">
        <f t="shared" si="17"/>
        <v>0</v>
      </c>
      <c r="S48" s="182" t="b">
        <f t="shared" si="18"/>
        <v>0</v>
      </c>
      <c r="T48" s="181" t="b">
        <f>COUNTIF('New Items'!$A$1:$A$175,A48)&gt;0</f>
        <v>0</v>
      </c>
      <c r="U48" s="181" t="b">
        <f>COUNTIF(Discontinued!$A$1:$A$150,A48)&gt;0</f>
        <v>0</v>
      </c>
    </row>
    <row r="49" spans="1:21" s="8" customFormat="1" ht="11.25" x14ac:dyDescent="0.2">
      <c r="A49" s="152">
        <v>10115915</v>
      </c>
      <c r="B49" s="10" t="s">
        <v>3801</v>
      </c>
      <c r="C49" s="12" t="s">
        <v>3803</v>
      </c>
      <c r="D49" s="119" t="s">
        <v>796</v>
      </c>
      <c r="E49" s="12" t="s">
        <v>769</v>
      </c>
      <c r="F49" s="13">
        <v>4</v>
      </c>
      <c r="G49" s="22">
        <f>Overview!$B$13</f>
        <v>14</v>
      </c>
      <c r="H49" s="23">
        <f t="shared" si="13"/>
        <v>14</v>
      </c>
      <c r="I49" s="23">
        <f>Overview!$E$13</f>
        <v>0</v>
      </c>
      <c r="J49" s="52">
        <f t="shared" si="14"/>
        <v>0</v>
      </c>
      <c r="K49" s="53">
        <f>Overview!$H$13</f>
        <v>0</v>
      </c>
      <c r="L49" s="54" t="e">
        <f t="shared" si="15"/>
        <v>#DIV/0!</v>
      </c>
      <c r="M49" s="179"/>
      <c r="N49" s="179" t="s">
        <v>965</v>
      </c>
      <c r="O49" s="141">
        <f t="shared" si="16"/>
        <v>0</v>
      </c>
      <c r="P49" s="181" t="b">
        <f>COUNTIF('Facility Data'!$A$1:$A$1500,"*"&amp;A49&amp;"*")&gt;0</f>
        <v>0</v>
      </c>
      <c r="Q49" s="181" t="b">
        <f>COUNTIF('Account Data'!$A$1:$A$1000,"*"&amp;A49&amp;"*")&gt;0</f>
        <v>0</v>
      </c>
      <c r="R49" s="182" t="b">
        <f t="shared" si="17"/>
        <v>0</v>
      </c>
      <c r="S49" s="182" t="b">
        <f t="shared" si="18"/>
        <v>0</v>
      </c>
      <c r="T49" s="181" t="b">
        <f>COUNTIF('New Items'!$A$1:$A$175,A49)&gt;0</f>
        <v>0</v>
      </c>
      <c r="U49" s="181" t="b">
        <f>COUNTIF(Discontinued!$A$1:$A$150,A49)&gt;0</f>
        <v>0</v>
      </c>
    </row>
    <row r="50" spans="1:21" s="8" customFormat="1" ht="11.25" x14ac:dyDescent="0.2">
      <c r="A50" s="152">
        <v>10115916</v>
      </c>
      <c r="B50" s="10" t="s">
        <v>3802</v>
      </c>
      <c r="C50" s="12" t="s">
        <v>3804</v>
      </c>
      <c r="D50" s="119" t="s">
        <v>1058</v>
      </c>
      <c r="E50" s="12" t="s">
        <v>769</v>
      </c>
      <c r="F50" s="13">
        <v>4</v>
      </c>
      <c r="G50" s="22">
        <f>Overview!$B$13</f>
        <v>14</v>
      </c>
      <c r="H50" s="23">
        <f>G50-I50</f>
        <v>14</v>
      </c>
      <c r="I50" s="23">
        <f>Overview!$E$13</f>
        <v>0</v>
      </c>
      <c r="J50" s="52">
        <f>I50/F50</f>
        <v>0</v>
      </c>
      <c r="K50" s="53">
        <f>Overview!$H$13</f>
        <v>0</v>
      </c>
      <c r="L50" s="54" t="e">
        <f>(K50-J50)/K50</f>
        <v>#DIV/0!</v>
      </c>
      <c r="M50" s="179"/>
      <c r="N50" s="179" t="s">
        <v>965</v>
      </c>
      <c r="O50" s="141">
        <f>I50</f>
        <v>0</v>
      </c>
      <c r="P50" s="181" t="b">
        <f>COUNTIF('Facility Data'!$A$1:$A$1500,"*"&amp;A50&amp;"*")&gt;0</f>
        <v>0</v>
      </c>
      <c r="Q50" s="181" t="b">
        <f>COUNTIF('Account Data'!$A$1:$A$1000,"*"&amp;A50&amp;"*")&gt;0</f>
        <v>0</v>
      </c>
      <c r="R50" s="182" t="b">
        <f t="shared" si="17"/>
        <v>0</v>
      </c>
      <c r="S50" s="182" t="b">
        <f>IF(OR(Q50=TRUE,T50=TRUE),TRUE,FALSE)</f>
        <v>0</v>
      </c>
      <c r="T50" s="181" t="b">
        <f>COUNTIF('New Items'!$A$1:$A$175,A50)&gt;0</f>
        <v>0</v>
      </c>
      <c r="U50" s="181" t="b">
        <f>COUNTIF(Discontinued!$A$1:$A$150,A50)&gt;0</f>
        <v>0</v>
      </c>
    </row>
    <row r="51" spans="1:21" s="8" customFormat="1" ht="11.25" x14ac:dyDescent="0.2">
      <c r="A51" s="152">
        <v>10000147</v>
      </c>
      <c r="B51" s="10" t="s">
        <v>4743</v>
      </c>
      <c r="C51" s="12" t="s">
        <v>1610</v>
      </c>
      <c r="D51" s="11" t="s">
        <v>4737</v>
      </c>
      <c r="E51" s="12" t="s">
        <v>769</v>
      </c>
      <c r="F51" s="13">
        <v>4</v>
      </c>
      <c r="G51" s="22">
        <f>Overview!$B$13</f>
        <v>14</v>
      </c>
      <c r="H51" s="23">
        <f>G51-I51</f>
        <v>14</v>
      </c>
      <c r="I51" s="23">
        <f>Overview!$E$13</f>
        <v>0</v>
      </c>
      <c r="J51" s="52">
        <f>I51/F51</f>
        <v>0</v>
      </c>
      <c r="K51" s="53">
        <f>Overview!$H$13</f>
        <v>0</v>
      </c>
      <c r="L51" s="54" t="e">
        <f>(K51-J51)/K51</f>
        <v>#DIV/0!</v>
      </c>
      <c r="M51" s="179"/>
      <c r="N51" s="179" t="s">
        <v>965</v>
      </c>
      <c r="O51" s="141">
        <f>I51</f>
        <v>0</v>
      </c>
      <c r="P51" s="181" t="b">
        <f>COUNTIF('Facility Data'!$A$1:$A$1500,"*"&amp;A51&amp;"*")&gt;0</f>
        <v>0</v>
      </c>
      <c r="Q51" s="181" t="b">
        <f>COUNTIF('Account Data'!$A$1:$A$1000,"*"&amp;A51&amp;"*")&gt;0</f>
        <v>0</v>
      </c>
      <c r="R51" s="182" t="b">
        <f>IF(OR(P51=TRUE,T51=TRUE),TRUE,FALSE)</f>
        <v>0</v>
      </c>
      <c r="S51" s="182" t="b">
        <f>IF(OR(Q51=TRUE,T51=TRUE),TRUE,FALSE)</f>
        <v>0</v>
      </c>
      <c r="T51" s="181" t="b">
        <f>COUNTIF('New Items'!$A$1:$A$175,A51)&gt;0</f>
        <v>0</v>
      </c>
      <c r="U51" s="181" t="b">
        <f>COUNTIF(Discontinued!$A$1:$A$150,A51)&gt;0</f>
        <v>0</v>
      </c>
    </row>
    <row r="52" spans="1:21" s="8" customFormat="1" ht="11.25" x14ac:dyDescent="0.2">
      <c r="A52" s="152">
        <v>10000808</v>
      </c>
      <c r="B52" s="10" t="s">
        <v>1615</v>
      </c>
      <c r="C52" s="12" t="s">
        <v>1616</v>
      </c>
      <c r="D52" s="11" t="s">
        <v>675</v>
      </c>
      <c r="E52" s="12" t="s">
        <v>769</v>
      </c>
      <c r="F52" s="13">
        <v>4</v>
      </c>
      <c r="G52" s="22">
        <f>Overview!$B$13</f>
        <v>14</v>
      </c>
      <c r="H52" s="23">
        <f t="shared" si="13"/>
        <v>14</v>
      </c>
      <c r="I52" s="23">
        <f>Overview!$E$13</f>
        <v>0</v>
      </c>
      <c r="J52" s="52">
        <f t="shared" si="14"/>
        <v>0</v>
      </c>
      <c r="K52" s="53">
        <f>Overview!$H$13</f>
        <v>0</v>
      </c>
      <c r="L52" s="54" t="e">
        <f t="shared" si="15"/>
        <v>#DIV/0!</v>
      </c>
      <c r="M52" s="179"/>
      <c r="N52" s="179" t="s">
        <v>965</v>
      </c>
      <c r="O52" s="141">
        <f t="shared" si="16"/>
        <v>0</v>
      </c>
      <c r="P52" s="181" t="b">
        <f>COUNTIF('Facility Data'!$A$1:$A$1500,"*"&amp;A52&amp;"*")&gt;0</f>
        <v>0</v>
      </c>
      <c r="Q52" s="181" t="b">
        <f>COUNTIF('Account Data'!$A$1:$A$1000,"*"&amp;A52&amp;"*")&gt;0</f>
        <v>0</v>
      </c>
      <c r="R52" s="182" t="b">
        <f t="shared" si="17"/>
        <v>0</v>
      </c>
      <c r="S52" s="182" t="b">
        <f t="shared" si="18"/>
        <v>0</v>
      </c>
      <c r="T52" s="181" t="b">
        <f>COUNTIF('New Items'!$A$1:$A$175,A52)&gt;0</f>
        <v>0</v>
      </c>
      <c r="U52" s="181" t="b">
        <f>COUNTIF(Discontinued!$A$1:$A$150,A52)&gt;0</f>
        <v>0</v>
      </c>
    </row>
    <row r="53" spans="1:21" s="8" customFormat="1" ht="11.25" x14ac:dyDescent="0.2">
      <c r="A53" s="152">
        <v>10000818</v>
      </c>
      <c r="B53" s="10" t="s">
        <v>1634</v>
      </c>
      <c r="C53" s="12" t="s">
        <v>1635</v>
      </c>
      <c r="D53" s="11" t="s">
        <v>1652</v>
      </c>
      <c r="E53" s="12" t="s">
        <v>769</v>
      </c>
      <c r="F53" s="13">
        <v>4</v>
      </c>
      <c r="G53" s="22">
        <f>Overview!$B$13</f>
        <v>14</v>
      </c>
      <c r="H53" s="23">
        <f t="shared" si="13"/>
        <v>14</v>
      </c>
      <c r="I53" s="23">
        <f>Overview!$E$13</f>
        <v>0</v>
      </c>
      <c r="J53" s="52">
        <f t="shared" si="14"/>
        <v>0</v>
      </c>
      <c r="K53" s="53">
        <f>Overview!$H$13</f>
        <v>0</v>
      </c>
      <c r="L53" s="54" t="e">
        <f t="shared" si="15"/>
        <v>#DIV/0!</v>
      </c>
      <c r="M53" s="179" t="s">
        <v>2422</v>
      </c>
      <c r="N53" s="179" t="s">
        <v>965</v>
      </c>
      <c r="O53" s="141">
        <f t="shared" si="16"/>
        <v>0</v>
      </c>
      <c r="P53" s="181" t="b">
        <f>COUNTIF('Facility Data'!$A$1:$A$1500,"*"&amp;A53&amp;"*")&gt;0</f>
        <v>0</v>
      </c>
      <c r="Q53" s="181" t="b">
        <f>COUNTIF('Account Data'!$A$1:$A$1000,"*"&amp;A53&amp;"*")&gt;0</f>
        <v>0</v>
      </c>
      <c r="R53" s="182" t="b">
        <f t="shared" si="17"/>
        <v>0</v>
      </c>
      <c r="S53" s="182" t="b">
        <f t="shared" si="18"/>
        <v>0</v>
      </c>
      <c r="T53" s="181" t="b">
        <f>COUNTIF('New Items'!$A$1:$A$175,A53)&gt;0</f>
        <v>0</v>
      </c>
      <c r="U53" s="181" t="b">
        <f>COUNTIF(Discontinued!$A$1:$A$150,A53)&gt;0</f>
        <v>0</v>
      </c>
    </row>
    <row r="54" spans="1:21" s="8" customFormat="1" ht="11.25" x14ac:dyDescent="0.2">
      <c r="A54" s="152">
        <v>10000828</v>
      </c>
      <c r="B54" s="10" t="s">
        <v>1642</v>
      </c>
      <c r="C54" s="12" t="s">
        <v>1643</v>
      </c>
      <c r="D54" s="11" t="s">
        <v>1655</v>
      </c>
      <c r="E54" s="12" t="s">
        <v>769</v>
      </c>
      <c r="F54" s="13">
        <v>4</v>
      </c>
      <c r="G54" s="22">
        <f>Overview!$B$13</f>
        <v>14</v>
      </c>
      <c r="H54" s="23">
        <f t="shared" si="13"/>
        <v>14</v>
      </c>
      <c r="I54" s="23">
        <f>Overview!$E$13</f>
        <v>0</v>
      </c>
      <c r="J54" s="52">
        <f t="shared" si="14"/>
        <v>0</v>
      </c>
      <c r="K54" s="53">
        <f>Overview!$H$13</f>
        <v>0</v>
      </c>
      <c r="L54" s="54" t="e">
        <f t="shared" si="15"/>
        <v>#DIV/0!</v>
      </c>
      <c r="M54" s="179" t="s">
        <v>2422</v>
      </c>
      <c r="N54" s="179" t="s">
        <v>965</v>
      </c>
      <c r="O54" s="141">
        <f t="shared" si="16"/>
        <v>0</v>
      </c>
      <c r="P54" s="181" t="b">
        <f>COUNTIF('Facility Data'!$A$1:$A$1500,"*"&amp;A54&amp;"*")&gt;0</f>
        <v>0</v>
      </c>
      <c r="Q54" s="181" t="b">
        <f>COUNTIF('Account Data'!$A$1:$A$1000,"*"&amp;A54&amp;"*")&gt;0</f>
        <v>0</v>
      </c>
      <c r="R54" s="182" t="b">
        <f t="shared" si="17"/>
        <v>0</v>
      </c>
      <c r="S54" s="182" t="b">
        <f t="shared" si="18"/>
        <v>0</v>
      </c>
      <c r="T54" s="181" t="b">
        <f>COUNTIF('New Items'!$A$1:$A$175,A54)&gt;0</f>
        <v>0</v>
      </c>
      <c r="U54" s="181" t="b">
        <f>COUNTIF(Discontinued!$A$1:$A$150,A54)&gt;0</f>
        <v>0</v>
      </c>
    </row>
    <row r="55" spans="1:21" s="8" customFormat="1" ht="11.25" x14ac:dyDescent="0.2">
      <c r="A55" s="152">
        <v>10000821</v>
      </c>
      <c r="B55" s="10" t="s">
        <v>1632</v>
      </c>
      <c r="C55" s="12" t="s">
        <v>1633</v>
      </c>
      <c r="D55" s="11" t="s">
        <v>1651</v>
      </c>
      <c r="E55" s="12" t="s">
        <v>769</v>
      </c>
      <c r="F55" s="13">
        <v>4</v>
      </c>
      <c r="G55" s="22">
        <f>Overview!$B$13</f>
        <v>14</v>
      </c>
      <c r="H55" s="23">
        <f t="shared" si="13"/>
        <v>14</v>
      </c>
      <c r="I55" s="23">
        <f>Overview!$E$13</f>
        <v>0</v>
      </c>
      <c r="J55" s="52">
        <f t="shared" si="14"/>
        <v>0</v>
      </c>
      <c r="K55" s="53">
        <f>Overview!$H$13</f>
        <v>0</v>
      </c>
      <c r="L55" s="54" t="e">
        <f t="shared" si="15"/>
        <v>#DIV/0!</v>
      </c>
      <c r="M55" s="179" t="s">
        <v>2422</v>
      </c>
      <c r="N55" s="179" t="s">
        <v>965</v>
      </c>
      <c r="O55" s="141">
        <f t="shared" si="16"/>
        <v>0</v>
      </c>
      <c r="P55" s="181" t="b">
        <f>COUNTIF('Facility Data'!$A$1:$A$1500,"*"&amp;A55&amp;"*")&gt;0</f>
        <v>0</v>
      </c>
      <c r="Q55" s="181" t="b">
        <f>COUNTIF('Account Data'!$A$1:$A$1000,"*"&amp;A55&amp;"*")&gt;0</f>
        <v>0</v>
      </c>
      <c r="R55" s="182" t="b">
        <f t="shared" si="17"/>
        <v>0</v>
      </c>
      <c r="S55" s="182" t="b">
        <f t="shared" si="18"/>
        <v>0</v>
      </c>
      <c r="T55" s="181" t="b">
        <f>COUNTIF('New Items'!$A$1:$A$175,A55)&gt;0</f>
        <v>0</v>
      </c>
      <c r="U55" s="181" t="b">
        <f>COUNTIF(Discontinued!$A$1:$A$150,A55)&gt;0</f>
        <v>0</v>
      </c>
    </row>
    <row r="56" spans="1:21" s="8" customFormat="1" ht="11.25" x14ac:dyDescent="0.2">
      <c r="A56" s="152">
        <v>10000824</v>
      </c>
      <c r="B56" s="10" t="s">
        <v>1644</v>
      </c>
      <c r="C56" s="12" t="s">
        <v>1645</v>
      </c>
      <c r="D56" s="11" t="s">
        <v>1656</v>
      </c>
      <c r="E56" s="12" t="s">
        <v>769</v>
      </c>
      <c r="F56" s="13">
        <v>4</v>
      </c>
      <c r="G56" s="22">
        <f>Overview!$B$13</f>
        <v>14</v>
      </c>
      <c r="H56" s="23">
        <f t="shared" si="13"/>
        <v>14</v>
      </c>
      <c r="I56" s="23">
        <f>Overview!$E$13</f>
        <v>0</v>
      </c>
      <c r="J56" s="52">
        <f t="shared" si="14"/>
        <v>0</v>
      </c>
      <c r="K56" s="53">
        <f>Overview!$H$13</f>
        <v>0</v>
      </c>
      <c r="L56" s="54" t="e">
        <f t="shared" si="15"/>
        <v>#DIV/0!</v>
      </c>
      <c r="M56" s="179" t="s">
        <v>2422</v>
      </c>
      <c r="N56" s="179" t="s">
        <v>965</v>
      </c>
      <c r="O56" s="141">
        <f t="shared" si="16"/>
        <v>0</v>
      </c>
      <c r="P56" s="181" t="b">
        <f>COUNTIF('Facility Data'!$A$1:$A$1500,"*"&amp;A56&amp;"*")&gt;0</f>
        <v>0</v>
      </c>
      <c r="Q56" s="181" t="b">
        <f>COUNTIF('Account Data'!$A$1:$A$1000,"*"&amp;A56&amp;"*")&gt;0</f>
        <v>0</v>
      </c>
      <c r="R56" s="182" t="b">
        <f t="shared" si="17"/>
        <v>0</v>
      </c>
      <c r="S56" s="182" t="b">
        <f t="shared" si="18"/>
        <v>0</v>
      </c>
      <c r="T56" s="181" t="b">
        <f>COUNTIF('New Items'!$A$1:$A$175,A56)&gt;0</f>
        <v>0</v>
      </c>
      <c r="U56" s="181" t="b">
        <f>COUNTIF(Discontinued!$A$1:$A$150,A56)&gt;0</f>
        <v>0</v>
      </c>
    </row>
    <row r="57" spans="1:21" s="8" customFormat="1" ht="11.25" x14ac:dyDescent="0.2">
      <c r="A57" s="152">
        <v>10000823</v>
      </c>
      <c r="B57" s="10" t="s">
        <v>1630</v>
      </c>
      <c r="C57" s="12" t="s">
        <v>1631</v>
      </c>
      <c r="D57" s="11" t="s">
        <v>1650</v>
      </c>
      <c r="E57" s="12" t="s">
        <v>769</v>
      </c>
      <c r="F57" s="13">
        <v>4</v>
      </c>
      <c r="G57" s="22">
        <f>Overview!$B$13</f>
        <v>14</v>
      </c>
      <c r="H57" s="23">
        <f t="shared" si="13"/>
        <v>14</v>
      </c>
      <c r="I57" s="23">
        <f>Overview!$E$13</f>
        <v>0</v>
      </c>
      <c r="J57" s="52">
        <f t="shared" si="14"/>
        <v>0</v>
      </c>
      <c r="K57" s="53">
        <f>Overview!$H$13</f>
        <v>0</v>
      </c>
      <c r="L57" s="54" t="e">
        <f t="shared" si="15"/>
        <v>#DIV/0!</v>
      </c>
      <c r="M57" s="179" t="s">
        <v>2422</v>
      </c>
      <c r="N57" s="179" t="s">
        <v>965</v>
      </c>
      <c r="O57" s="141">
        <f t="shared" si="16"/>
        <v>0</v>
      </c>
      <c r="P57" s="181" t="b">
        <f>COUNTIF('Facility Data'!$A$1:$A$1500,"*"&amp;A57&amp;"*")&gt;0</f>
        <v>0</v>
      </c>
      <c r="Q57" s="181" t="b">
        <f>COUNTIF('Account Data'!$A$1:$A$1000,"*"&amp;A57&amp;"*")&gt;0</f>
        <v>0</v>
      </c>
      <c r="R57" s="182" t="b">
        <f t="shared" si="17"/>
        <v>0</v>
      </c>
      <c r="S57" s="182" t="b">
        <f t="shared" si="18"/>
        <v>0</v>
      </c>
      <c r="T57" s="181" t="b">
        <f>COUNTIF('New Items'!$A$1:$A$175,A57)&gt;0</f>
        <v>0</v>
      </c>
      <c r="U57" s="181" t="b">
        <f>COUNTIF(Discontinued!$A$1:$A$150,A57)&gt;0</f>
        <v>0</v>
      </c>
    </row>
    <row r="58" spans="1:21" s="8" customFormat="1" ht="11.25" x14ac:dyDescent="0.2">
      <c r="A58" s="152">
        <v>10000825</v>
      </c>
      <c r="B58" s="10" t="s">
        <v>1638</v>
      </c>
      <c r="C58" s="12" t="s">
        <v>1639</v>
      </c>
      <c r="D58" s="11" t="s">
        <v>1654</v>
      </c>
      <c r="E58" s="12" t="s">
        <v>769</v>
      </c>
      <c r="F58" s="13">
        <v>4</v>
      </c>
      <c r="G58" s="22">
        <f>Overview!$B$13</f>
        <v>14</v>
      </c>
      <c r="H58" s="23">
        <f t="shared" si="13"/>
        <v>14</v>
      </c>
      <c r="I58" s="23">
        <f>Overview!$E$13</f>
        <v>0</v>
      </c>
      <c r="J58" s="52">
        <f t="shared" si="14"/>
        <v>0</v>
      </c>
      <c r="K58" s="53">
        <f>Overview!$H$13</f>
        <v>0</v>
      </c>
      <c r="L58" s="54" t="e">
        <f t="shared" si="15"/>
        <v>#DIV/0!</v>
      </c>
      <c r="M58" s="179" t="s">
        <v>2422</v>
      </c>
      <c r="N58" s="179" t="s">
        <v>965</v>
      </c>
      <c r="O58" s="141">
        <f t="shared" si="16"/>
        <v>0</v>
      </c>
      <c r="P58" s="181" t="b">
        <f>COUNTIF('Facility Data'!$A$1:$A$1500,"*"&amp;A58&amp;"*")&gt;0</f>
        <v>0</v>
      </c>
      <c r="Q58" s="181" t="b">
        <f>COUNTIF('Account Data'!$A$1:$A$1000,"*"&amp;A58&amp;"*")&gt;0</f>
        <v>0</v>
      </c>
      <c r="R58" s="182" t="b">
        <f t="shared" si="17"/>
        <v>0</v>
      </c>
      <c r="S58" s="182" t="b">
        <f t="shared" si="18"/>
        <v>0</v>
      </c>
      <c r="T58" s="181" t="b">
        <f>COUNTIF('New Items'!$A$1:$A$175,A58)&gt;0</f>
        <v>0</v>
      </c>
      <c r="U58" s="181" t="b">
        <f>COUNTIF(Discontinued!$A$1:$A$150,A58)&gt;0</f>
        <v>0</v>
      </c>
    </row>
    <row r="59" spans="1:21" s="8" customFormat="1" ht="11.25" x14ac:dyDescent="0.2">
      <c r="A59" s="152">
        <v>10000826</v>
      </c>
      <c r="B59" s="10" t="s">
        <v>1648</v>
      </c>
      <c r="C59" s="12" t="s">
        <v>1649</v>
      </c>
      <c r="D59" s="11" t="s">
        <v>1658</v>
      </c>
      <c r="E59" s="12" t="s">
        <v>769</v>
      </c>
      <c r="F59" s="13">
        <v>4</v>
      </c>
      <c r="G59" s="22">
        <f>Overview!$B$13</f>
        <v>14</v>
      </c>
      <c r="H59" s="23">
        <f t="shared" si="13"/>
        <v>14</v>
      </c>
      <c r="I59" s="23">
        <f>Overview!$E$13</f>
        <v>0</v>
      </c>
      <c r="J59" s="52">
        <f t="shared" si="14"/>
        <v>0</v>
      </c>
      <c r="K59" s="53">
        <f>Overview!$H$13</f>
        <v>0</v>
      </c>
      <c r="L59" s="54" t="e">
        <f t="shared" si="15"/>
        <v>#DIV/0!</v>
      </c>
      <c r="M59" s="179" t="s">
        <v>2422</v>
      </c>
      <c r="N59" s="179" t="s">
        <v>965</v>
      </c>
      <c r="O59" s="141">
        <f t="shared" si="16"/>
        <v>0</v>
      </c>
      <c r="P59" s="181" t="b">
        <f>COUNTIF('Facility Data'!$A$1:$A$1500,"*"&amp;A59&amp;"*")&gt;0</f>
        <v>0</v>
      </c>
      <c r="Q59" s="181" t="b">
        <f>COUNTIF('Account Data'!$A$1:$A$1000,"*"&amp;A59&amp;"*")&gt;0</f>
        <v>0</v>
      </c>
      <c r="R59" s="182" t="b">
        <f t="shared" si="17"/>
        <v>0</v>
      </c>
      <c r="S59" s="182" t="b">
        <f t="shared" si="18"/>
        <v>0</v>
      </c>
      <c r="T59" s="181" t="b">
        <f>COUNTIF('New Items'!$A$1:$A$175,A59)&gt;0</f>
        <v>0</v>
      </c>
      <c r="U59" s="181" t="b">
        <f>COUNTIF(Discontinued!$A$1:$A$150,A59)&gt;0</f>
        <v>0</v>
      </c>
    </row>
    <row r="60" spans="1:21" s="8" customFormat="1" ht="11.25" x14ac:dyDescent="0.2">
      <c r="A60" s="152">
        <v>10000800</v>
      </c>
      <c r="B60" s="10" t="s">
        <v>1646</v>
      </c>
      <c r="C60" s="12" t="s">
        <v>1647</v>
      </c>
      <c r="D60" s="11" t="s">
        <v>1657</v>
      </c>
      <c r="E60" s="12" t="s">
        <v>769</v>
      </c>
      <c r="F60" s="13">
        <v>4</v>
      </c>
      <c r="G60" s="22">
        <f>Overview!$B$13</f>
        <v>14</v>
      </c>
      <c r="H60" s="23">
        <f t="shared" si="13"/>
        <v>14</v>
      </c>
      <c r="I60" s="23">
        <f>Overview!$E$13</f>
        <v>0</v>
      </c>
      <c r="J60" s="52">
        <f t="shared" si="14"/>
        <v>0</v>
      </c>
      <c r="K60" s="53">
        <f>Overview!$H$13</f>
        <v>0</v>
      </c>
      <c r="L60" s="54" t="e">
        <f t="shared" si="15"/>
        <v>#DIV/0!</v>
      </c>
      <c r="M60" s="179" t="s">
        <v>2422</v>
      </c>
      <c r="N60" s="179" t="s">
        <v>965</v>
      </c>
      <c r="O60" s="141">
        <f t="shared" si="16"/>
        <v>0</v>
      </c>
      <c r="P60" s="181" t="b">
        <f>COUNTIF('Facility Data'!$A$1:$A$1500,"*"&amp;A60&amp;"*")&gt;0</f>
        <v>0</v>
      </c>
      <c r="Q60" s="181" t="b">
        <f>COUNTIF('Account Data'!$A$1:$A$1000,"*"&amp;A60&amp;"*")&gt;0</f>
        <v>0</v>
      </c>
      <c r="R60" s="182" t="b">
        <f t="shared" si="17"/>
        <v>0</v>
      </c>
      <c r="S60" s="182" t="b">
        <f t="shared" si="18"/>
        <v>0</v>
      </c>
      <c r="T60" s="181" t="b">
        <f>COUNTIF('New Items'!$A$1:$A$175,A60)&gt;0</f>
        <v>0</v>
      </c>
      <c r="U60" s="181" t="b">
        <f>COUNTIF(Discontinued!$A$1:$A$150,A60)&gt;0</f>
        <v>0</v>
      </c>
    </row>
    <row r="61" spans="1:21" s="8" customFormat="1" ht="11.25" x14ac:dyDescent="0.2">
      <c r="A61" s="152">
        <v>10000827</v>
      </c>
      <c r="B61" s="10" t="s">
        <v>1636</v>
      </c>
      <c r="C61" s="12" t="s">
        <v>1637</v>
      </c>
      <c r="D61" s="11" t="s">
        <v>1653</v>
      </c>
      <c r="E61" s="12" t="s">
        <v>769</v>
      </c>
      <c r="F61" s="13">
        <v>4</v>
      </c>
      <c r="G61" s="22">
        <f>Overview!$B$13</f>
        <v>14</v>
      </c>
      <c r="H61" s="23">
        <f t="shared" si="13"/>
        <v>14</v>
      </c>
      <c r="I61" s="23">
        <f>Overview!$E$13</f>
        <v>0</v>
      </c>
      <c r="J61" s="52">
        <f t="shared" si="14"/>
        <v>0</v>
      </c>
      <c r="K61" s="53">
        <f>Overview!$H$13</f>
        <v>0</v>
      </c>
      <c r="L61" s="54" t="e">
        <f t="shared" si="15"/>
        <v>#DIV/0!</v>
      </c>
      <c r="M61" s="179" t="s">
        <v>2422</v>
      </c>
      <c r="N61" s="179" t="s">
        <v>965</v>
      </c>
      <c r="O61" s="141">
        <f t="shared" si="16"/>
        <v>0</v>
      </c>
      <c r="P61" s="181" t="b">
        <f>COUNTIF('Facility Data'!$A$1:$A$1500,"*"&amp;A61&amp;"*")&gt;0</f>
        <v>0</v>
      </c>
      <c r="Q61" s="181" t="b">
        <f>COUNTIF('Account Data'!$A$1:$A$1000,"*"&amp;A61&amp;"*")&gt;0</f>
        <v>0</v>
      </c>
      <c r="R61" s="182" t="b">
        <f t="shared" si="17"/>
        <v>0</v>
      </c>
      <c r="S61" s="182" t="b">
        <f t="shared" si="18"/>
        <v>0</v>
      </c>
      <c r="T61" s="181" t="b">
        <f>COUNTIF('New Items'!$A$1:$A$175,A61)&gt;0</f>
        <v>0</v>
      </c>
      <c r="U61" s="181" t="b">
        <f>COUNTIF(Discontinued!$A$1:$A$150,A61)&gt;0</f>
        <v>0</v>
      </c>
    </row>
    <row r="62" spans="1:21" s="8" customFormat="1" ht="11.25" x14ac:dyDescent="0.2">
      <c r="A62" s="152">
        <v>10000795</v>
      </c>
      <c r="B62" s="10" t="s">
        <v>1676</v>
      </c>
      <c r="C62" s="12" t="s">
        <v>1677</v>
      </c>
      <c r="D62" s="11" t="s">
        <v>1711</v>
      </c>
      <c r="E62" s="12" t="s">
        <v>769</v>
      </c>
      <c r="F62" s="13">
        <v>4</v>
      </c>
      <c r="G62" s="22">
        <f>Overview!$B$13</f>
        <v>14</v>
      </c>
      <c r="H62" s="23">
        <f t="shared" si="13"/>
        <v>14</v>
      </c>
      <c r="I62" s="23">
        <f>Overview!$E$13</f>
        <v>0</v>
      </c>
      <c r="J62" s="52">
        <f t="shared" si="14"/>
        <v>0</v>
      </c>
      <c r="K62" s="53">
        <f>Overview!$H$13</f>
        <v>0</v>
      </c>
      <c r="L62" s="54" t="e">
        <f t="shared" si="15"/>
        <v>#DIV/0!</v>
      </c>
      <c r="M62" s="179" t="s">
        <v>4148</v>
      </c>
      <c r="N62" s="179" t="s">
        <v>965</v>
      </c>
      <c r="O62" s="141">
        <f t="shared" si="16"/>
        <v>0</v>
      </c>
      <c r="P62" s="181" t="b">
        <f>COUNTIF('Facility Data'!$A$1:$A$1500,"*"&amp;A62&amp;"*")&gt;0</f>
        <v>0</v>
      </c>
      <c r="Q62" s="181" t="b">
        <f>COUNTIF('Account Data'!$A$1:$A$1000,"*"&amp;A62&amp;"*")&gt;0</f>
        <v>0</v>
      </c>
      <c r="R62" s="182" t="b">
        <f t="shared" si="17"/>
        <v>0</v>
      </c>
      <c r="S62" s="182" t="b">
        <f t="shared" si="18"/>
        <v>0</v>
      </c>
      <c r="T62" s="181" t="b">
        <f>COUNTIF('New Items'!$A$1:$A$175,A62)&gt;0</f>
        <v>0</v>
      </c>
      <c r="U62" s="181" t="b">
        <f>COUNTIF(Discontinued!$A$1:$A$150,A62)&gt;0</f>
        <v>0</v>
      </c>
    </row>
    <row r="63" spans="1:21" s="8" customFormat="1" ht="11.25" x14ac:dyDescent="0.2">
      <c r="A63" s="152">
        <v>10000819</v>
      </c>
      <c r="B63" s="10" t="s">
        <v>1640</v>
      </c>
      <c r="C63" s="12" t="s">
        <v>1641</v>
      </c>
      <c r="D63" s="11" t="s">
        <v>3269</v>
      </c>
      <c r="E63" s="12" t="s">
        <v>769</v>
      </c>
      <c r="F63" s="13">
        <v>4</v>
      </c>
      <c r="G63" s="22">
        <f>Overview!$B$13</f>
        <v>14</v>
      </c>
      <c r="H63" s="23">
        <f t="shared" si="13"/>
        <v>14</v>
      </c>
      <c r="I63" s="23">
        <f>Overview!$E$13</f>
        <v>0</v>
      </c>
      <c r="J63" s="52">
        <f t="shared" si="14"/>
        <v>0</v>
      </c>
      <c r="K63" s="53">
        <f>Overview!$H$13</f>
        <v>0</v>
      </c>
      <c r="L63" s="54" t="e">
        <f t="shared" si="15"/>
        <v>#DIV/0!</v>
      </c>
      <c r="M63" s="179" t="s">
        <v>2422</v>
      </c>
      <c r="N63" s="179" t="s">
        <v>965</v>
      </c>
      <c r="O63" s="141">
        <f t="shared" si="16"/>
        <v>0</v>
      </c>
      <c r="P63" s="181" t="b">
        <f>COUNTIF('Facility Data'!$A$1:$A$1500,"*"&amp;A63&amp;"*")&gt;0</f>
        <v>0</v>
      </c>
      <c r="Q63" s="181" t="b">
        <f>COUNTIF('Account Data'!$A$1:$A$1000,"*"&amp;A63&amp;"*")&gt;0</f>
        <v>0</v>
      </c>
      <c r="R63" s="182" t="b">
        <f t="shared" si="17"/>
        <v>0</v>
      </c>
      <c r="S63" s="182" t="b">
        <f t="shared" si="18"/>
        <v>0</v>
      </c>
      <c r="T63" s="181" t="b">
        <f>COUNTIF('New Items'!$A$1:$A$175,A63)&gt;0</f>
        <v>0</v>
      </c>
      <c r="U63" s="181" t="b">
        <f>COUNTIF(Discontinued!$A$1:$A$150,A63)&gt;0</f>
        <v>0</v>
      </c>
    </row>
    <row r="64" spans="1:21" s="8" customFormat="1" ht="11.25" x14ac:dyDescent="0.2">
      <c r="A64" s="152">
        <v>10000765</v>
      </c>
      <c r="B64" s="10" t="s">
        <v>105</v>
      </c>
      <c r="C64" s="12" t="s">
        <v>110</v>
      </c>
      <c r="D64" s="11" t="s">
        <v>631</v>
      </c>
      <c r="E64" s="12" t="s">
        <v>769</v>
      </c>
      <c r="F64" s="13">
        <v>4</v>
      </c>
      <c r="G64" s="22">
        <f>Overview!$B$13</f>
        <v>14</v>
      </c>
      <c r="H64" s="23">
        <f t="shared" si="13"/>
        <v>14</v>
      </c>
      <c r="I64" s="23">
        <f>Overview!$E$13</f>
        <v>0</v>
      </c>
      <c r="J64" s="52">
        <f t="shared" si="14"/>
        <v>0</v>
      </c>
      <c r="K64" s="53">
        <f>Overview!$H$13</f>
        <v>0</v>
      </c>
      <c r="L64" s="54" t="e">
        <f t="shared" si="15"/>
        <v>#DIV/0!</v>
      </c>
      <c r="M64" s="179" t="s">
        <v>951</v>
      </c>
      <c r="N64" s="179" t="s">
        <v>965</v>
      </c>
      <c r="O64" s="141">
        <f t="shared" si="16"/>
        <v>0</v>
      </c>
      <c r="P64" s="181" t="b">
        <f>COUNTIF('Facility Data'!$A$1:$A$1500,"*"&amp;A64&amp;"*")&gt;0</f>
        <v>0</v>
      </c>
      <c r="Q64" s="181" t="b">
        <f>COUNTIF('Account Data'!$A$1:$A$1000,"*"&amp;A64&amp;"*")&gt;0</f>
        <v>0</v>
      </c>
      <c r="R64" s="182" t="b">
        <f t="shared" si="17"/>
        <v>0</v>
      </c>
      <c r="S64" s="182" t="b">
        <f t="shared" si="18"/>
        <v>0</v>
      </c>
      <c r="T64" s="181" t="b">
        <f>COUNTIF('New Items'!$A$1:$A$175,A64)&gt;0</f>
        <v>0</v>
      </c>
      <c r="U64" s="181" t="b">
        <f>COUNTIF(Discontinued!$A$1:$A$150,A64)&gt;0</f>
        <v>0</v>
      </c>
    </row>
    <row r="65" spans="1:21" s="8" customFormat="1" ht="11.25" x14ac:dyDescent="0.2">
      <c r="A65" s="152">
        <v>10097401</v>
      </c>
      <c r="B65" s="10" t="s">
        <v>2869</v>
      </c>
      <c r="C65" s="12" t="s">
        <v>110</v>
      </c>
      <c r="D65" s="11" t="s">
        <v>2870</v>
      </c>
      <c r="E65" s="12" t="s">
        <v>769</v>
      </c>
      <c r="F65" s="13">
        <v>4</v>
      </c>
      <c r="G65" s="22">
        <f>Overview!$B$13</f>
        <v>14</v>
      </c>
      <c r="H65" s="23">
        <f t="shared" si="13"/>
        <v>14</v>
      </c>
      <c r="I65" s="23">
        <f>Overview!$E$13</f>
        <v>0</v>
      </c>
      <c r="J65" s="52">
        <f t="shared" si="14"/>
        <v>0</v>
      </c>
      <c r="K65" s="53">
        <f>Overview!$H$13</f>
        <v>0</v>
      </c>
      <c r="L65" s="54" t="e">
        <f t="shared" si="15"/>
        <v>#DIV/0!</v>
      </c>
      <c r="M65" s="179" t="s">
        <v>951</v>
      </c>
      <c r="N65" s="179" t="s">
        <v>965</v>
      </c>
      <c r="O65" s="141">
        <f t="shared" si="16"/>
        <v>0</v>
      </c>
      <c r="P65" s="181" t="b">
        <f>COUNTIF('Facility Data'!$A$1:$A$1500,"*"&amp;A65&amp;"*")&gt;0</f>
        <v>0</v>
      </c>
      <c r="Q65" s="181" t="b">
        <f>COUNTIF('Account Data'!$A$1:$A$1000,"*"&amp;A65&amp;"*")&gt;0</f>
        <v>0</v>
      </c>
      <c r="R65" s="182" t="b">
        <f t="shared" si="17"/>
        <v>0</v>
      </c>
      <c r="S65" s="182" t="b">
        <f t="shared" si="18"/>
        <v>0</v>
      </c>
      <c r="T65" s="181" t="b">
        <f>COUNTIF('New Items'!$A$1:$A$175,A65)&gt;0</f>
        <v>0</v>
      </c>
      <c r="U65" s="181" t="b">
        <f>COUNTIF(Discontinued!$A$1:$A$150,A65)&gt;0</f>
        <v>0</v>
      </c>
    </row>
    <row r="66" spans="1:21" s="8" customFormat="1" ht="11.25" x14ac:dyDescent="0.2">
      <c r="A66" s="152">
        <v>20004167</v>
      </c>
      <c r="B66" s="10" t="s">
        <v>1687</v>
      </c>
      <c r="C66" s="12" t="s">
        <v>1688</v>
      </c>
      <c r="D66" s="11" t="s">
        <v>1694</v>
      </c>
      <c r="E66" s="12" t="s">
        <v>769</v>
      </c>
      <c r="F66" s="13">
        <v>4</v>
      </c>
      <c r="G66" s="22">
        <f>Overview!$B$13</f>
        <v>14</v>
      </c>
      <c r="H66" s="23">
        <f t="shared" si="13"/>
        <v>14</v>
      </c>
      <c r="I66" s="23">
        <f>Overview!$E$13</f>
        <v>0</v>
      </c>
      <c r="J66" s="52">
        <f t="shared" si="14"/>
        <v>0</v>
      </c>
      <c r="K66" s="53">
        <f>Overview!$H$13</f>
        <v>0</v>
      </c>
      <c r="L66" s="54" t="e">
        <f t="shared" si="15"/>
        <v>#DIV/0!</v>
      </c>
      <c r="M66" s="179" t="s">
        <v>4149</v>
      </c>
      <c r="N66" s="179" t="s">
        <v>965</v>
      </c>
      <c r="O66" s="141">
        <f t="shared" si="16"/>
        <v>0</v>
      </c>
      <c r="P66" s="181" t="b">
        <f>COUNTIF('Facility Data'!$A$1:$A$1500,"*"&amp;A66&amp;"*")&gt;0</f>
        <v>0</v>
      </c>
      <c r="Q66" s="181" t="b">
        <f>COUNTIF('Account Data'!$A$1:$A$1000,"*"&amp;A66&amp;"*")&gt;0</f>
        <v>0</v>
      </c>
      <c r="R66" s="182" t="b">
        <f t="shared" si="17"/>
        <v>0</v>
      </c>
      <c r="S66" s="182" t="b">
        <f t="shared" si="18"/>
        <v>0</v>
      </c>
      <c r="T66" s="181" t="b">
        <f>COUNTIF('New Items'!$A$1:$A$175,A66)&gt;0</f>
        <v>0</v>
      </c>
      <c r="U66" s="181" t="b">
        <f>COUNTIF(Discontinued!$A$1:$A$150,A66)&gt;0</f>
        <v>0</v>
      </c>
    </row>
    <row r="67" spans="1:21" s="8" customFormat="1" ht="11.25" x14ac:dyDescent="0.2">
      <c r="A67" s="152">
        <v>20004169</v>
      </c>
      <c r="B67" s="10" t="s">
        <v>1683</v>
      </c>
      <c r="C67" s="12" t="s">
        <v>1684</v>
      </c>
      <c r="D67" s="11" t="s">
        <v>1692</v>
      </c>
      <c r="E67" s="12" t="s">
        <v>769</v>
      </c>
      <c r="F67" s="13">
        <v>4</v>
      </c>
      <c r="G67" s="22">
        <f>Overview!$B$13</f>
        <v>14</v>
      </c>
      <c r="H67" s="23">
        <f t="shared" si="13"/>
        <v>14</v>
      </c>
      <c r="I67" s="23">
        <f>Overview!$E$13</f>
        <v>0</v>
      </c>
      <c r="J67" s="52">
        <f t="shared" si="14"/>
        <v>0</v>
      </c>
      <c r="K67" s="53">
        <f>Overview!$H$13</f>
        <v>0</v>
      </c>
      <c r="L67" s="54" t="e">
        <f t="shared" si="15"/>
        <v>#DIV/0!</v>
      </c>
      <c r="M67" s="179" t="s">
        <v>4149</v>
      </c>
      <c r="N67" s="179" t="s">
        <v>965</v>
      </c>
      <c r="O67" s="141">
        <f t="shared" si="16"/>
        <v>0</v>
      </c>
      <c r="P67" s="181" t="b">
        <f>COUNTIF('Facility Data'!$A$1:$A$1500,"*"&amp;A67&amp;"*")&gt;0</f>
        <v>0</v>
      </c>
      <c r="Q67" s="181" t="b">
        <f>COUNTIF('Account Data'!$A$1:$A$1000,"*"&amp;A67&amp;"*")&gt;0</f>
        <v>0</v>
      </c>
      <c r="R67" s="182" t="b">
        <f t="shared" si="17"/>
        <v>0</v>
      </c>
      <c r="S67" s="182" t="b">
        <f t="shared" si="18"/>
        <v>0</v>
      </c>
      <c r="T67" s="181" t="b">
        <f>COUNTIF('New Items'!$A$1:$A$175,A67)&gt;0</f>
        <v>0</v>
      </c>
      <c r="U67" s="181" t="b">
        <f>COUNTIF(Discontinued!$A$1:$A$150,A67)&gt;0</f>
        <v>0</v>
      </c>
    </row>
    <row r="68" spans="1:21" s="8" customFormat="1" ht="11.25" x14ac:dyDescent="0.2">
      <c r="A68" s="152">
        <v>10001720</v>
      </c>
      <c r="B68" s="10" t="s">
        <v>106</v>
      </c>
      <c r="C68" s="12" t="s">
        <v>111</v>
      </c>
      <c r="D68" s="11" t="s">
        <v>629</v>
      </c>
      <c r="E68" s="12" t="s">
        <v>769</v>
      </c>
      <c r="F68" s="13">
        <v>4</v>
      </c>
      <c r="G68" s="22">
        <f>Overview!$B$13</f>
        <v>14</v>
      </c>
      <c r="H68" s="23">
        <f t="shared" si="13"/>
        <v>14</v>
      </c>
      <c r="I68" s="23">
        <f>Overview!$E$13</f>
        <v>0</v>
      </c>
      <c r="J68" s="52">
        <f t="shared" si="14"/>
        <v>0</v>
      </c>
      <c r="K68" s="53">
        <f>Overview!$H$13</f>
        <v>0</v>
      </c>
      <c r="L68" s="54" t="e">
        <f t="shared" si="15"/>
        <v>#DIV/0!</v>
      </c>
      <c r="M68" s="179" t="s">
        <v>951</v>
      </c>
      <c r="N68" s="179" t="s">
        <v>965</v>
      </c>
      <c r="O68" s="141">
        <f t="shared" si="16"/>
        <v>0</v>
      </c>
      <c r="P68" s="181" t="b">
        <f>COUNTIF('Facility Data'!$A$1:$A$1500,"*"&amp;A68&amp;"*")&gt;0</f>
        <v>0</v>
      </c>
      <c r="Q68" s="181" t="b">
        <f>COUNTIF('Account Data'!$A$1:$A$1000,"*"&amp;A68&amp;"*")&gt;0</f>
        <v>0</v>
      </c>
      <c r="R68" s="182" t="b">
        <f t="shared" si="17"/>
        <v>0</v>
      </c>
      <c r="S68" s="182" t="b">
        <f t="shared" si="18"/>
        <v>0</v>
      </c>
      <c r="T68" s="181" t="b">
        <f>COUNTIF('New Items'!$A$1:$A$175,A68)&gt;0</f>
        <v>0</v>
      </c>
      <c r="U68" s="181" t="b">
        <f>COUNTIF(Discontinued!$A$1:$A$150,A68)&gt;0</f>
        <v>0</v>
      </c>
    </row>
    <row r="69" spans="1:21" s="8" customFormat="1" ht="11.25" x14ac:dyDescent="0.2">
      <c r="A69" s="152">
        <v>10097399</v>
      </c>
      <c r="B69" s="10" t="s">
        <v>2864</v>
      </c>
      <c r="C69" s="12" t="s">
        <v>111</v>
      </c>
      <c r="D69" s="11" t="s">
        <v>2865</v>
      </c>
      <c r="E69" s="12" t="s">
        <v>769</v>
      </c>
      <c r="F69" s="13">
        <v>4</v>
      </c>
      <c r="G69" s="22">
        <f>Overview!$B$13</f>
        <v>14</v>
      </c>
      <c r="H69" s="23">
        <f t="shared" si="13"/>
        <v>14</v>
      </c>
      <c r="I69" s="23">
        <f>Overview!$E$13</f>
        <v>0</v>
      </c>
      <c r="J69" s="52">
        <f t="shared" si="14"/>
        <v>0</v>
      </c>
      <c r="K69" s="53">
        <f>Overview!$H$13</f>
        <v>0</v>
      </c>
      <c r="L69" s="54" t="e">
        <f t="shared" si="15"/>
        <v>#DIV/0!</v>
      </c>
      <c r="M69" s="179" t="s">
        <v>951</v>
      </c>
      <c r="N69" s="179" t="s">
        <v>965</v>
      </c>
      <c r="O69" s="141">
        <f t="shared" si="16"/>
        <v>0</v>
      </c>
      <c r="P69" s="181" t="b">
        <f>COUNTIF('Facility Data'!$A$1:$A$1500,"*"&amp;A69&amp;"*")&gt;0</f>
        <v>0</v>
      </c>
      <c r="Q69" s="181" t="b">
        <f>COUNTIF('Account Data'!$A$1:$A$1000,"*"&amp;A69&amp;"*")&gt;0</f>
        <v>0</v>
      </c>
      <c r="R69" s="182" t="b">
        <f t="shared" si="17"/>
        <v>0</v>
      </c>
      <c r="S69" s="182" t="b">
        <f t="shared" si="18"/>
        <v>0</v>
      </c>
      <c r="T69" s="181" t="b">
        <f>COUNTIF('New Items'!$A$1:$A$175,A69)&gt;0</f>
        <v>0</v>
      </c>
      <c r="U69" s="181" t="b">
        <f>COUNTIF(Discontinued!$A$1:$A$150,A69)&gt;0</f>
        <v>0</v>
      </c>
    </row>
    <row r="70" spans="1:21" s="8" customFormat="1" ht="11.25" x14ac:dyDescent="0.2">
      <c r="A70" s="152">
        <v>10028155</v>
      </c>
      <c r="B70" s="10" t="s">
        <v>2866</v>
      </c>
      <c r="C70" s="12" t="s">
        <v>2867</v>
      </c>
      <c r="D70" s="11" t="s">
        <v>2868</v>
      </c>
      <c r="E70" s="12" t="s">
        <v>769</v>
      </c>
      <c r="F70" s="13">
        <v>4</v>
      </c>
      <c r="G70" s="22">
        <f>Overview!$B$13</f>
        <v>14</v>
      </c>
      <c r="H70" s="23">
        <f t="shared" si="13"/>
        <v>14</v>
      </c>
      <c r="I70" s="23">
        <f>Overview!$E$13</f>
        <v>0</v>
      </c>
      <c r="J70" s="52">
        <f t="shared" si="14"/>
        <v>0</v>
      </c>
      <c r="K70" s="53">
        <f>Overview!$H$13</f>
        <v>0</v>
      </c>
      <c r="L70" s="54" t="e">
        <f t="shared" si="15"/>
        <v>#DIV/0!</v>
      </c>
      <c r="M70" s="179" t="s">
        <v>951</v>
      </c>
      <c r="N70" s="179" t="s">
        <v>965</v>
      </c>
      <c r="O70" s="141">
        <f t="shared" si="16"/>
        <v>0</v>
      </c>
      <c r="P70" s="181" t="b">
        <f>COUNTIF('Facility Data'!$A$1:$A$1500,"*"&amp;A70&amp;"*")&gt;0</f>
        <v>0</v>
      </c>
      <c r="Q70" s="181" t="b">
        <f>COUNTIF('Account Data'!$A$1:$A$1000,"*"&amp;A70&amp;"*")&gt;0</f>
        <v>0</v>
      </c>
      <c r="R70" s="182" t="b">
        <f t="shared" si="17"/>
        <v>0</v>
      </c>
      <c r="S70" s="182" t="b">
        <f t="shared" si="18"/>
        <v>0</v>
      </c>
      <c r="T70" s="181" t="b">
        <f>COUNTIF('New Items'!$A$1:$A$175,A70)&gt;0</f>
        <v>0</v>
      </c>
      <c r="U70" s="181" t="b">
        <f>COUNTIF(Discontinued!$A$1:$A$150,A70)&gt;0</f>
        <v>0</v>
      </c>
    </row>
    <row r="71" spans="1:21" s="8" customFormat="1" ht="11.25" x14ac:dyDescent="0.2">
      <c r="A71" s="152">
        <v>20004161</v>
      </c>
      <c r="B71" s="10" t="s">
        <v>1685</v>
      </c>
      <c r="C71" s="12" t="s">
        <v>1686</v>
      </c>
      <c r="D71" s="11" t="s">
        <v>1693</v>
      </c>
      <c r="E71" s="12" t="s">
        <v>769</v>
      </c>
      <c r="F71" s="13">
        <v>4</v>
      </c>
      <c r="G71" s="22">
        <f>Overview!$B$13</f>
        <v>14</v>
      </c>
      <c r="H71" s="23">
        <f t="shared" si="13"/>
        <v>14</v>
      </c>
      <c r="I71" s="23">
        <f>Overview!$E$13</f>
        <v>0</v>
      </c>
      <c r="J71" s="52">
        <f t="shared" si="14"/>
        <v>0</v>
      </c>
      <c r="K71" s="53">
        <f>Overview!$H$13</f>
        <v>0</v>
      </c>
      <c r="L71" s="54" t="e">
        <f t="shared" si="15"/>
        <v>#DIV/0!</v>
      </c>
      <c r="M71" s="179" t="s">
        <v>4149</v>
      </c>
      <c r="N71" s="179" t="s">
        <v>965</v>
      </c>
      <c r="O71" s="141">
        <f t="shared" si="16"/>
        <v>0</v>
      </c>
      <c r="P71" s="181" t="b">
        <f>COUNTIF('Facility Data'!$A$1:$A$1500,"*"&amp;A71&amp;"*")&gt;0</f>
        <v>0</v>
      </c>
      <c r="Q71" s="181" t="b">
        <f>COUNTIF('Account Data'!$A$1:$A$1000,"*"&amp;A71&amp;"*")&gt;0</f>
        <v>0</v>
      </c>
      <c r="R71" s="182" t="b">
        <f t="shared" si="17"/>
        <v>0</v>
      </c>
      <c r="S71" s="182" t="b">
        <f t="shared" si="18"/>
        <v>0</v>
      </c>
      <c r="T71" s="181" t="b">
        <f>COUNTIF('New Items'!$A$1:$A$175,A71)&gt;0</f>
        <v>0</v>
      </c>
      <c r="U71" s="181" t="b">
        <f>COUNTIF(Discontinued!$A$1:$A$150,A71)&gt;0</f>
        <v>0</v>
      </c>
    </row>
    <row r="72" spans="1:21" s="8" customFormat="1" ht="11.25" x14ac:dyDescent="0.2">
      <c r="A72" s="152">
        <v>20004165</v>
      </c>
      <c r="B72" s="10" t="s">
        <v>1681</v>
      </c>
      <c r="C72" s="12" t="s">
        <v>1682</v>
      </c>
      <c r="D72" s="11" t="s">
        <v>1691</v>
      </c>
      <c r="E72" s="12" t="s">
        <v>769</v>
      </c>
      <c r="F72" s="13">
        <v>4</v>
      </c>
      <c r="G72" s="22">
        <f>Overview!$B$13</f>
        <v>14</v>
      </c>
      <c r="H72" s="23">
        <f t="shared" si="13"/>
        <v>14</v>
      </c>
      <c r="I72" s="23">
        <f>Overview!$E$13</f>
        <v>0</v>
      </c>
      <c r="J72" s="52">
        <f t="shared" si="14"/>
        <v>0</v>
      </c>
      <c r="K72" s="53">
        <f>Overview!$H$13</f>
        <v>0</v>
      </c>
      <c r="L72" s="54" t="e">
        <f t="shared" si="15"/>
        <v>#DIV/0!</v>
      </c>
      <c r="M72" s="179" t="s">
        <v>4149</v>
      </c>
      <c r="N72" s="179" t="s">
        <v>965</v>
      </c>
      <c r="O72" s="141">
        <f t="shared" si="16"/>
        <v>0</v>
      </c>
      <c r="P72" s="181" t="b">
        <f>COUNTIF('Facility Data'!$A$1:$A$1500,"*"&amp;A72&amp;"*")&gt;0</f>
        <v>0</v>
      </c>
      <c r="Q72" s="181" t="b">
        <f>COUNTIF('Account Data'!$A$1:$A$1000,"*"&amp;A72&amp;"*")&gt;0</f>
        <v>0</v>
      </c>
      <c r="R72" s="182" t="b">
        <f t="shared" si="17"/>
        <v>0</v>
      </c>
      <c r="S72" s="182" t="b">
        <f t="shared" si="18"/>
        <v>0</v>
      </c>
      <c r="T72" s="181" t="b">
        <f>COUNTIF('New Items'!$A$1:$A$175,A72)&gt;0</f>
        <v>0</v>
      </c>
      <c r="U72" s="181" t="b">
        <f>COUNTIF(Discontinued!$A$1:$A$150,A72)&gt;0</f>
        <v>0</v>
      </c>
    </row>
    <row r="73" spans="1:21" s="8" customFormat="1" ht="11.25" x14ac:dyDescent="0.2">
      <c r="A73" s="152">
        <v>10000783</v>
      </c>
      <c r="B73" s="10" t="s">
        <v>1413</v>
      </c>
      <c r="C73" s="12" t="s">
        <v>1414</v>
      </c>
      <c r="D73" s="11" t="s">
        <v>655</v>
      </c>
      <c r="E73" s="12" t="s">
        <v>769</v>
      </c>
      <c r="F73" s="13">
        <v>4</v>
      </c>
      <c r="G73" s="22">
        <f>Overview!$B$13</f>
        <v>14</v>
      </c>
      <c r="H73" s="23">
        <f t="shared" si="13"/>
        <v>14</v>
      </c>
      <c r="I73" s="23">
        <f>Overview!$E$13</f>
        <v>0</v>
      </c>
      <c r="J73" s="52">
        <f>I73/F73</f>
        <v>0</v>
      </c>
      <c r="K73" s="53">
        <f>Overview!$H$13</f>
        <v>0</v>
      </c>
      <c r="L73" s="54" t="e">
        <f t="shared" si="15"/>
        <v>#DIV/0!</v>
      </c>
      <c r="M73" s="179"/>
      <c r="N73" s="179" t="s">
        <v>965</v>
      </c>
      <c r="O73" s="141">
        <f t="shared" si="16"/>
        <v>0</v>
      </c>
      <c r="P73" s="181" t="b">
        <f>COUNTIF('Facility Data'!$A$1:$A$1500,"*"&amp;A73&amp;"*")&gt;0</f>
        <v>0</v>
      </c>
      <c r="Q73" s="181" t="b">
        <f>COUNTIF('Account Data'!$A$1:$A$1000,"*"&amp;A73&amp;"*")&gt;0</f>
        <v>0</v>
      </c>
      <c r="R73" s="182" t="b">
        <f t="shared" si="17"/>
        <v>0</v>
      </c>
      <c r="S73" s="182" t="b">
        <f t="shared" si="18"/>
        <v>0</v>
      </c>
      <c r="T73" s="181" t="b">
        <f>COUNTIF('New Items'!$A$1:$A$175,A73)&gt;0</f>
        <v>0</v>
      </c>
      <c r="U73" s="181" t="b">
        <f>COUNTIF(Discontinued!$A$1:$A$150,A73)&gt;0</f>
        <v>0</v>
      </c>
    </row>
    <row r="74" spans="1:21" s="8" customFormat="1" ht="11.25" x14ac:dyDescent="0.2">
      <c r="A74" s="152">
        <v>10000766</v>
      </c>
      <c r="B74" s="10" t="s">
        <v>1417</v>
      </c>
      <c r="C74" s="12" t="s">
        <v>1418</v>
      </c>
      <c r="D74" s="11" t="s">
        <v>660</v>
      </c>
      <c r="E74" s="12" t="s">
        <v>769</v>
      </c>
      <c r="F74" s="13">
        <v>4</v>
      </c>
      <c r="G74" s="22">
        <f>Overview!$B$13</f>
        <v>14</v>
      </c>
      <c r="H74" s="23">
        <f t="shared" si="13"/>
        <v>14</v>
      </c>
      <c r="I74" s="23">
        <f>Overview!$E$13</f>
        <v>0</v>
      </c>
      <c r="J74" s="52">
        <f t="shared" si="14"/>
        <v>0</v>
      </c>
      <c r="K74" s="53">
        <f>Overview!$H$13</f>
        <v>0</v>
      </c>
      <c r="L74" s="54" t="e">
        <f t="shared" si="15"/>
        <v>#DIV/0!</v>
      </c>
      <c r="M74" s="179"/>
      <c r="N74" s="179" t="s">
        <v>965</v>
      </c>
      <c r="O74" s="141">
        <f t="shared" si="16"/>
        <v>0</v>
      </c>
      <c r="P74" s="181" t="b">
        <f>COUNTIF('Facility Data'!$A$1:$A$1500,"*"&amp;A74&amp;"*")&gt;0</f>
        <v>0</v>
      </c>
      <c r="Q74" s="181" t="b">
        <f>COUNTIF('Account Data'!$A$1:$A$1000,"*"&amp;A74&amp;"*")&gt;0</f>
        <v>0</v>
      </c>
      <c r="R74" s="182" t="b">
        <f t="shared" si="17"/>
        <v>0</v>
      </c>
      <c r="S74" s="182" t="b">
        <f t="shared" si="18"/>
        <v>0</v>
      </c>
      <c r="T74" s="181" t="b">
        <f>COUNTIF('New Items'!$A$1:$A$175,A74)&gt;0</f>
        <v>0</v>
      </c>
      <c r="U74" s="181" t="b">
        <f>COUNTIF(Discontinued!$A$1:$A$150,A74)&gt;0</f>
        <v>0</v>
      </c>
    </row>
    <row r="75" spans="1:21" s="8" customFormat="1" ht="11.25" x14ac:dyDescent="0.2">
      <c r="A75" s="152">
        <v>10000777</v>
      </c>
      <c r="B75" s="10" t="s">
        <v>1679</v>
      </c>
      <c r="C75" s="12" t="s">
        <v>1680</v>
      </c>
      <c r="D75" s="11" t="s">
        <v>636</v>
      </c>
      <c r="E75" s="12" t="s">
        <v>769</v>
      </c>
      <c r="F75" s="13">
        <v>4</v>
      </c>
      <c r="G75" s="22">
        <f>Overview!$B$13</f>
        <v>14</v>
      </c>
      <c r="H75" s="23">
        <f t="shared" si="13"/>
        <v>14</v>
      </c>
      <c r="I75" s="23">
        <f>Overview!$E$13</f>
        <v>0</v>
      </c>
      <c r="J75" s="52">
        <f t="shared" si="14"/>
        <v>0</v>
      </c>
      <c r="K75" s="53">
        <f>Overview!$H$13</f>
        <v>0</v>
      </c>
      <c r="L75" s="54" t="e">
        <f t="shared" si="15"/>
        <v>#DIV/0!</v>
      </c>
      <c r="M75" s="179" t="s">
        <v>4370</v>
      </c>
      <c r="N75" s="179" t="s">
        <v>965</v>
      </c>
      <c r="O75" s="141">
        <f t="shared" si="16"/>
        <v>0</v>
      </c>
      <c r="P75" s="181" t="b">
        <f>COUNTIF('Facility Data'!$A$1:$A$1500,"*"&amp;A75&amp;"*")&gt;0</f>
        <v>0</v>
      </c>
      <c r="Q75" s="181" t="b">
        <f>COUNTIF('Account Data'!$A$1:$A$1000,"*"&amp;A75&amp;"*")&gt;0</f>
        <v>0</v>
      </c>
      <c r="R75" s="182" t="b">
        <f t="shared" si="17"/>
        <v>0</v>
      </c>
      <c r="S75" s="182" t="b">
        <f t="shared" si="18"/>
        <v>0</v>
      </c>
      <c r="T75" s="181" t="b">
        <f>COUNTIF('New Items'!$A$1:$A$175,A75)&gt;0</f>
        <v>0</v>
      </c>
      <c r="U75" s="181" t="b">
        <f>COUNTIF(Discontinued!$A$1:$A$150,A75)&gt;0</f>
        <v>0</v>
      </c>
    </row>
    <row r="76" spans="1:21" s="8" customFormat="1" ht="11.25" x14ac:dyDescent="0.2">
      <c r="A76" s="152">
        <v>10087780</v>
      </c>
      <c r="B76" s="10" t="s">
        <v>1407</v>
      </c>
      <c r="C76" s="12" t="s">
        <v>1408</v>
      </c>
      <c r="D76" s="11" t="s">
        <v>651</v>
      </c>
      <c r="E76" s="12" t="s">
        <v>769</v>
      </c>
      <c r="F76" s="13">
        <v>4</v>
      </c>
      <c r="G76" s="22">
        <f>Overview!$B$13</f>
        <v>14</v>
      </c>
      <c r="H76" s="23">
        <f t="shared" si="13"/>
        <v>14</v>
      </c>
      <c r="I76" s="23">
        <f>Overview!$E$13</f>
        <v>0</v>
      </c>
      <c r="J76" s="52">
        <f t="shared" si="14"/>
        <v>0</v>
      </c>
      <c r="K76" s="53">
        <f>Overview!$H$13</f>
        <v>0</v>
      </c>
      <c r="L76" s="54" t="e">
        <f t="shared" si="15"/>
        <v>#DIV/0!</v>
      </c>
      <c r="M76" s="179" t="s">
        <v>4369</v>
      </c>
      <c r="N76" s="179" t="s">
        <v>965</v>
      </c>
      <c r="O76" s="141">
        <f t="shared" si="16"/>
        <v>0</v>
      </c>
      <c r="P76" s="181" t="b">
        <f>COUNTIF('Facility Data'!$A$1:$A$1500,"*"&amp;A76&amp;"*")&gt;0</f>
        <v>0</v>
      </c>
      <c r="Q76" s="181" t="b">
        <f>COUNTIF('Account Data'!$A$1:$A$1000,"*"&amp;A76&amp;"*")&gt;0</f>
        <v>0</v>
      </c>
      <c r="R76" s="182" t="b">
        <f t="shared" si="17"/>
        <v>0</v>
      </c>
      <c r="S76" s="182" t="b">
        <f t="shared" si="18"/>
        <v>0</v>
      </c>
      <c r="T76" s="181" t="b">
        <f>COUNTIF('New Items'!$A$1:$A$175,A76)&gt;0</f>
        <v>0</v>
      </c>
      <c r="U76" s="181" t="b">
        <f>COUNTIF(Discontinued!$A$1:$A$150,A76)&gt;0</f>
        <v>0</v>
      </c>
    </row>
    <row r="77" spans="1:21" s="8" customFormat="1" ht="11.25" x14ac:dyDescent="0.2">
      <c r="A77" s="152">
        <v>10000790</v>
      </c>
      <c r="B77" s="10" t="s">
        <v>104</v>
      </c>
      <c r="C77" s="12" t="s">
        <v>109</v>
      </c>
      <c r="D77" s="11" t="s">
        <v>650</v>
      </c>
      <c r="E77" s="12" t="s">
        <v>769</v>
      </c>
      <c r="F77" s="13">
        <v>4</v>
      </c>
      <c r="G77" s="22">
        <f>Overview!$B$13</f>
        <v>14</v>
      </c>
      <c r="H77" s="23">
        <f>G77-I77</f>
        <v>14</v>
      </c>
      <c r="I77" s="23">
        <f>Overview!$E$13</f>
        <v>0</v>
      </c>
      <c r="J77" s="52">
        <f>I77/F77</f>
        <v>0</v>
      </c>
      <c r="K77" s="53">
        <f>Overview!$H$13</f>
        <v>0</v>
      </c>
      <c r="L77" s="54" t="e">
        <f>(K77-J77)/K77</f>
        <v>#DIV/0!</v>
      </c>
      <c r="M77" s="179" t="s">
        <v>4369</v>
      </c>
      <c r="N77" s="179" t="s">
        <v>965</v>
      </c>
      <c r="O77" s="141">
        <f>I77</f>
        <v>0</v>
      </c>
      <c r="P77" s="181" t="b">
        <f>COUNTIF('Facility Data'!$A$1:$A$1500,"*"&amp;A77&amp;"*")&gt;0</f>
        <v>0</v>
      </c>
      <c r="Q77" s="181" t="b">
        <f>COUNTIF('Account Data'!$A$1:$A$1000,"*"&amp;A77&amp;"*")&gt;0</f>
        <v>0</v>
      </c>
      <c r="R77" s="182" t="b">
        <f>IF(OR(P77=TRUE,T77=TRUE),TRUE,FALSE)</f>
        <v>0</v>
      </c>
      <c r="S77" s="182" t="b">
        <f>IF(OR(Q77=TRUE,T77=TRUE),TRUE,FALSE)</f>
        <v>0</v>
      </c>
      <c r="T77" s="181" t="b">
        <f>COUNTIF('New Items'!$A$1:$A$175,A77)&gt;0</f>
        <v>0</v>
      </c>
      <c r="U77" s="181" t="b">
        <f>COUNTIF(Discontinued!$A$1:$A$150,A77)&gt;0</f>
        <v>0</v>
      </c>
    </row>
    <row r="78" spans="1:21" s="8" customFormat="1" ht="11.25" x14ac:dyDescent="0.2">
      <c r="A78" s="152">
        <v>10000814</v>
      </c>
      <c r="B78" s="10" t="s">
        <v>1284</v>
      </c>
      <c r="C78" s="12" t="s">
        <v>1285</v>
      </c>
      <c r="D78" s="11" t="s">
        <v>4116</v>
      </c>
      <c r="E78" s="12" t="s">
        <v>769</v>
      </c>
      <c r="F78" s="13">
        <v>4</v>
      </c>
      <c r="G78" s="22">
        <f>Overview!$B$13</f>
        <v>14</v>
      </c>
      <c r="H78" s="23">
        <f t="shared" si="13"/>
        <v>14</v>
      </c>
      <c r="I78" s="23">
        <f>Overview!$E$13</f>
        <v>0</v>
      </c>
      <c r="J78" s="52">
        <f t="shared" si="14"/>
        <v>0</v>
      </c>
      <c r="K78" s="53">
        <f>Overview!$H$13</f>
        <v>0</v>
      </c>
      <c r="L78" s="54" t="e">
        <f t="shared" si="15"/>
        <v>#DIV/0!</v>
      </c>
      <c r="M78" s="179" t="s">
        <v>4369</v>
      </c>
      <c r="N78" s="179" t="s">
        <v>965</v>
      </c>
      <c r="O78" s="141">
        <f t="shared" si="16"/>
        <v>0</v>
      </c>
      <c r="P78" s="181" t="b">
        <f>COUNTIF('Facility Data'!$A$1:$A$1500,"*"&amp;A78&amp;"*")&gt;0</f>
        <v>0</v>
      </c>
      <c r="Q78" s="181" t="b">
        <f>COUNTIF('Account Data'!$A$1:$A$1000,"*"&amp;A78&amp;"*")&gt;0</f>
        <v>0</v>
      </c>
      <c r="R78" s="182" t="b">
        <f t="shared" si="17"/>
        <v>0</v>
      </c>
      <c r="S78" s="182" t="b">
        <f t="shared" si="18"/>
        <v>0</v>
      </c>
      <c r="T78" s="181" t="b">
        <f>COUNTIF('New Items'!$A$1:$A$175,A78)&gt;0</f>
        <v>0</v>
      </c>
      <c r="U78" s="181" t="b">
        <f>COUNTIF(Discontinued!$A$1:$A$150,A78)&gt;0</f>
        <v>0</v>
      </c>
    </row>
    <row r="79" spans="1:21" s="8" customFormat="1" ht="12" thickBot="1" x14ac:dyDescent="0.25">
      <c r="A79" s="152">
        <v>10000815</v>
      </c>
      <c r="B79" s="10" t="s">
        <v>4785</v>
      </c>
      <c r="C79" s="12" t="s">
        <v>1412</v>
      </c>
      <c r="D79" s="11" t="s">
        <v>4780</v>
      </c>
      <c r="E79" s="12" t="s">
        <v>769</v>
      </c>
      <c r="F79" s="13">
        <v>4</v>
      </c>
      <c r="G79" s="22">
        <f>Overview!$B$13</f>
        <v>14</v>
      </c>
      <c r="H79" s="23">
        <f t="shared" si="13"/>
        <v>14</v>
      </c>
      <c r="I79" s="23">
        <f>Overview!$E$13</f>
        <v>0</v>
      </c>
      <c r="J79" s="52">
        <f t="shared" si="14"/>
        <v>0</v>
      </c>
      <c r="K79" s="53">
        <f>Overview!$H$13</f>
        <v>0</v>
      </c>
      <c r="L79" s="54" t="e">
        <f t="shared" si="15"/>
        <v>#DIV/0!</v>
      </c>
      <c r="M79" s="179" t="s">
        <v>953</v>
      </c>
      <c r="N79" s="179" t="s">
        <v>965</v>
      </c>
      <c r="O79" s="141">
        <f t="shared" si="16"/>
        <v>0</v>
      </c>
      <c r="P79" s="181" t="b">
        <f>COUNTIF('Facility Data'!$A$1:$A$1500,"*"&amp;A79&amp;"*")&gt;0</f>
        <v>0</v>
      </c>
      <c r="Q79" s="181" t="b">
        <f>COUNTIF('Account Data'!$A$1:$A$1000,"*"&amp;A79&amp;"*")&gt;0</f>
        <v>0</v>
      </c>
      <c r="R79" s="182" t="b">
        <f t="shared" si="17"/>
        <v>0</v>
      </c>
      <c r="S79" s="182" t="b">
        <f t="shared" si="18"/>
        <v>0</v>
      </c>
      <c r="T79" s="181" t="b">
        <f>COUNTIF('New Items'!$A$1:$A$175,A79)&gt;0</f>
        <v>0</v>
      </c>
      <c r="U79" s="181" t="b">
        <f>COUNTIF(Discontinued!$A$1:$A$150,A79)&gt;0</f>
        <v>0</v>
      </c>
    </row>
    <row r="80" spans="1:21" s="7" customFormat="1" thickBot="1" x14ac:dyDescent="0.25">
      <c r="A80" s="300" t="s">
        <v>280</v>
      </c>
      <c r="B80" s="301"/>
      <c r="C80" s="301"/>
      <c r="D80" s="301"/>
      <c r="E80" s="301"/>
      <c r="F80" s="301"/>
      <c r="G80" s="301"/>
      <c r="H80" s="301"/>
      <c r="I80" s="301"/>
      <c r="J80" s="301"/>
      <c r="K80" s="301"/>
      <c r="L80" s="302"/>
      <c r="M80" s="178"/>
      <c r="N80" s="179" t="s">
        <v>963</v>
      </c>
      <c r="O80" s="141">
        <f>AVERAGE(O81:O177)</f>
        <v>0</v>
      </c>
      <c r="P80" s="180" t="b">
        <f>COUNTIF(P81:P177,TRUE)&gt;0</f>
        <v>1</v>
      </c>
      <c r="Q80" s="180" t="b">
        <f>COUNTIF(Q81:Q177,TRUE)&gt;0</f>
        <v>1</v>
      </c>
      <c r="R80" s="180" t="b">
        <f>COUNTIF(R81:R177,TRUE)&gt;0</f>
        <v>1</v>
      </c>
      <c r="S80" s="180" t="b">
        <f>COUNTIF(S81:S177,TRUE)&gt;0</f>
        <v>1</v>
      </c>
      <c r="T80" s="180" t="b">
        <f>COUNTIF(T81:T177,TRUE)&gt;0</f>
        <v>1</v>
      </c>
      <c r="U80" s="250"/>
    </row>
    <row r="81" spans="1:21" s="8" customFormat="1" ht="11.25" x14ac:dyDescent="0.2">
      <c r="A81" s="152">
        <v>10000829</v>
      </c>
      <c r="B81" s="10" t="s">
        <v>1517</v>
      </c>
      <c r="C81" s="12" t="s">
        <v>102</v>
      </c>
      <c r="D81" s="11" t="s">
        <v>643</v>
      </c>
      <c r="E81" s="12" t="s">
        <v>769</v>
      </c>
      <c r="F81" s="13">
        <v>2</v>
      </c>
      <c r="G81" s="22">
        <f>Overview!$B$14</f>
        <v>14</v>
      </c>
      <c r="H81" s="114">
        <f t="shared" ref="H81:H124" si="19">G81-I81</f>
        <v>14</v>
      </c>
      <c r="I81" s="114">
        <f>Overview!$E$14</f>
        <v>0</v>
      </c>
      <c r="J81" s="175">
        <f t="shared" ref="J81:J124" si="20">I81/F81</f>
        <v>0</v>
      </c>
      <c r="K81" s="174">
        <f>Overview!$H$14</f>
        <v>0</v>
      </c>
      <c r="L81" s="176" t="e">
        <f t="shared" ref="L81:L124" si="21">(K81-J81)/K81</f>
        <v>#DIV/0!</v>
      </c>
      <c r="M81" s="179"/>
      <c r="N81" s="179" t="s">
        <v>963</v>
      </c>
      <c r="O81" s="141">
        <f t="shared" ref="O81:O124" si="22">I81</f>
        <v>0</v>
      </c>
      <c r="P81" s="181" t="b">
        <f>COUNTIF('Facility Data'!$A$1:$A$1500,"*"&amp;A81&amp;"*")&gt;0</f>
        <v>1</v>
      </c>
      <c r="Q81" s="181" t="b">
        <f>COUNTIF('Account Data'!$A$1:$A$1000,"*"&amp;A81&amp;"*")&gt;0</f>
        <v>1</v>
      </c>
      <c r="R81" s="182" t="b">
        <f t="shared" ref="R81:R124" si="23">IF(OR(P81=TRUE,T81=TRUE),TRUE,FALSE)</f>
        <v>1</v>
      </c>
      <c r="S81" s="182" t="b">
        <f t="shared" ref="S81:S124" si="24">IF(OR(Q81=TRUE,T81=TRUE),TRUE,FALSE)</f>
        <v>1</v>
      </c>
      <c r="T81" s="181" t="b">
        <f>COUNTIF('New Items'!$A$1:$A$175,A81)&gt;0</f>
        <v>0</v>
      </c>
      <c r="U81" s="181" t="b">
        <f>COUNTIF(Discontinued!$A$1:$A$150,A81)&gt;0</f>
        <v>0</v>
      </c>
    </row>
    <row r="82" spans="1:21" s="8" customFormat="1" ht="11.25" x14ac:dyDescent="0.2">
      <c r="A82" s="152">
        <v>10033036</v>
      </c>
      <c r="B82" s="10" t="s">
        <v>2795</v>
      </c>
      <c r="C82" s="12" t="s">
        <v>102</v>
      </c>
      <c r="D82" s="11" t="s">
        <v>2798</v>
      </c>
      <c r="E82" s="12" t="s">
        <v>769</v>
      </c>
      <c r="F82" s="13">
        <v>2</v>
      </c>
      <c r="G82" s="22">
        <f>Overview!$B$14</f>
        <v>14</v>
      </c>
      <c r="H82" s="114">
        <f t="shared" si="19"/>
        <v>14</v>
      </c>
      <c r="I82" s="114">
        <f>Overview!$E$14</f>
        <v>0</v>
      </c>
      <c r="J82" s="175">
        <f t="shared" si="20"/>
        <v>0</v>
      </c>
      <c r="K82" s="174">
        <f>Overview!$H$14</f>
        <v>0</v>
      </c>
      <c r="L82" s="176" t="e">
        <f t="shared" si="21"/>
        <v>#DIV/0!</v>
      </c>
      <c r="M82" s="179" t="s">
        <v>1000</v>
      </c>
      <c r="N82" s="179" t="s">
        <v>963</v>
      </c>
      <c r="O82" s="141">
        <f t="shared" si="22"/>
        <v>0</v>
      </c>
      <c r="P82" s="181" t="b">
        <f>COUNTIF('Facility Data'!$A$1:$A$1500,"*"&amp;A82&amp;"*")&gt;0</f>
        <v>0</v>
      </c>
      <c r="Q82" s="181" t="b">
        <f>COUNTIF('Account Data'!$A$1:$A$1000,"*"&amp;A82&amp;"*")&gt;0</f>
        <v>0</v>
      </c>
      <c r="R82" s="182" t="b">
        <f t="shared" si="23"/>
        <v>0</v>
      </c>
      <c r="S82" s="182" t="b">
        <f t="shared" si="24"/>
        <v>0</v>
      </c>
      <c r="T82" s="181" t="b">
        <f>COUNTIF('New Items'!$A$1:$A$175,A82)&gt;0</f>
        <v>0</v>
      </c>
      <c r="U82" s="181" t="b">
        <f>COUNTIF(Discontinued!$A$1:$A$150,A82)&gt;0</f>
        <v>0</v>
      </c>
    </row>
    <row r="83" spans="1:21" s="8" customFormat="1" ht="11.25" x14ac:dyDescent="0.2">
      <c r="A83" s="152">
        <v>10127497</v>
      </c>
      <c r="B83" s="231" t="s">
        <v>3800</v>
      </c>
      <c r="C83" s="118" t="s">
        <v>102</v>
      </c>
      <c r="D83" s="119" t="s">
        <v>3795</v>
      </c>
      <c r="E83" s="118" t="s">
        <v>769</v>
      </c>
      <c r="F83" s="120">
        <v>2</v>
      </c>
      <c r="G83" s="121">
        <f>Overview!$B$14</f>
        <v>14</v>
      </c>
      <c r="H83" s="114">
        <f t="shared" si="19"/>
        <v>14</v>
      </c>
      <c r="I83" s="114">
        <f>Overview!$E$14</f>
        <v>0</v>
      </c>
      <c r="J83" s="175">
        <f t="shared" si="20"/>
        <v>0</v>
      </c>
      <c r="K83" s="174">
        <f>Overview!$H$14</f>
        <v>0</v>
      </c>
      <c r="L83" s="176" t="e">
        <f t="shared" si="21"/>
        <v>#DIV/0!</v>
      </c>
      <c r="M83" s="179" t="s">
        <v>1000</v>
      </c>
      <c r="N83" s="179" t="s">
        <v>963</v>
      </c>
      <c r="O83" s="141">
        <f>I83</f>
        <v>0</v>
      </c>
      <c r="P83" s="181" t="b">
        <f>COUNTIF('Facility Data'!$A$1:$A$1500,"*"&amp;A83&amp;"*")&gt;0</f>
        <v>0</v>
      </c>
      <c r="Q83" s="181" t="b">
        <f>COUNTIF('Account Data'!$A$1:$A$1000,"*"&amp;A83&amp;"*")&gt;0</f>
        <v>0</v>
      </c>
      <c r="R83" s="182" t="b">
        <f t="shared" si="23"/>
        <v>0</v>
      </c>
      <c r="S83" s="182" t="b">
        <f t="shared" si="24"/>
        <v>0</v>
      </c>
      <c r="T83" s="181" t="b">
        <f>COUNTIF('New Items'!$A$1:$A$175,A83)&gt;0</f>
        <v>0</v>
      </c>
      <c r="U83" s="181" t="b">
        <f>COUNTIF(Discontinued!$A$1:$A$150,A83)&gt;0</f>
        <v>0</v>
      </c>
    </row>
    <row r="84" spans="1:21" s="8" customFormat="1" ht="11.25" x14ac:dyDescent="0.2">
      <c r="A84" s="152">
        <v>10001993</v>
      </c>
      <c r="B84" s="10" t="s">
        <v>2794</v>
      </c>
      <c r="C84" s="12" t="s">
        <v>102</v>
      </c>
      <c r="D84" s="11" t="s">
        <v>2796</v>
      </c>
      <c r="E84" s="12" t="s">
        <v>769</v>
      </c>
      <c r="F84" s="13">
        <v>2</v>
      </c>
      <c r="G84" s="22">
        <f>Overview!$B$14</f>
        <v>14</v>
      </c>
      <c r="H84" s="114">
        <f t="shared" si="19"/>
        <v>14</v>
      </c>
      <c r="I84" s="114">
        <f>Overview!$E$14</f>
        <v>0</v>
      </c>
      <c r="J84" s="175">
        <f t="shared" si="20"/>
        <v>0</v>
      </c>
      <c r="K84" s="174">
        <f>Overview!$H$14</f>
        <v>0</v>
      </c>
      <c r="L84" s="176" t="e">
        <f t="shared" si="21"/>
        <v>#DIV/0!</v>
      </c>
      <c r="M84" s="179"/>
      <c r="N84" s="179" t="s">
        <v>963</v>
      </c>
      <c r="O84" s="141">
        <f t="shared" si="22"/>
        <v>0</v>
      </c>
      <c r="P84" s="181" t="b">
        <f>COUNTIF('Facility Data'!$A$1:$A$1500,"*"&amp;A84&amp;"*")&gt;0</f>
        <v>0</v>
      </c>
      <c r="Q84" s="181" t="b">
        <f>COUNTIF('Account Data'!$A$1:$A$1000,"*"&amp;A84&amp;"*")&gt;0</f>
        <v>0</v>
      </c>
      <c r="R84" s="182" t="b">
        <f t="shared" si="23"/>
        <v>0</v>
      </c>
      <c r="S84" s="182" t="b">
        <f t="shared" si="24"/>
        <v>0</v>
      </c>
      <c r="T84" s="181" t="b">
        <f>COUNTIF('New Items'!$A$1:$A$175,A84)&gt;0</f>
        <v>0</v>
      </c>
      <c r="U84" s="181" t="b">
        <f>COUNTIF(Discontinued!$A$1:$A$150,A84)&gt;0</f>
        <v>0</v>
      </c>
    </row>
    <row r="85" spans="1:21" s="8" customFormat="1" ht="11.25" x14ac:dyDescent="0.2">
      <c r="A85" s="152">
        <v>10002431</v>
      </c>
      <c r="B85" s="10" t="s">
        <v>65</v>
      </c>
      <c r="C85" s="12" t="s">
        <v>102</v>
      </c>
      <c r="D85" s="11" t="s">
        <v>2797</v>
      </c>
      <c r="E85" s="12" t="s">
        <v>769</v>
      </c>
      <c r="F85" s="13">
        <v>2</v>
      </c>
      <c r="G85" s="22">
        <f>Overview!$B$14</f>
        <v>14</v>
      </c>
      <c r="H85" s="114">
        <f t="shared" si="19"/>
        <v>14</v>
      </c>
      <c r="I85" s="114">
        <f>Overview!$E$14</f>
        <v>0</v>
      </c>
      <c r="J85" s="175">
        <f t="shared" si="20"/>
        <v>0</v>
      </c>
      <c r="K85" s="174">
        <f>Overview!$H$14</f>
        <v>0</v>
      </c>
      <c r="L85" s="176" t="e">
        <f t="shared" si="21"/>
        <v>#DIV/0!</v>
      </c>
      <c r="M85" s="179"/>
      <c r="N85" s="179" t="s">
        <v>963</v>
      </c>
      <c r="O85" s="141">
        <f t="shared" si="22"/>
        <v>0</v>
      </c>
      <c r="P85" s="181" t="b">
        <f>COUNTIF('Facility Data'!$A$1:$A$1500,"*"&amp;A85&amp;"*")&gt;0</f>
        <v>0</v>
      </c>
      <c r="Q85" s="181" t="b">
        <f>COUNTIF('Account Data'!$A$1:$A$1000,"*"&amp;A85&amp;"*")&gt;0</f>
        <v>1</v>
      </c>
      <c r="R85" s="182" t="b">
        <f t="shared" si="23"/>
        <v>0</v>
      </c>
      <c r="S85" s="182" t="b">
        <f t="shared" si="24"/>
        <v>1</v>
      </c>
      <c r="T85" s="181" t="b">
        <f>COUNTIF('New Items'!$A$1:$A$175,A85)&gt;0</f>
        <v>0</v>
      </c>
      <c r="U85" s="181" t="b">
        <f>COUNTIF(Discontinued!$A$1:$A$150,A85)&gt;0</f>
        <v>0</v>
      </c>
    </row>
    <row r="86" spans="1:21" s="8" customFormat="1" ht="11.25" x14ac:dyDescent="0.2">
      <c r="A86" s="160">
        <v>10000830</v>
      </c>
      <c r="B86" s="231" t="s">
        <v>4744</v>
      </c>
      <c r="C86" s="118" t="s">
        <v>91</v>
      </c>
      <c r="D86" s="119" t="s">
        <v>4733</v>
      </c>
      <c r="E86" s="118" t="s">
        <v>769</v>
      </c>
      <c r="F86" s="120">
        <v>2</v>
      </c>
      <c r="G86" s="121">
        <f>Overview!$B$14</f>
        <v>14</v>
      </c>
      <c r="H86" s="114">
        <f>G86-I86</f>
        <v>14</v>
      </c>
      <c r="I86" s="114">
        <f>Overview!$E$14</f>
        <v>0</v>
      </c>
      <c r="J86" s="175">
        <f>I86/F86</f>
        <v>0</v>
      </c>
      <c r="K86" s="174">
        <f>Overview!$H$14</f>
        <v>0</v>
      </c>
      <c r="L86" s="176" t="e">
        <f>(K86-J86)/K86</f>
        <v>#DIV/0!</v>
      </c>
      <c r="M86" s="179"/>
      <c r="N86" s="179" t="s">
        <v>963</v>
      </c>
      <c r="O86" s="141">
        <f>I86</f>
        <v>0</v>
      </c>
      <c r="P86" s="181" t="b">
        <f>COUNTIF('Facility Data'!$A$1:$A$1500,"*"&amp;A86&amp;"*")&gt;0</f>
        <v>1</v>
      </c>
      <c r="Q86" s="181" t="b">
        <f>COUNTIF('Account Data'!$A$1:$A$1000,"*"&amp;A86&amp;"*")&gt;0</f>
        <v>1</v>
      </c>
      <c r="R86" s="182" t="b">
        <f>IF(OR(P86=TRUE,T86=TRUE),TRUE,FALSE)</f>
        <v>1</v>
      </c>
      <c r="S86" s="182" t="b">
        <f>IF(OR(Q86=TRUE,T86=TRUE),TRUE,FALSE)</f>
        <v>1</v>
      </c>
      <c r="T86" s="181" t="b">
        <f>COUNTIF('New Items'!$A$1:$A$175,A86)&gt;0</f>
        <v>0</v>
      </c>
      <c r="U86" s="181" t="b">
        <f>COUNTIF(Discontinued!$A$1:$A$150,A86)&gt;0</f>
        <v>0</v>
      </c>
    </row>
    <row r="87" spans="1:21" s="8" customFormat="1" ht="11.25" x14ac:dyDescent="0.2">
      <c r="A87" s="152">
        <v>10127494</v>
      </c>
      <c r="B87" s="231" t="s">
        <v>4786</v>
      </c>
      <c r="C87" s="118" t="s">
        <v>91</v>
      </c>
      <c r="D87" s="119" t="s">
        <v>4787</v>
      </c>
      <c r="E87" s="118" t="s">
        <v>769</v>
      </c>
      <c r="F87" s="120">
        <v>2</v>
      </c>
      <c r="G87" s="121">
        <f>Overview!$B$14</f>
        <v>14</v>
      </c>
      <c r="H87" s="114">
        <f>G87-I87</f>
        <v>14</v>
      </c>
      <c r="I87" s="114">
        <f>Overview!$E$14</f>
        <v>0</v>
      </c>
      <c r="J87" s="175">
        <f>I87/F87</f>
        <v>0</v>
      </c>
      <c r="K87" s="174">
        <f>Overview!$H$14</f>
        <v>0</v>
      </c>
      <c r="L87" s="176" t="e">
        <f>(K87-J87)/K87</f>
        <v>#DIV/0!</v>
      </c>
      <c r="M87" s="179" t="s">
        <v>1000</v>
      </c>
      <c r="N87" s="179" t="s">
        <v>963</v>
      </c>
      <c r="O87" s="141">
        <f>I87</f>
        <v>0</v>
      </c>
      <c r="P87" s="181" t="b">
        <f>COUNTIF('Facility Data'!$A$1:$A$1500,"*"&amp;A87&amp;"*")&gt;0</f>
        <v>0</v>
      </c>
      <c r="Q87" s="181" t="b">
        <f>COUNTIF('Account Data'!$A$1:$A$1000,"*"&amp;A87&amp;"*")&gt;0</f>
        <v>0</v>
      </c>
      <c r="R87" s="182" t="b">
        <f>IF(OR(P87=TRUE,T87=TRUE),TRUE,FALSE)</f>
        <v>0</v>
      </c>
      <c r="S87" s="182" t="b">
        <f>IF(OR(Q87=TRUE,T87=TRUE),TRUE,FALSE)</f>
        <v>0</v>
      </c>
      <c r="T87" s="181" t="b">
        <f>COUNTIF('New Items'!$A$1:$A$175,A87)&gt;0</f>
        <v>0</v>
      </c>
      <c r="U87" s="181" t="b">
        <f>COUNTIF(Discontinued!$A$1:$A$150,A87)&gt;0</f>
        <v>0</v>
      </c>
    </row>
    <row r="88" spans="1:21" s="8" customFormat="1" ht="11.25" x14ac:dyDescent="0.2">
      <c r="A88" s="160">
        <v>10002009</v>
      </c>
      <c r="B88" s="231" t="s">
        <v>4745</v>
      </c>
      <c r="C88" s="118" t="s">
        <v>91</v>
      </c>
      <c r="D88" s="119" t="s">
        <v>4746</v>
      </c>
      <c r="E88" s="118" t="s">
        <v>769</v>
      </c>
      <c r="F88" s="120">
        <v>2</v>
      </c>
      <c r="G88" s="121">
        <f>Overview!$B$14</f>
        <v>14</v>
      </c>
      <c r="H88" s="114">
        <f>G88-I88</f>
        <v>14</v>
      </c>
      <c r="I88" s="114">
        <f>Overview!$E$14</f>
        <v>0</v>
      </c>
      <c r="J88" s="175">
        <f>I88/F88</f>
        <v>0</v>
      </c>
      <c r="K88" s="174">
        <f>Overview!$H$14</f>
        <v>0</v>
      </c>
      <c r="L88" s="176" t="e">
        <f>(K88-J88)/K88</f>
        <v>#DIV/0!</v>
      </c>
      <c r="M88" s="179"/>
      <c r="N88" s="179" t="s">
        <v>963</v>
      </c>
      <c r="O88" s="141">
        <f>I88</f>
        <v>0</v>
      </c>
      <c r="P88" s="181" t="b">
        <f>COUNTIF('Facility Data'!$A$1:$A$1500,"*"&amp;A88&amp;"*")&gt;0</f>
        <v>0</v>
      </c>
      <c r="Q88" s="181" t="b">
        <f>COUNTIF('Account Data'!$A$1:$A$1000,"*"&amp;A88&amp;"*")&gt;0</f>
        <v>0</v>
      </c>
      <c r="R88" s="182" t="b">
        <f>IF(OR(P88=TRUE,T88=TRUE),TRUE,FALSE)</f>
        <v>0</v>
      </c>
      <c r="S88" s="182" t="b">
        <f>IF(OR(Q88=TRUE,T88=TRUE),TRUE,FALSE)</f>
        <v>0</v>
      </c>
      <c r="T88" s="181" t="b">
        <f>COUNTIF('New Items'!$A$1:$A$175,A88)&gt;0</f>
        <v>0</v>
      </c>
      <c r="U88" s="181" t="b">
        <f>COUNTIF(Discontinued!$A$1:$A$150,A88)&gt;0</f>
        <v>0</v>
      </c>
    </row>
    <row r="89" spans="1:21" s="8" customFormat="1" ht="11.25" x14ac:dyDescent="0.2">
      <c r="A89" s="160">
        <v>10002432</v>
      </c>
      <c r="B89" s="231" t="s">
        <v>4747</v>
      </c>
      <c r="C89" s="118" t="s">
        <v>91</v>
      </c>
      <c r="D89" s="119" t="s">
        <v>4748</v>
      </c>
      <c r="E89" s="118" t="s">
        <v>769</v>
      </c>
      <c r="F89" s="120">
        <v>2</v>
      </c>
      <c r="G89" s="121">
        <f>Overview!$B$14</f>
        <v>14</v>
      </c>
      <c r="H89" s="114">
        <f>G89-I89</f>
        <v>14</v>
      </c>
      <c r="I89" s="114">
        <f>Overview!$E$14</f>
        <v>0</v>
      </c>
      <c r="J89" s="175">
        <f>I89/F89</f>
        <v>0</v>
      </c>
      <c r="K89" s="174">
        <f>Overview!$H$14</f>
        <v>0</v>
      </c>
      <c r="L89" s="176" t="e">
        <f>(K89-J89)/K89</f>
        <v>#DIV/0!</v>
      </c>
      <c r="M89" s="179"/>
      <c r="N89" s="179" t="s">
        <v>963</v>
      </c>
      <c r="O89" s="141">
        <f>I89</f>
        <v>0</v>
      </c>
      <c r="P89" s="181" t="b">
        <f>COUNTIF('Facility Data'!$A$1:$A$1500,"*"&amp;A89&amp;"*")&gt;0</f>
        <v>0</v>
      </c>
      <c r="Q89" s="181" t="b">
        <f>COUNTIF('Account Data'!$A$1:$A$1000,"*"&amp;A89&amp;"*")&gt;0</f>
        <v>1</v>
      </c>
      <c r="R89" s="182" t="b">
        <f>IF(OR(P89=TRUE,T89=TRUE),TRUE,FALSE)</f>
        <v>0</v>
      </c>
      <c r="S89" s="182" t="b">
        <f>IF(OR(Q89=TRUE,T89=TRUE),TRUE,FALSE)</f>
        <v>1</v>
      </c>
      <c r="T89" s="181" t="b">
        <f>COUNTIF('New Items'!$A$1:$A$175,A89)&gt;0</f>
        <v>0</v>
      </c>
      <c r="U89" s="181" t="b">
        <f>COUNTIF(Discontinued!$A$1:$A$150,A89)&gt;0</f>
        <v>0</v>
      </c>
    </row>
    <row r="90" spans="1:21" s="8" customFormat="1" ht="11.25" x14ac:dyDescent="0.2">
      <c r="A90" s="152">
        <v>10000831</v>
      </c>
      <c r="B90" s="10" t="s">
        <v>64</v>
      </c>
      <c r="C90" s="12" t="s">
        <v>101</v>
      </c>
      <c r="D90" s="11" t="s">
        <v>646</v>
      </c>
      <c r="E90" s="12" t="s">
        <v>769</v>
      </c>
      <c r="F90" s="13">
        <v>2</v>
      </c>
      <c r="G90" s="22">
        <f>Overview!$B$14</f>
        <v>14</v>
      </c>
      <c r="H90" s="114">
        <f t="shared" si="19"/>
        <v>14</v>
      </c>
      <c r="I90" s="114">
        <f>Overview!$E$14</f>
        <v>0</v>
      </c>
      <c r="J90" s="175">
        <f t="shared" si="20"/>
        <v>0</v>
      </c>
      <c r="K90" s="174">
        <f>Overview!$H$14</f>
        <v>0</v>
      </c>
      <c r="L90" s="176" t="e">
        <f t="shared" si="21"/>
        <v>#DIV/0!</v>
      </c>
      <c r="M90" s="179" t="s">
        <v>4406</v>
      </c>
      <c r="N90" s="179" t="s">
        <v>963</v>
      </c>
      <c r="O90" s="141">
        <f t="shared" si="22"/>
        <v>0</v>
      </c>
      <c r="P90" s="181" t="b">
        <f>COUNTIF('Facility Data'!$A$1:$A$1500,"*"&amp;A90&amp;"*")&gt;0</f>
        <v>1</v>
      </c>
      <c r="Q90" s="181" t="b">
        <f>COUNTIF('Account Data'!$A$1:$A$1000,"*"&amp;A90&amp;"*")&gt;0</f>
        <v>1</v>
      </c>
      <c r="R90" s="182" t="b">
        <f t="shared" si="23"/>
        <v>1</v>
      </c>
      <c r="S90" s="182" t="b">
        <f t="shared" si="24"/>
        <v>1</v>
      </c>
      <c r="T90" s="181" t="b">
        <f>COUNTIF('New Items'!$A$1:$A$175,A90)&gt;0</f>
        <v>0</v>
      </c>
      <c r="U90" s="181" t="b">
        <f>COUNTIF(Discontinued!$A$1:$A$150,A90)&gt;0</f>
        <v>0</v>
      </c>
    </row>
    <row r="91" spans="1:21" s="8" customFormat="1" ht="11.25" x14ac:dyDescent="0.2">
      <c r="A91" s="160">
        <v>10000832</v>
      </c>
      <c r="B91" s="231" t="s">
        <v>4752</v>
      </c>
      <c r="C91" s="118" t="s">
        <v>90</v>
      </c>
      <c r="D91" s="119" t="s">
        <v>4753</v>
      </c>
      <c r="E91" s="118" t="s">
        <v>769</v>
      </c>
      <c r="F91" s="120">
        <v>2</v>
      </c>
      <c r="G91" s="121">
        <f>Overview!$B$14</f>
        <v>14</v>
      </c>
      <c r="H91" s="114">
        <f>G91-I91</f>
        <v>14</v>
      </c>
      <c r="I91" s="114">
        <f>Overview!$E$14</f>
        <v>0</v>
      </c>
      <c r="J91" s="175">
        <f>I91/F91</f>
        <v>0</v>
      </c>
      <c r="K91" s="174">
        <f>Overview!$H$14</f>
        <v>0</v>
      </c>
      <c r="L91" s="176" t="e">
        <f>(K91-J91)/K91</f>
        <v>#DIV/0!</v>
      </c>
      <c r="M91" s="179" t="s">
        <v>4406</v>
      </c>
      <c r="N91" s="179" t="s">
        <v>963</v>
      </c>
      <c r="O91" s="141">
        <f>I91</f>
        <v>0</v>
      </c>
      <c r="P91" s="181" t="b">
        <f>COUNTIF('Facility Data'!$A$1:$A$1500,"*"&amp;A91&amp;"*")&gt;0</f>
        <v>1</v>
      </c>
      <c r="Q91" s="181" t="b">
        <f>COUNTIF('Account Data'!$A$1:$A$1000,"*"&amp;A91&amp;"*")&gt;0</f>
        <v>0</v>
      </c>
      <c r="R91" s="182" t="b">
        <f>IF(OR(P91=TRUE,T91=TRUE),TRUE,FALSE)</f>
        <v>1</v>
      </c>
      <c r="S91" s="182" t="b">
        <f>IF(OR(Q91=TRUE,T91=TRUE),TRUE,FALSE)</f>
        <v>0</v>
      </c>
      <c r="T91" s="181" t="b">
        <f>COUNTIF('New Items'!$A$1:$A$175,A91)&gt;0</f>
        <v>0</v>
      </c>
      <c r="U91" s="181" t="b">
        <f>COUNTIF(Discontinued!$A$1:$A$150,A91)&gt;0</f>
        <v>0</v>
      </c>
    </row>
    <row r="92" spans="1:21" s="8" customFormat="1" ht="11.25" x14ac:dyDescent="0.2">
      <c r="A92" s="152">
        <v>10000852</v>
      </c>
      <c r="B92" s="10" t="s">
        <v>1521</v>
      </c>
      <c r="C92" s="12" t="s">
        <v>100</v>
      </c>
      <c r="D92" s="11" t="s">
        <v>645</v>
      </c>
      <c r="E92" s="12" t="s">
        <v>769</v>
      </c>
      <c r="F92" s="13">
        <v>2</v>
      </c>
      <c r="G92" s="22">
        <f>Overview!$B$14</f>
        <v>14</v>
      </c>
      <c r="H92" s="114">
        <f t="shared" si="19"/>
        <v>14</v>
      </c>
      <c r="I92" s="114">
        <f>Overview!$E$14</f>
        <v>0</v>
      </c>
      <c r="J92" s="175">
        <f t="shared" si="20"/>
        <v>0</v>
      </c>
      <c r="K92" s="174">
        <f>Overview!$H$14</f>
        <v>0</v>
      </c>
      <c r="L92" s="176" t="e">
        <f t="shared" si="21"/>
        <v>#DIV/0!</v>
      </c>
      <c r="M92" s="179" t="s">
        <v>4406</v>
      </c>
      <c r="N92" s="179" t="s">
        <v>963</v>
      </c>
      <c r="O92" s="141">
        <f t="shared" si="22"/>
        <v>0</v>
      </c>
      <c r="P92" s="181" t="b">
        <f>COUNTIF('Facility Data'!$A$1:$A$1500,"*"&amp;A92&amp;"*")&gt;0</f>
        <v>1</v>
      </c>
      <c r="Q92" s="181" t="b">
        <f>COUNTIF('Account Data'!$A$1:$A$1000,"*"&amp;A92&amp;"*")&gt;0</f>
        <v>1</v>
      </c>
      <c r="R92" s="182" t="b">
        <f t="shared" si="23"/>
        <v>1</v>
      </c>
      <c r="S92" s="182" t="b">
        <f t="shared" si="24"/>
        <v>1</v>
      </c>
      <c r="T92" s="181" t="b">
        <f>COUNTIF('New Items'!$A$1:$A$175,A92)&gt;0</f>
        <v>0</v>
      </c>
      <c r="U92" s="181" t="b">
        <f>COUNTIF(Discontinued!$A$1:$A$150,A92)&gt;0</f>
        <v>0</v>
      </c>
    </row>
    <row r="93" spans="1:21" s="8" customFormat="1" ht="11.25" x14ac:dyDescent="0.2">
      <c r="A93" s="152">
        <v>10097747</v>
      </c>
      <c r="B93" s="10" t="s">
        <v>2862</v>
      </c>
      <c r="C93" s="12" t="s">
        <v>100</v>
      </c>
      <c r="D93" s="11" t="s">
        <v>2863</v>
      </c>
      <c r="E93" s="12" t="s">
        <v>769</v>
      </c>
      <c r="F93" s="13">
        <v>2</v>
      </c>
      <c r="G93" s="22">
        <f>Overview!$B$14</f>
        <v>14</v>
      </c>
      <c r="H93" s="114">
        <f t="shared" si="19"/>
        <v>14</v>
      </c>
      <c r="I93" s="114">
        <f>Overview!$E$14</f>
        <v>0</v>
      </c>
      <c r="J93" s="175">
        <f t="shared" si="20"/>
        <v>0</v>
      </c>
      <c r="K93" s="174">
        <f>Overview!$H$14</f>
        <v>0</v>
      </c>
      <c r="L93" s="176" t="e">
        <f t="shared" si="21"/>
        <v>#DIV/0!</v>
      </c>
      <c r="M93" s="179" t="s">
        <v>4406</v>
      </c>
      <c r="N93" s="179" t="s">
        <v>963</v>
      </c>
      <c r="O93" s="141">
        <f t="shared" si="22"/>
        <v>0</v>
      </c>
      <c r="P93" s="181" t="b">
        <f>COUNTIF('Facility Data'!$A$1:$A$1500,"*"&amp;A93&amp;"*")&gt;0</f>
        <v>0</v>
      </c>
      <c r="Q93" s="181" t="b">
        <f>COUNTIF('Account Data'!$A$1:$A$1000,"*"&amp;A93&amp;"*")&gt;0</f>
        <v>0</v>
      </c>
      <c r="R93" s="182" t="b">
        <f t="shared" si="23"/>
        <v>0</v>
      </c>
      <c r="S93" s="182" t="b">
        <f t="shared" si="24"/>
        <v>0</v>
      </c>
      <c r="T93" s="181" t="b">
        <f>COUNTIF('New Items'!$A$1:$A$175,A93)&gt;0</f>
        <v>0</v>
      </c>
      <c r="U93" s="181" t="b">
        <f>COUNTIF(Discontinued!$A$1:$A$150,A93)&gt;0</f>
        <v>0</v>
      </c>
    </row>
    <row r="94" spans="1:21" s="8" customFormat="1" ht="11.25" x14ac:dyDescent="0.2">
      <c r="A94" s="152">
        <v>10002011</v>
      </c>
      <c r="B94" s="10" t="s">
        <v>2800</v>
      </c>
      <c r="C94" s="12" t="s">
        <v>100</v>
      </c>
      <c r="D94" s="11" t="s">
        <v>2802</v>
      </c>
      <c r="E94" s="12" t="s">
        <v>769</v>
      </c>
      <c r="F94" s="13">
        <v>2</v>
      </c>
      <c r="G94" s="22">
        <f>Overview!$B$14</f>
        <v>14</v>
      </c>
      <c r="H94" s="114">
        <f t="shared" si="19"/>
        <v>14</v>
      </c>
      <c r="I94" s="114">
        <f>Overview!$E$14</f>
        <v>0</v>
      </c>
      <c r="J94" s="175">
        <f t="shared" si="20"/>
        <v>0</v>
      </c>
      <c r="K94" s="174">
        <f>Overview!$H$14</f>
        <v>0</v>
      </c>
      <c r="L94" s="176" t="e">
        <f t="shared" si="21"/>
        <v>#DIV/0!</v>
      </c>
      <c r="M94" s="179" t="s">
        <v>4406</v>
      </c>
      <c r="N94" s="179" t="s">
        <v>963</v>
      </c>
      <c r="O94" s="141">
        <f t="shared" si="22"/>
        <v>0</v>
      </c>
      <c r="P94" s="181" t="b">
        <f>COUNTIF('Facility Data'!$A$1:$A$1500,"*"&amp;A94&amp;"*")&gt;0</f>
        <v>0</v>
      </c>
      <c r="Q94" s="181" t="b">
        <f>COUNTIF('Account Data'!$A$1:$A$1000,"*"&amp;A94&amp;"*")&gt;0</f>
        <v>0</v>
      </c>
      <c r="R94" s="182" t="b">
        <f t="shared" si="23"/>
        <v>0</v>
      </c>
      <c r="S94" s="182" t="b">
        <f t="shared" si="24"/>
        <v>0</v>
      </c>
      <c r="T94" s="181" t="b">
        <f>COUNTIF('New Items'!$A$1:$A$175,A94)&gt;0</f>
        <v>0</v>
      </c>
      <c r="U94" s="181" t="b">
        <f>COUNTIF(Discontinued!$A$1:$A$150,A94)&gt;0</f>
        <v>0</v>
      </c>
    </row>
    <row r="95" spans="1:21" s="8" customFormat="1" ht="11.25" x14ac:dyDescent="0.2">
      <c r="A95" s="152">
        <v>10002456</v>
      </c>
      <c r="B95" s="10" t="s">
        <v>63</v>
      </c>
      <c r="C95" s="12" t="s">
        <v>100</v>
      </c>
      <c r="D95" s="11" t="s">
        <v>2801</v>
      </c>
      <c r="E95" s="12" t="s">
        <v>769</v>
      </c>
      <c r="F95" s="13">
        <v>2</v>
      </c>
      <c r="G95" s="22">
        <f>Overview!$B$14</f>
        <v>14</v>
      </c>
      <c r="H95" s="114">
        <f t="shared" si="19"/>
        <v>14</v>
      </c>
      <c r="I95" s="114">
        <f>Overview!$E$14</f>
        <v>0</v>
      </c>
      <c r="J95" s="175">
        <f t="shared" si="20"/>
        <v>0</v>
      </c>
      <c r="K95" s="174">
        <f>Overview!$H$14</f>
        <v>0</v>
      </c>
      <c r="L95" s="176" t="e">
        <f t="shared" si="21"/>
        <v>#DIV/0!</v>
      </c>
      <c r="M95" s="179" t="s">
        <v>4406</v>
      </c>
      <c r="N95" s="179" t="s">
        <v>963</v>
      </c>
      <c r="O95" s="141">
        <f t="shared" si="22"/>
        <v>0</v>
      </c>
      <c r="P95" s="181" t="b">
        <f>COUNTIF('Facility Data'!$A$1:$A$1500,"*"&amp;A95&amp;"*")&gt;0</f>
        <v>0</v>
      </c>
      <c r="Q95" s="181" t="b">
        <f>COUNTIF('Account Data'!$A$1:$A$1000,"*"&amp;A95&amp;"*")&gt;0</f>
        <v>1</v>
      </c>
      <c r="R95" s="182" t="b">
        <f t="shared" si="23"/>
        <v>0</v>
      </c>
      <c r="S95" s="182" t="b">
        <f t="shared" si="24"/>
        <v>1</v>
      </c>
      <c r="T95" s="181" t="b">
        <f>COUNTIF('New Items'!$A$1:$A$175,A95)&gt;0</f>
        <v>0</v>
      </c>
      <c r="U95" s="181" t="b">
        <f>COUNTIF(Discontinued!$A$1:$A$150,A95)&gt;0</f>
        <v>0</v>
      </c>
    </row>
    <row r="96" spans="1:21" s="8" customFormat="1" ht="11.25" x14ac:dyDescent="0.2">
      <c r="A96" s="160">
        <v>10000853</v>
      </c>
      <c r="B96" s="231" t="s">
        <v>4751</v>
      </c>
      <c r="C96" s="118" t="s">
        <v>89</v>
      </c>
      <c r="D96" s="119" t="s">
        <v>4735</v>
      </c>
      <c r="E96" s="118" t="s">
        <v>769</v>
      </c>
      <c r="F96" s="120">
        <v>2</v>
      </c>
      <c r="G96" s="121">
        <f>Overview!$B$14</f>
        <v>14</v>
      </c>
      <c r="H96" s="114">
        <f>G96-I96</f>
        <v>14</v>
      </c>
      <c r="I96" s="114">
        <f>Overview!$E$14</f>
        <v>0</v>
      </c>
      <c r="J96" s="175">
        <f>I96/F96</f>
        <v>0</v>
      </c>
      <c r="K96" s="174">
        <f>Overview!$H$14</f>
        <v>0</v>
      </c>
      <c r="L96" s="176" t="e">
        <f>(K96-J96)/K96</f>
        <v>#DIV/0!</v>
      </c>
      <c r="M96" s="179" t="s">
        <v>4406</v>
      </c>
      <c r="N96" s="179" t="s">
        <v>963</v>
      </c>
      <c r="O96" s="141">
        <f>I96</f>
        <v>0</v>
      </c>
      <c r="P96" s="181" t="b">
        <f>COUNTIF('Facility Data'!$A$1:$A$1500,"*"&amp;A96&amp;"*")&gt;0</f>
        <v>1</v>
      </c>
      <c r="Q96" s="181" t="b">
        <f>COUNTIF('Account Data'!$A$1:$A$1000,"*"&amp;A96&amp;"*")&gt;0</f>
        <v>1</v>
      </c>
      <c r="R96" s="182" t="b">
        <f>IF(OR(P96=TRUE,T96=TRUE),TRUE,FALSE)</f>
        <v>1</v>
      </c>
      <c r="S96" s="182" t="b">
        <f>IF(OR(Q96=TRUE,T96=TRUE),TRUE,FALSE)</f>
        <v>1</v>
      </c>
      <c r="T96" s="181" t="b">
        <f>COUNTIF('New Items'!$A$1:$A$175,A96)&gt;0</f>
        <v>0</v>
      </c>
      <c r="U96" s="181" t="b">
        <f>COUNTIF(Discontinued!$A$1:$A$150,A96)&gt;0</f>
        <v>0</v>
      </c>
    </row>
    <row r="97" spans="1:21" s="8" customFormat="1" ht="11.25" x14ac:dyDescent="0.2">
      <c r="A97" s="152">
        <v>10000104</v>
      </c>
      <c r="B97" s="10" t="s">
        <v>1390</v>
      </c>
      <c r="C97" s="12" t="s">
        <v>1391</v>
      </c>
      <c r="D97" s="11" t="s">
        <v>1299</v>
      </c>
      <c r="E97" s="12" t="s">
        <v>769</v>
      </c>
      <c r="F97" s="13">
        <v>2</v>
      </c>
      <c r="G97" s="22">
        <f>Overview!$B$14</f>
        <v>14</v>
      </c>
      <c r="H97" s="114">
        <f t="shared" si="19"/>
        <v>14</v>
      </c>
      <c r="I97" s="114">
        <f>Overview!$E$14</f>
        <v>0</v>
      </c>
      <c r="J97" s="175">
        <f t="shared" si="20"/>
        <v>0</v>
      </c>
      <c r="K97" s="174">
        <f>Overview!$H$14</f>
        <v>0</v>
      </c>
      <c r="L97" s="176" t="e">
        <f t="shared" si="21"/>
        <v>#DIV/0!</v>
      </c>
      <c r="M97" s="179"/>
      <c r="N97" s="179" t="s">
        <v>963</v>
      </c>
      <c r="O97" s="141">
        <f t="shared" si="22"/>
        <v>0</v>
      </c>
      <c r="P97" s="181" t="b">
        <f>COUNTIF('Facility Data'!$A$1:$A$1500,"*"&amp;A97&amp;"*")&gt;0</f>
        <v>1</v>
      </c>
      <c r="Q97" s="181" t="b">
        <f>COUNTIF('Account Data'!$A$1:$A$1000,"*"&amp;A97&amp;"*")&gt;0</f>
        <v>0</v>
      </c>
      <c r="R97" s="182" t="b">
        <f t="shared" si="23"/>
        <v>1</v>
      </c>
      <c r="S97" s="182" t="b">
        <f t="shared" si="24"/>
        <v>0</v>
      </c>
      <c r="T97" s="181" t="b">
        <f>COUNTIF('New Items'!$A$1:$A$175,A97)&gt;0</f>
        <v>0</v>
      </c>
      <c r="U97" s="181" t="b">
        <f>COUNTIF(Discontinued!$A$1:$A$150,A97)&gt;0</f>
        <v>0</v>
      </c>
    </row>
    <row r="98" spans="1:21" s="8" customFormat="1" ht="11.25" x14ac:dyDescent="0.2">
      <c r="A98" s="152">
        <v>10000883</v>
      </c>
      <c r="B98" s="10" t="s">
        <v>1392</v>
      </c>
      <c r="C98" s="12" t="s">
        <v>1393</v>
      </c>
      <c r="D98" s="11" t="s">
        <v>1386</v>
      </c>
      <c r="E98" s="12" t="s">
        <v>769</v>
      </c>
      <c r="F98" s="13">
        <v>2</v>
      </c>
      <c r="G98" s="22">
        <f>Overview!$B$14</f>
        <v>14</v>
      </c>
      <c r="H98" s="114">
        <f t="shared" si="19"/>
        <v>14</v>
      </c>
      <c r="I98" s="114">
        <f>Overview!$E$14</f>
        <v>0</v>
      </c>
      <c r="J98" s="175">
        <f t="shared" si="20"/>
        <v>0</v>
      </c>
      <c r="K98" s="174">
        <f>Overview!$H$14</f>
        <v>0</v>
      </c>
      <c r="L98" s="176" t="e">
        <f t="shared" si="21"/>
        <v>#DIV/0!</v>
      </c>
      <c r="M98" s="179"/>
      <c r="N98" s="179" t="s">
        <v>963</v>
      </c>
      <c r="O98" s="141">
        <f t="shared" si="22"/>
        <v>0</v>
      </c>
      <c r="P98" s="181" t="b">
        <f>COUNTIF('Facility Data'!$A$1:$A$1500,"*"&amp;A98&amp;"*")&gt;0</f>
        <v>0</v>
      </c>
      <c r="Q98" s="181" t="b">
        <f>COUNTIF('Account Data'!$A$1:$A$1000,"*"&amp;A98&amp;"*")&gt;0</f>
        <v>0</v>
      </c>
      <c r="R98" s="182" t="b">
        <f t="shared" si="23"/>
        <v>0</v>
      </c>
      <c r="S98" s="182" t="b">
        <f t="shared" si="24"/>
        <v>0</v>
      </c>
      <c r="T98" s="181" t="b">
        <f>COUNTIF('New Items'!$A$1:$A$175,A98)&gt;0</f>
        <v>0</v>
      </c>
      <c r="U98" s="181" t="b">
        <f>COUNTIF(Discontinued!$A$1:$A$150,A98)&gt;0</f>
        <v>0</v>
      </c>
    </row>
    <row r="99" spans="1:21" s="8" customFormat="1" ht="11.25" x14ac:dyDescent="0.2">
      <c r="A99" s="152">
        <v>10000184</v>
      </c>
      <c r="B99" s="10" t="s">
        <v>1394</v>
      </c>
      <c r="C99" s="12" t="s">
        <v>1395</v>
      </c>
      <c r="D99" s="11" t="s">
        <v>1387</v>
      </c>
      <c r="E99" s="12" t="s">
        <v>769</v>
      </c>
      <c r="F99" s="13">
        <v>2</v>
      </c>
      <c r="G99" s="22">
        <f>Overview!$B$14</f>
        <v>14</v>
      </c>
      <c r="H99" s="114">
        <f t="shared" si="19"/>
        <v>14</v>
      </c>
      <c r="I99" s="114">
        <f>Overview!$E$14</f>
        <v>0</v>
      </c>
      <c r="J99" s="175">
        <f t="shared" si="20"/>
        <v>0</v>
      </c>
      <c r="K99" s="174">
        <f>Overview!$H$14</f>
        <v>0</v>
      </c>
      <c r="L99" s="176" t="e">
        <f t="shared" si="21"/>
        <v>#DIV/0!</v>
      </c>
      <c r="M99" s="179"/>
      <c r="N99" s="179" t="s">
        <v>963</v>
      </c>
      <c r="O99" s="141">
        <f t="shared" si="22"/>
        <v>0</v>
      </c>
      <c r="P99" s="181" t="b">
        <f>COUNTIF('Facility Data'!$A$1:$A$1500,"*"&amp;A99&amp;"*")&gt;0</f>
        <v>1</v>
      </c>
      <c r="Q99" s="181" t="b">
        <f>COUNTIF('Account Data'!$A$1:$A$1000,"*"&amp;A99&amp;"*")&gt;0</f>
        <v>0</v>
      </c>
      <c r="R99" s="182" t="b">
        <f t="shared" si="23"/>
        <v>1</v>
      </c>
      <c r="S99" s="182" t="b">
        <f t="shared" si="24"/>
        <v>0</v>
      </c>
      <c r="T99" s="181" t="b">
        <f>COUNTIF('New Items'!$A$1:$A$175,A99)&gt;0</f>
        <v>0</v>
      </c>
      <c r="U99" s="181" t="b">
        <f>COUNTIF(Discontinued!$A$1:$A$150,A99)&gt;0</f>
        <v>0</v>
      </c>
    </row>
    <row r="100" spans="1:21" s="8" customFormat="1" ht="11.25" x14ac:dyDescent="0.2">
      <c r="A100" s="152">
        <v>10000862</v>
      </c>
      <c r="B100" s="10" t="s">
        <v>62</v>
      </c>
      <c r="C100" s="12" t="s">
        <v>99</v>
      </c>
      <c r="D100" s="11" t="s">
        <v>640</v>
      </c>
      <c r="E100" s="12" t="s">
        <v>769</v>
      </c>
      <c r="F100" s="13">
        <v>2</v>
      </c>
      <c r="G100" s="22">
        <f>Overview!$B$14</f>
        <v>14</v>
      </c>
      <c r="H100" s="114">
        <f t="shared" si="19"/>
        <v>14</v>
      </c>
      <c r="I100" s="114">
        <f>Overview!$E$14</f>
        <v>0</v>
      </c>
      <c r="J100" s="175">
        <f t="shared" si="20"/>
        <v>0</v>
      </c>
      <c r="K100" s="174">
        <f>Overview!$H$14</f>
        <v>0</v>
      </c>
      <c r="L100" s="176" t="e">
        <f t="shared" si="21"/>
        <v>#DIV/0!</v>
      </c>
      <c r="M100" s="179"/>
      <c r="N100" s="179" t="s">
        <v>963</v>
      </c>
      <c r="O100" s="141">
        <f t="shared" si="22"/>
        <v>0</v>
      </c>
      <c r="P100" s="181" t="b">
        <f>COUNTIF('Facility Data'!$A$1:$A$1500,"*"&amp;A100&amp;"*")&gt;0</f>
        <v>1</v>
      </c>
      <c r="Q100" s="181" t="b">
        <f>COUNTIF('Account Data'!$A$1:$A$1000,"*"&amp;A100&amp;"*")&gt;0</f>
        <v>1</v>
      </c>
      <c r="R100" s="182" t="b">
        <f t="shared" si="23"/>
        <v>1</v>
      </c>
      <c r="S100" s="182" t="b">
        <f t="shared" si="24"/>
        <v>1</v>
      </c>
      <c r="T100" s="181" t="b">
        <f>COUNTIF('New Items'!$A$1:$A$175,A100)&gt;0</f>
        <v>0</v>
      </c>
      <c r="U100" s="181" t="b">
        <f>COUNTIF(Discontinued!$A$1:$A$150,A100)&gt;0</f>
        <v>0</v>
      </c>
    </row>
    <row r="101" spans="1:21" s="8" customFormat="1" ht="11.25" x14ac:dyDescent="0.2">
      <c r="A101" s="152">
        <v>10000880</v>
      </c>
      <c r="B101" s="10" t="s">
        <v>1388</v>
      </c>
      <c r="C101" s="12" t="s">
        <v>1389</v>
      </c>
      <c r="D101" s="11" t="s">
        <v>662</v>
      </c>
      <c r="E101" s="12" t="s">
        <v>769</v>
      </c>
      <c r="F101" s="13">
        <v>2</v>
      </c>
      <c r="G101" s="22">
        <f>Overview!$B$14</f>
        <v>14</v>
      </c>
      <c r="H101" s="114">
        <f t="shared" si="19"/>
        <v>14</v>
      </c>
      <c r="I101" s="114">
        <f>Overview!$E$14</f>
        <v>0</v>
      </c>
      <c r="J101" s="175">
        <f t="shared" si="20"/>
        <v>0</v>
      </c>
      <c r="K101" s="174">
        <f>Overview!$H$14</f>
        <v>0</v>
      </c>
      <c r="L101" s="176" t="e">
        <f t="shared" si="21"/>
        <v>#DIV/0!</v>
      </c>
      <c r="M101" s="179"/>
      <c r="N101" s="179" t="s">
        <v>963</v>
      </c>
      <c r="O101" s="141">
        <f t="shared" si="22"/>
        <v>0</v>
      </c>
      <c r="P101" s="181" t="b">
        <f>COUNTIF('Facility Data'!$A$1:$A$1500,"*"&amp;A101&amp;"*")&gt;0</f>
        <v>1</v>
      </c>
      <c r="Q101" s="181" t="b">
        <f>COUNTIF('Account Data'!$A$1:$A$1000,"*"&amp;A101&amp;"*")&gt;0</f>
        <v>0</v>
      </c>
      <c r="R101" s="182" t="b">
        <f t="shared" si="23"/>
        <v>1</v>
      </c>
      <c r="S101" s="182" t="b">
        <f t="shared" si="24"/>
        <v>0</v>
      </c>
      <c r="T101" s="181" t="b">
        <f>COUNTIF('New Items'!$A$1:$A$175,A101)&gt;0</f>
        <v>0</v>
      </c>
      <c r="U101" s="181" t="b">
        <f>COUNTIF(Discontinued!$A$1:$A$150,A101)&gt;0</f>
        <v>0</v>
      </c>
    </row>
    <row r="102" spans="1:21" s="8" customFormat="1" ht="11.25" x14ac:dyDescent="0.2">
      <c r="A102" s="152">
        <v>10011970</v>
      </c>
      <c r="B102" s="10" t="s">
        <v>1573</v>
      </c>
      <c r="C102" s="12" t="s">
        <v>1574</v>
      </c>
      <c r="D102" s="11" t="s">
        <v>1572</v>
      </c>
      <c r="E102" s="12" t="s">
        <v>769</v>
      </c>
      <c r="F102" s="13">
        <v>2</v>
      </c>
      <c r="G102" s="22">
        <f>Overview!$B$14</f>
        <v>14</v>
      </c>
      <c r="H102" s="114">
        <f t="shared" si="19"/>
        <v>14</v>
      </c>
      <c r="I102" s="114">
        <f>Overview!$E$14</f>
        <v>0</v>
      </c>
      <c r="J102" s="175">
        <f t="shared" si="20"/>
        <v>0</v>
      </c>
      <c r="K102" s="174">
        <f>Overview!$H$14</f>
        <v>0</v>
      </c>
      <c r="L102" s="176" t="e">
        <f t="shared" si="21"/>
        <v>#DIV/0!</v>
      </c>
      <c r="M102" s="179" t="s">
        <v>2421</v>
      </c>
      <c r="N102" s="179" t="s">
        <v>963</v>
      </c>
      <c r="O102" s="141">
        <f t="shared" si="22"/>
        <v>0</v>
      </c>
      <c r="P102" s="181" t="b">
        <f>COUNTIF('Facility Data'!$A$1:$A$1500,"*"&amp;A102&amp;"*")&gt;0</f>
        <v>0</v>
      </c>
      <c r="Q102" s="181" t="b">
        <f>COUNTIF('Account Data'!$A$1:$A$1000,"*"&amp;A102&amp;"*")&gt;0</f>
        <v>0</v>
      </c>
      <c r="R102" s="182" t="b">
        <f t="shared" si="23"/>
        <v>0</v>
      </c>
      <c r="S102" s="182" t="b">
        <f t="shared" si="24"/>
        <v>0</v>
      </c>
      <c r="T102" s="181" t="b">
        <f>COUNTIF('New Items'!$A$1:$A$175,A102)&gt;0</f>
        <v>0</v>
      </c>
      <c r="U102" s="181" t="b">
        <f>COUNTIF(Discontinued!$A$1:$A$150,A102)&gt;0</f>
        <v>0</v>
      </c>
    </row>
    <row r="103" spans="1:21" s="8" customFormat="1" ht="11.25" x14ac:dyDescent="0.2">
      <c r="A103" s="152">
        <v>10000875</v>
      </c>
      <c r="B103" s="10" t="s">
        <v>1378</v>
      </c>
      <c r="C103" s="12" t="s">
        <v>1379</v>
      </c>
      <c r="D103" s="11" t="s">
        <v>1377</v>
      </c>
      <c r="E103" s="12" t="s">
        <v>769</v>
      </c>
      <c r="F103" s="13">
        <v>2</v>
      </c>
      <c r="G103" s="22">
        <f>Overview!$B$14</f>
        <v>14</v>
      </c>
      <c r="H103" s="114">
        <f t="shared" si="19"/>
        <v>14</v>
      </c>
      <c r="I103" s="114">
        <f>Overview!$E$14</f>
        <v>0</v>
      </c>
      <c r="J103" s="175">
        <f t="shared" si="20"/>
        <v>0</v>
      </c>
      <c r="K103" s="174">
        <f>Overview!$H$14</f>
        <v>0</v>
      </c>
      <c r="L103" s="176" t="e">
        <f t="shared" si="21"/>
        <v>#DIV/0!</v>
      </c>
      <c r="M103" s="179" t="s">
        <v>951</v>
      </c>
      <c r="N103" s="179" t="s">
        <v>963</v>
      </c>
      <c r="O103" s="141">
        <f t="shared" si="22"/>
        <v>0</v>
      </c>
      <c r="P103" s="181" t="b">
        <f>COUNTIF('Facility Data'!$A$1:$A$1500,"*"&amp;A103&amp;"*")&gt;0</f>
        <v>0</v>
      </c>
      <c r="Q103" s="181" t="b">
        <f>COUNTIF('Account Data'!$A$1:$A$1000,"*"&amp;A103&amp;"*")&gt;0</f>
        <v>0</v>
      </c>
      <c r="R103" s="182" t="b">
        <f t="shared" si="23"/>
        <v>0</v>
      </c>
      <c r="S103" s="182" t="b">
        <f t="shared" si="24"/>
        <v>0</v>
      </c>
      <c r="T103" s="181" t="b">
        <f>COUNTIF('New Items'!$A$1:$A$175,A103)&gt;0</f>
        <v>0</v>
      </c>
      <c r="U103" s="181" t="b">
        <f>COUNTIF(Discontinued!$A$1:$A$150,A103)&gt;0</f>
        <v>0</v>
      </c>
    </row>
    <row r="104" spans="1:21" s="8" customFormat="1" ht="11.25" x14ac:dyDescent="0.2">
      <c r="A104" s="152">
        <v>10086453</v>
      </c>
      <c r="B104" s="10" t="s">
        <v>61</v>
      </c>
      <c r="C104" s="12" t="s">
        <v>98</v>
      </c>
      <c r="D104" s="11" t="s">
        <v>654</v>
      </c>
      <c r="E104" s="12" t="s">
        <v>769</v>
      </c>
      <c r="F104" s="13">
        <v>2</v>
      </c>
      <c r="G104" s="22">
        <f>Overview!$B$14</f>
        <v>14</v>
      </c>
      <c r="H104" s="114">
        <f t="shared" si="19"/>
        <v>14</v>
      </c>
      <c r="I104" s="114">
        <f>Overview!$E$14</f>
        <v>0</v>
      </c>
      <c r="J104" s="175">
        <f t="shared" si="20"/>
        <v>0</v>
      </c>
      <c r="K104" s="174">
        <f>Overview!$H$14</f>
        <v>0</v>
      </c>
      <c r="L104" s="176" t="e">
        <f t="shared" si="21"/>
        <v>#DIV/0!</v>
      </c>
      <c r="M104" s="179"/>
      <c r="N104" s="179" t="s">
        <v>963</v>
      </c>
      <c r="O104" s="141">
        <f t="shared" si="22"/>
        <v>0</v>
      </c>
      <c r="P104" s="181" t="b">
        <f>COUNTIF('Facility Data'!$A$1:$A$1500,"*"&amp;A104&amp;"*")&gt;0</f>
        <v>0</v>
      </c>
      <c r="Q104" s="181" t="b">
        <f>COUNTIF('Account Data'!$A$1:$A$1000,"*"&amp;A104&amp;"*")&gt;0</f>
        <v>0</v>
      </c>
      <c r="R104" s="182" t="b">
        <f t="shared" si="23"/>
        <v>0</v>
      </c>
      <c r="S104" s="182" t="b">
        <f t="shared" si="24"/>
        <v>0</v>
      </c>
      <c r="T104" s="181" t="b">
        <f>COUNTIF('New Items'!$A$1:$A$175,A104)&gt;0</f>
        <v>0</v>
      </c>
      <c r="U104" s="181" t="b">
        <f>COUNTIF(Discontinued!$A$1:$A$150,A104)&gt;0</f>
        <v>0</v>
      </c>
    </row>
    <row r="105" spans="1:21" s="8" customFormat="1" ht="11.25" x14ac:dyDescent="0.2">
      <c r="A105" s="152">
        <v>10126463</v>
      </c>
      <c r="B105" s="231" t="s">
        <v>3957</v>
      </c>
      <c r="C105" s="118" t="s">
        <v>3958</v>
      </c>
      <c r="D105" s="119" t="s">
        <v>3773</v>
      </c>
      <c r="E105" s="12" t="s">
        <v>769</v>
      </c>
      <c r="F105" s="13">
        <v>2</v>
      </c>
      <c r="G105" s="22">
        <f>Overview!$B$14</f>
        <v>14</v>
      </c>
      <c r="H105" s="114">
        <f>G105-I105</f>
        <v>14</v>
      </c>
      <c r="I105" s="114">
        <f>Overview!$E$14</f>
        <v>0</v>
      </c>
      <c r="J105" s="175">
        <f>I105/F105</f>
        <v>0</v>
      </c>
      <c r="K105" s="174">
        <f>Overview!$H$14</f>
        <v>0</v>
      </c>
      <c r="L105" s="176" t="e">
        <f>(K105-J105)/K105</f>
        <v>#DIV/0!</v>
      </c>
      <c r="M105" s="179"/>
      <c r="N105" s="179" t="s">
        <v>963</v>
      </c>
      <c r="O105" s="141">
        <f>I105</f>
        <v>0</v>
      </c>
      <c r="P105" s="181" t="b">
        <f>COUNTIF('Facility Data'!$A$1:$A$1500,"*"&amp;A105&amp;"*")&gt;0</f>
        <v>1</v>
      </c>
      <c r="Q105" s="181" t="b">
        <f>COUNTIF('Account Data'!$A$1:$A$1000,"*"&amp;A105&amp;"*")&gt;0</f>
        <v>0</v>
      </c>
      <c r="R105" s="182" t="b">
        <f t="shared" si="23"/>
        <v>1</v>
      </c>
      <c r="S105" s="182" t="b">
        <f>IF(OR(Q105=TRUE,T105=TRUE),TRUE,FALSE)</f>
        <v>0</v>
      </c>
      <c r="T105" s="181" t="b">
        <f>COUNTIF('New Items'!$A$1:$A$175,A105)&gt;0</f>
        <v>0</v>
      </c>
      <c r="U105" s="181" t="b">
        <f>COUNTIF(Discontinued!$A$1:$A$150,A105)&gt;0</f>
        <v>0</v>
      </c>
    </row>
    <row r="106" spans="1:21" s="8" customFormat="1" ht="11.25" x14ac:dyDescent="0.2">
      <c r="A106" s="152">
        <v>10001994</v>
      </c>
      <c r="B106" s="10" t="s">
        <v>114</v>
      </c>
      <c r="C106" s="12" t="s">
        <v>103</v>
      </c>
      <c r="D106" s="11" t="s">
        <v>653</v>
      </c>
      <c r="E106" s="12" t="s">
        <v>769</v>
      </c>
      <c r="F106" s="13">
        <v>2</v>
      </c>
      <c r="G106" s="22">
        <f>Overview!$B$14</f>
        <v>14</v>
      </c>
      <c r="H106" s="114">
        <f t="shared" si="19"/>
        <v>14</v>
      </c>
      <c r="I106" s="114">
        <f>Overview!$E$14</f>
        <v>0</v>
      </c>
      <c r="J106" s="175">
        <f t="shared" si="20"/>
        <v>0</v>
      </c>
      <c r="K106" s="174">
        <f>Overview!$H$14</f>
        <v>0</v>
      </c>
      <c r="L106" s="176" t="e">
        <f t="shared" si="21"/>
        <v>#DIV/0!</v>
      </c>
      <c r="M106" s="179"/>
      <c r="N106" s="179" t="s">
        <v>963</v>
      </c>
      <c r="O106" s="141">
        <f t="shared" si="22"/>
        <v>0</v>
      </c>
      <c r="P106" s="181" t="b">
        <f>COUNTIF('Facility Data'!$A$1:$A$1500,"*"&amp;A106&amp;"*")&gt;0</f>
        <v>1</v>
      </c>
      <c r="Q106" s="181" t="b">
        <f>COUNTIF('Account Data'!$A$1:$A$1000,"*"&amp;A106&amp;"*")&gt;0</f>
        <v>1</v>
      </c>
      <c r="R106" s="182" t="b">
        <f t="shared" si="23"/>
        <v>1</v>
      </c>
      <c r="S106" s="182" t="b">
        <f t="shared" si="24"/>
        <v>1</v>
      </c>
      <c r="T106" s="181" t="b">
        <f>COUNTIF('New Items'!$A$1:$A$175,A106)&gt;0</f>
        <v>0</v>
      </c>
      <c r="U106" s="181" t="b">
        <f>COUNTIF(Discontinued!$A$1:$A$150,A106)&gt;0</f>
        <v>0</v>
      </c>
    </row>
    <row r="107" spans="1:21" s="8" customFormat="1" ht="11.25" x14ac:dyDescent="0.2">
      <c r="A107" s="160">
        <v>10003047</v>
      </c>
      <c r="B107" s="231" t="s">
        <v>4759</v>
      </c>
      <c r="C107" s="118" t="s">
        <v>1604</v>
      </c>
      <c r="D107" s="119" t="s">
        <v>4760</v>
      </c>
      <c r="E107" s="118" t="s">
        <v>769</v>
      </c>
      <c r="F107" s="120">
        <v>2</v>
      </c>
      <c r="G107" s="121">
        <f>Overview!$B$14</f>
        <v>14</v>
      </c>
      <c r="H107" s="114">
        <f>G107-I107</f>
        <v>14</v>
      </c>
      <c r="I107" s="114">
        <f>Overview!$E$14</f>
        <v>0</v>
      </c>
      <c r="J107" s="175">
        <f>I107/F107</f>
        <v>0</v>
      </c>
      <c r="K107" s="174">
        <f>Overview!$H$14</f>
        <v>0</v>
      </c>
      <c r="L107" s="176" t="e">
        <f>(K107-J107)/K107</f>
        <v>#DIV/0!</v>
      </c>
      <c r="M107" s="179"/>
      <c r="N107" s="179" t="s">
        <v>963</v>
      </c>
      <c r="O107" s="141">
        <f>I107</f>
        <v>0</v>
      </c>
      <c r="P107" s="181" t="b">
        <f>COUNTIF('Facility Data'!$A$1:$A$1500,"*"&amp;A107&amp;"*")&gt;0</f>
        <v>0</v>
      </c>
      <c r="Q107" s="181" t="b">
        <f>COUNTIF('Account Data'!$A$1:$A$1000,"*"&amp;A107&amp;"*")&gt;0</f>
        <v>0</v>
      </c>
      <c r="R107" s="182" t="b">
        <f>IF(OR(P107=TRUE,T107=TRUE),TRUE,FALSE)</f>
        <v>0</v>
      </c>
      <c r="S107" s="182" t="b">
        <f>IF(OR(Q107=TRUE,T107=TRUE),TRUE,FALSE)</f>
        <v>0</v>
      </c>
      <c r="T107" s="181" t="b">
        <f>COUNTIF('New Items'!$A$1:$A$175,A107)&gt;0</f>
        <v>0</v>
      </c>
      <c r="U107" s="181" t="b">
        <f>COUNTIF(Discontinued!$A$1:$A$150,A107)&gt;0</f>
        <v>0</v>
      </c>
    </row>
    <row r="108" spans="1:21" s="8" customFormat="1" ht="11.25" x14ac:dyDescent="0.2">
      <c r="A108" s="152">
        <v>10000904</v>
      </c>
      <c r="B108" s="231" t="s">
        <v>60</v>
      </c>
      <c r="C108" s="118" t="s">
        <v>97</v>
      </c>
      <c r="D108" s="119" t="s">
        <v>652</v>
      </c>
      <c r="E108" s="118" t="s">
        <v>769</v>
      </c>
      <c r="F108" s="120">
        <v>2</v>
      </c>
      <c r="G108" s="121">
        <f>Overview!$B$14</f>
        <v>14</v>
      </c>
      <c r="H108" s="114">
        <f t="shared" si="19"/>
        <v>14</v>
      </c>
      <c r="I108" s="114">
        <f>Overview!$E$14</f>
        <v>0</v>
      </c>
      <c r="J108" s="175">
        <f t="shared" si="20"/>
        <v>0</v>
      </c>
      <c r="K108" s="174">
        <f>Overview!$H$14</f>
        <v>0</v>
      </c>
      <c r="L108" s="176" t="e">
        <f t="shared" si="21"/>
        <v>#DIV/0!</v>
      </c>
      <c r="M108" s="179"/>
      <c r="N108" s="179" t="s">
        <v>963</v>
      </c>
      <c r="O108" s="141">
        <f t="shared" si="22"/>
        <v>0</v>
      </c>
      <c r="P108" s="181" t="b">
        <f>COUNTIF('Facility Data'!$A$1:$A$1500,"*"&amp;A108&amp;"*")&gt;0</f>
        <v>1</v>
      </c>
      <c r="Q108" s="181" t="b">
        <f>COUNTIF('Account Data'!$A$1:$A$1000,"*"&amp;A108&amp;"*")&gt;0</f>
        <v>1</v>
      </c>
      <c r="R108" s="182" t="b">
        <f t="shared" si="23"/>
        <v>1</v>
      </c>
      <c r="S108" s="182" t="b">
        <f t="shared" si="24"/>
        <v>1</v>
      </c>
      <c r="T108" s="181" t="b">
        <f>COUNTIF('New Items'!$A$1:$A$175,A108)&gt;0</f>
        <v>0</v>
      </c>
      <c r="U108" s="181" t="b">
        <f>COUNTIF(Discontinued!$A$1:$A$150,A108)&gt;0</f>
        <v>0</v>
      </c>
    </row>
    <row r="109" spans="1:21" s="8" customFormat="1" ht="11.25" x14ac:dyDescent="0.2">
      <c r="A109" s="152">
        <v>10105905</v>
      </c>
      <c r="B109" s="231" t="s">
        <v>4046</v>
      </c>
      <c r="C109" s="118" t="s">
        <v>798</v>
      </c>
      <c r="D109" s="119" t="s">
        <v>796</v>
      </c>
      <c r="E109" s="118" t="s">
        <v>769</v>
      </c>
      <c r="F109" s="120">
        <v>2</v>
      </c>
      <c r="G109" s="121">
        <f>Overview!$B$14</f>
        <v>14</v>
      </c>
      <c r="H109" s="114">
        <f t="shared" si="19"/>
        <v>14</v>
      </c>
      <c r="I109" s="114">
        <f>Overview!$E$14</f>
        <v>0</v>
      </c>
      <c r="J109" s="175">
        <f t="shared" si="20"/>
        <v>0</v>
      </c>
      <c r="K109" s="174">
        <f>Overview!$H$14</f>
        <v>0</v>
      </c>
      <c r="L109" s="176" t="e">
        <f t="shared" si="21"/>
        <v>#DIV/0!</v>
      </c>
      <c r="M109" s="179"/>
      <c r="N109" s="179" t="s">
        <v>963</v>
      </c>
      <c r="O109" s="141">
        <f t="shared" si="22"/>
        <v>0</v>
      </c>
      <c r="P109" s="181" t="b">
        <f>COUNTIF('Facility Data'!$A$1:$A$1500,"*"&amp;A109&amp;"*")&gt;0</f>
        <v>1</v>
      </c>
      <c r="Q109" s="181" t="b">
        <f>COUNTIF('Account Data'!$A$1:$A$1000,"*"&amp;A109&amp;"*")&gt;0</f>
        <v>1</v>
      </c>
      <c r="R109" s="182" t="b">
        <f t="shared" si="23"/>
        <v>1</v>
      </c>
      <c r="S109" s="182" t="b">
        <f t="shared" si="24"/>
        <v>1</v>
      </c>
      <c r="T109" s="181" t="b">
        <f>COUNTIF('New Items'!$A$1:$A$175,A109)&gt;0</f>
        <v>0</v>
      </c>
      <c r="U109" s="181" t="b">
        <f>COUNTIF(Discontinued!$A$1:$A$150,A109)&gt;0</f>
        <v>0</v>
      </c>
    </row>
    <row r="110" spans="1:21" s="8" customFormat="1" ht="11.25" x14ac:dyDescent="0.2">
      <c r="A110" s="160">
        <v>10119253</v>
      </c>
      <c r="B110" s="231" t="s">
        <v>4757</v>
      </c>
      <c r="C110" s="118" t="s">
        <v>1055</v>
      </c>
      <c r="D110" s="119" t="s">
        <v>4758</v>
      </c>
      <c r="E110" s="118" t="s">
        <v>769</v>
      </c>
      <c r="F110" s="120">
        <v>2</v>
      </c>
      <c r="G110" s="121">
        <f>Overview!$B$14</f>
        <v>14</v>
      </c>
      <c r="H110" s="114">
        <f>G110-I110</f>
        <v>14</v>
      </c>
      <c r="I110" s="114">
        <f>Overview!$E$14</f>
        <v>0</v>
      </c>
      <c r="J110" s="175">
        <f>I110/F110</f>
        <v>0</v>
      </c>
      <c r="K110" s="174">
        <f>Overview!$H$14</f>
        <v>0</v>
      </c>
      <c r="L110" s="176" t="e">
        <f>(K110-J110)/K110</f>
        <v>#DIV/0!</v>
      </c>
      <c r="M110" s="179"/>
      <c r="N110" s="179" t="s">
        <v>963</v>
      </c>
      <c r="O110" s="141">
        <f>I110</f>
        <v>0</v>
      </c>
      <c r="P110" s="181" t="b">
        <f>COUNTIF('Facility Data'!$A$1:$A$1500,"*"&amp;A110&amp;"*")&gt;0</f>
        <v>1</v>
      </c>
      <c r="Q110" s="181" t="b">
        <f>COUNTIF('Account Data'!$A$1:$A$1000,"*"&amp;A110&amp;"*")&gt;0</f>
        <v>0</v>
      </c>
      <c r="R110" s="182" t="b">
        <f>IF(OR(P110=TRUE,T110=TRUE),TRUE,FALSE)</f>
        <v>1</v>
      </c>
      <c r="S110" s="182" t="b">
        <f>IF(OR(Q110=TRUE,T110=TRUE),TRUE,FALSE)</f>
        <v>0</v>
      </c>
      <c r="T110" s="181" t="b">
        <f>COUNTIF('New Items'!$A$1:$A$175,A110)&gt;0</f>
        <v>0</v>
      </c>
      <c r="U110" s="181" t="b">
        <f>COUNTIF(Discontinued!$A$1:$A$150,A110)&gt;0</f>
        <v>0</v>
      </c>
    </row>
    <row r="111" spans="1:21" s="8" customFormat="1" ht="11.25" x14ac:dyDescent="0.2">
      <c r="A111" s="152">
        <v>10105908</v>
      </c>
      <c r="B111" s="231" t="s">
        <v>1056</v>
      </c>
      <c r="C111" s="118" t="s">
        <v>1057</v>
      </c>
      <c r="D111" s="119" t="s">
        <v>1058</v>
      </c>
      <c r="E111" s="118" t="s">
        <v>769</v>
      </c>
      <c r="F111" s="120">
        <v>2</v>
      </c>
      <c r="G111" s="121">
        <f>Overview!$B$14</f>
        <v>14</v>
      </c>
      <c r="H111" s="114">
        <f t="shared" si="19"/>
        <v>14</v>
      </c>
      <c r="I111" s="114">
        <f>Overview!$E$14</f>
        <v>0</v>
      </c>
      <c r="J111" s="175">
        <f t="shared" si="20"/>
        <v>0</v>
      </c>
      <c r="K111" s="174">
        <f>Overview!$H$14</f>
        <v>0</v>
      </c>
      <c r="L111" s="176" t="e">
        <f t="shared" si="21"/>
        <v>#DIV/0!</v>
      </c>
      <c r="M111" s="179"/>
      <c r="N111" s="179" t="s">
        <v>963</v>
      </c>
      <c r="O111" s="141">
        <f t="shared" si="22"/>
        <v>0</v>
      </c>
      <c r="P111" s="181" t="b">
        <f>COUNTIF('Facility Data'!$A$1:$A$1500,"*"&amp;A111&amp;"*")&gt;0</f>
        <v>1</v>
      </c>
      <c r="Q111" s="181" t="b">
        <f>COUNTIF('Account Data'!$A$1:$A$1000,"*"&amp;A111&amp;"*")&gt;0</f>
        <v>0</v>
      </c>
      <c r="R111" s="182" t="b">
        <f t="shared" si="23"/>
        <v>1</v>
      </c>
      <c r="S111" s="182" t="b">
        <f t="shared" si="24"/>
        <v>0</v>
      </c>
      <c r="T111" s="181" t="b">
        <f>COUNTIF('New Items'!$A$1:$A$175,A111)&gt;0</f>
        <v>0</v>
      </c>
      <c r="U111" s="181" t="b">
        <f>COUNTIF(Discontinued!$A$1:$A$150,A111)&gt;0</f>
        <v>0</v>
      </c>
    </row>
    <row r="112" spans="1:21" s="8" customFormat="1" ht="11.25" x14ac:dyDescent="0.2">
      <c r="A112" s="160">
        <v>10000905</v>
      </c>
      <c r="B112" s="231" t="s">
        <v>4756</v>
      </c>
      <c r="C112" s="118" t="s">
        <v>87</v>
      </c>
      <c r="D112" s="119" t="s">
        <v>4737</v>
      </c>
      <c r="E112" s="118" t="s">
        <v>769</v>
      </c>
      <c r="F112" s="120">
        <v>2</v>
      </c>
      <c r="G112" s="121">
        <f>Overview!$B$14</f>
        <v>14</v>
      </c>
      <c r="H112" s="114">
        <f>G112-I112</f>
        <v>14</v>
      </c>
      <c r="I112" s="114">
        <f>Overview!$E$14</f>
        <v>0</v>
      </c>
      <c r="J112" s="175">
        <f>I112/F112</f>
        <v>0</v>
      </c>
      <c r="K112" s="174">
        <f>Overview!$H$14</f>
        <v>0</v>
      </c>
      <c r="L112" s="176" t="e">
        <f>(K112-J112)/K112</f>
        <v>#DIV/0!</v>
      </c>
      <c r="M112" s="179"/>
      <c r="N112" s="179" t="s">
        <v>963</v>
      </c>
      <c r="O112" s="141">
        <f>I112</f>
        <v>0</v>
      </c>
      <c r="P112" s="181" t="b">
        <f>COUNTIF('Facility Data'!$A$1:$A$1500,"*"&amp;A112&amp;"*")&gt;0</f>
        <v>1</v>
      </c>
      <c r="Q112" s="181" t="b">
        <f>COUNTIF('Account Data'!$A$1:$A$1000,"*"&amp;A112&amp;"*")&gt;0</f>
        <v>1</v>
      </c>
      <c r="R112" s="182" t="b">
        <f>IF(OR(P112=TRUE,T112=TRUE),TRUE,FALSE)</f>
        <v>1</v>
      </c>
      <c r="S112" s="182" t="b">
        <f>IF(OR(Q112=TRUE,T112=TRUE),TRUE,FALSE)</f>
        <v>1</v>
      </c>
      <c r="T112" s="181" t="b">
        <f>COUNTIF('New Items'!$A$1:$A$175,A112)&gt;0</f>
        <v>0</v>
      </c>
      <c r="U112" s="181" t="b">
        <f>COUNTIF(Discontinued!$A$1:$A$150,A112)&gt;0</f>
        <v>0</v>
      </c>
    </row>
    <row r="113" spans="1:21" s="8" customFormat="1" ht="11.25" x14ac:dyDescent="0.2">
      <c r="A113" s="152">
        <v>10000891</v>
      </c>
      <c r="B113" s="231" t="s">
        <v>1601</v>
      </c>
      <c r="C113" s="118" t="s">
        <v>1602</v>
      </c>
      <c r="D113" s="119" t="s">
        <v>1600</v>
      </c>
      <c r="E113" s="118" t="s">
        <v>769</v>
      </c>
      <c r="F113" s="120">
        <v>2</v>
      </c>
      <c r="G113" s="121">
        <f>Overview!$B$14</f>
        <v>14</v>
      </c>
      <c r="H113" s="114">
        <f t="shared" si="19"/>
        <v>14</v>
      </c>
      <c r="I113" s="114">
        <f>Overview!$E$14</f>
        <v>0</v>
      </c>
      <c r="J113" s="175">
        <f t="shared" si="20"/>
        <v>0</v>
      </c>
      <c r="K113" s="174">
        <f>Overview!$H$14</f>
        <v>0</v>
      </c>
      <c r="L113" s="176" t="e">
        <f t="shared" si="21"/>
        <v>#DIV/0!</v>
      </c>
      <c r="M113" s="179"/>
      <c r="N113" s="179" t="s">
        <v>963</v>
      </c>
      <c r="O113" s="141">
        <f t="shared" si="22"/>
        <v>0</v>
      </c>
      <c r="P113" s="181" t="b">
        <f>COUNTIF('Facility Data'!$A$1:$A$1500,"*"&amp;A113&amp;"*")&gt;0</f>
        <v>0</v>
      </c>
      <c r="Q113" s="181" t="b">
        <f>COUNTIF('Account Data'!$A$1:$A$1000,"*"&amp;A113&amp;"*")&gt;0</f>
        <v>0</v>
      </c>
      <c r="R113" s="182" t="b">
        <f t="shared" si="23"/>
        <v>0</v>
      </c>
      <c r="S113" s="182" t="b">
        <f t="shared" si="24"/>
        <v>0</v>
      </c>
      <c r="T113" s="181" t="b">
        <f>COUNTIF('New Items'!$A$1:$A$175,A113)&gt;0</f>
        <v>0</v>
      </c>
      <c r="U113" s="181" t="b">
        <f>COUNTIF(Discontinued!$A$1:$A$150,A113)&gt;0</f>
        <v>0</v>
      </c>
    </row>
    <row r="114" spans="1:21" s="8" customFormat="1" ht="11.25" x14ac:dyDescent="0.2">
      <c r="A114" s="152">
        <v>10000867</v>
      </c>
      <c r="B114" s="231" t="s">
        <v>1669</v>
      </c>
      <c r="C114" s="118" t="s">
        <v>1670</v>
      </c>
      <c r="D114" s="119" t="s">
        <v>1675</v>
      </c>
      <c r="E114" s="118" t="s">
        <v>769</v>
      </c>
      <c r="F114" s="120">
        <v>2</v>
      </c>
      <c r="G114" s="121">
        <f>Overview!$B$14</f>
        <v>14</v>
      </c>
      <c r="H114" s="114">
        <f t="shared" si="19"/>
        <v>14</v>
      </c>
      <c r="I114" s="114">
        <f>Overview!$E$14</f>
        <v>0</v>
      </c>
      <c r="J114" s="175">
        <f t="shared" si="20"/>
        <v>0</v>
      </c>
      <c r="K114" s="174">
        <f>Overview!$H$14</f>
        <v>0</v>
      </c>
      <c r="L114" s="176" t="e">
        <f t="shared" si="21"/>
        <v>#DIV/0!</v>
      </c>
      <c r="M114" s="179" t="s">
        <v>4148</v>
      </c>
      <c r="N114" s="179" t="s">
        <v>963</v>
      </c>
      <c r="O114" s="141">
        <f t="shared" si="22"/>
        <v>0</v>
      </c>
      <c r="P114" s="181" t="b">
        <f>COUNTIF('Facility Data'!$A$1:$A$1500,"*"&amp;A114&amp;"*")&gt;0</f>
        <v>0</v>
      </c>
      <c r="Q114" s="181" t="b">
        <f>COUNTIF('Account Data'!$A$1:$A$1000,"*"&amp;A114&amp;"*")&gt;0</f>
        <v>0</v>
      </c>
      <c r="R114" s="182" t="b">
        <f t="shared" si="23"/>
        <v>0</v>
      </c>
      <c r="S114" s="182" t="b">
        <f t="shared" si="24"/>
        <v>0</v>
      </c>
      <c r="T114" s="181" t="b">
        <f>COUNTIF('New Items'!$A$1:$A$175,A114)&gt;0</f>
        <v>0</v>
      </c>
      <c r="U114" s="181" t="b">
        <f>COUNTIF(Discontinued!$A$1:$A$150,A114)&gt;0</f>
        <v>0</v>
      </c>
    </row>
    <row r="115" spans="1:21" s="8" customFormat="1" ht="11.25" x14ac:dyDescent="0.2">
      <c r="A115" s="152">
        <v>10000833</v>
      </c>
      <c r="B115" s="10" t="s">
        <v>59</v>
      </c>
      <c r="C115" s="12" t="s">
        <v>96</v>
      </c>
      <c r="D115" s="11" t="s">
        <v>633</v>
      </c>
      <c r="E115" s="12" t="s">
        <v>769</v>
      </c>
      <c r="F115" s="13">
        <v>2</v>
      </c>
      <c r="G115" s="22">
        <f>Overview!$B$14</f>
        <v>14</v>
      </c>
      <c r="H115" s="114">
        <f t="shared" si="19"/>
        <v>14</v>
      </c>
      <c r="I115" s="114">
        <f>Overview!$E$14</f>
        <v>0</v>
      </c>
      <c r="J115" s="175">
        <f t="shared" si="20"/>
        <v>0</v>
      </c>
      <c r="K115" s="174">
        <f>Overview!$H$14</f>
        <v>0</v>
      </c>
      <c r="L115" s="176" t="e">
        <f t="shared" si="21"/>
        <v>#DIV/0!</v>
      </c>
      <c r="M115" s="179"/>
      <c r="N115" s="179" t="s">
        <v>963</v>
      </c>
      <c r="O115" s="141">
        <f t="shared" si="22"/>
        <v>0</v>
      </c>
      <c r="P115" s="181" t="b">
        <f>COUNTIF('Facility Data'!$A$1:$A$1500,"*"&amp;A115&amp;"*")&gt;0</f>
        <v>1</v>
      </c>
      <c r="Q115" s="181" t="b">
        <f>COUNTIF('Account Data'!$A$1:$A$1000,"*"&amp;A115&amp;"*")&gt;0</f>
        <v>1</v>
      </c>
      <c r="R115" s="182" t="b">
        <f t="shared" si="23"/>
        <v>1</v>
      </c>
      <c r="S115" s="182" t="b">
        <f t="shared" si="24"/>
        <v>1</v>
      </c>
      <c r="T115" s="181" t="b">
        <f>COUNTIF('New Items'!$A$1:$A$175,A115)&gt;0</f>
        <v>0</v>
      </c>
      <c r="U115" s="181" t="b">
        <f>COUNTIF(Discontinued!$A$1:$A$150,A115)&gt;0</f>
        <v>0</v>
      </c>
    </row>
    <row r="116" spans="1:21" s="8" customFormat="1" ht="11.25" x14ac:dyDescent="0.2">
      <c r="A116" s="152">
        <v>10127498</v>
      </c>
      <c r="B116" s="231" t="s">
        <v>3798</v>
      </c>
      <c r="C116" s="118" t="s">
        <v>96</v>
      </c>
      <c r="D116" s="119" t="s">
        <v>3796</v>
      </c>
      <c r="E116" s="118" t="s">
        <v>769</v>
      </c>
      <c r="F116" s="120">
        <v>2</v>
      </c>
      <c r="G116" s="121">
        <f>Overview!$B$14</f>
        <v>14</v>
      </c>
      <c r="H116" s="114">
        <f t="shared" si="19"/>
        <v>14</v>
      </c>
      <c r="I116" s="114">
        <f>Overview!$E$14</f>
        <v>0</v>
      </c>
      <c r="J116" s="175">
        <f t="shared" si="20"/>
        <v>0</v>
      </c>
      <c r="K116" s="174">
        <f>Overview!$H$14</f>
        <v>0</v>
      </c>
      <c r="L116" s="176" t="e">
        <f t="shared" si="21"/>
        <v>#DIV/0!</v>
      </c>
      <c r="M116" s="179" t="s">
        <v>1000</v>
      </c>
      <c r="N116" s="179" t="s">
        <v>963</v>
      </c>
      <c r="O116" s="141">
        <f>I116</f>
        <v>0</v>
      </c>
      <c r="P116" s="181" t="b">
        <f>COUNTIF('Facility Data'!$A$1:$A$1500,"*"&amp;A116&amp;"*")&gt;0</f>
        <v>0</v>
      </c>
      <c r="Q116" s="181" t="b">
        <f>COUNTIF('Account Data'!$A$1:$A$1000,"*"&amp;A116&amp;"*")&gt;0</f>
        <v>0</v>
      </c>
      <c r="R116" s="182" t="b">
        <f t="shared" si="23"/>
        <v>0</v>
      </c>
      <c r="S116" s="182" t="b">
        <f t="shared" si="24"/>
        <v>0</v>
      </c>
      <c r="T116" s="181" t="b">
        <f>COUNTIF('New Items'!$A$1:$A$175,A116)&gt;0</f>
        <v>0</v>
      </c>
      <c r="U116" s="181" t="b">
        <f>COUNTIF(Discontinued!$A$1:$A$150,A116)&gt;0</f>
        <v>0</v>
      </c>
    </row>
    <row r="117" spans="1:21" s="8" customFormat="1" ht="11.25" x14ac:dyDescent="0.2">
      <c r="A117" s="160">
        <v>10000834</v>
      </c>
      <c r="B117" s="231" t="s">
        <v>4749</v>
      </c>
      <c r="C117" s="118" t="s">
        <v>86</v>
      </c>
      <c r="D117" s="119" t="s">
        <v>4750</v>
      </c>
      <c r="E117" s="118" t="s">
        <v>769</v>
      </c>
      <c r="F117" s="120">
        <v>2</v>
      </c>
      <c r="G117" s="121">
        <f>Overview!$B$14</f>
        <v>14</v>
      </c>
      <c r="H117" s="114">
        <f>G117-I117</f>
        <v>14</v>
      </c>
      <c r="I117" s="114">
        <f>Overview!$E$14</f>
        <v>0</v>
      </c>
      <c r="J117" s="175">
        <f>I117/F117</f>
        <v>0</v>
      </c>
      <c r="K117" s="174">
        <f>Overview!$H$14</f>
        <v>0</v>
      </c>
      <c r="L117" s="176" t="e">
        <f>(K117-J117)/K117</f>
        <v>#DIV/0!</v>
      </c>
      <c r="M117" s="179"/>
      <c r="N117" s="179" t="s">
        <v>963</v>
      </c>
      <c r="O117" s="141">
        <f>I117</f>
        <v>0</v>
      </c>
      <c r="P117" s="181" t="b">
        <f>COUNTIF('Facility Data'!$A$1:$A$1500,"*"&amp;A117&amp;"*")&gt;0</f>
        <v>1</v>
      </c>
      <c r="Q117" s="181" t="b">
        <f>COUNTIF('Account Data'!$A$1:$A$1000,"*"&amp;A117&amp;"*")&gt;0</f>
        <v>1</v>
      </c>
      <c r="R117" s="182" t="b">
        <f>IF(OR(P117=TRUE,T117=TRUE),TRUE,FALSE)</f>
        <v>1</v>
      </c>
      <c r="S117" s="182" t="b">
        <f>IF(OR(Q117=TRUE,T117=TRUE),TRUE,FALSE)</f>
        <v>1</v>
      </c>
      <c r="T117" s="181" t="b">
        <f>COUNTIF('New Items'!$A$1:$A$175,A117)&gt;0</f>
        <v>0</v>
      </c>
      <c r="U117" s="181" t="b">
        <f>COUNTIF(Discontinued!$A$1:$A$150,A117)&gt;0</f>
        <v>0</v>
      </c>
    </row>
    <row r="118" spans="1:21" s="8" customFormat="1" ht="11.25" x14ac:dyDescent="0.2">
      <c r="A118" s="152">
        <v>10127495</v>
      </c>
      <c r="B118" s="231" t="s">
        <v>4788</v>
      </c>
      <c r="C118" s="118" t="s">
        <v>86</v>
      </c>
      <c r="D118" s="119" t="s">
        <v>4789</v>
      </c>
      <c r="E118" s="118" t="s">
        <v>769</v>
      </c>
      <c r="F118" s="120">
        <v>2</v>
      </c>
      <c r="G118" s="121">
        <f>Overview!$B$14</f>
        <v>14</v>
      </c>
      <c r="H118" s="114">
        <f>G118-I118</f>
        <v>14</v>
      </c>
      <c r="I118" s="114">
        <f>Overview!$E$14</f>
        <v>0</v>
      </c>
      <c r="J118" s="175">
        <f>I118/F118</f>
        <v>0</v>
      </c>
      <c r="K118" s="174">
        <f>Overview!$H$14</f>
        <v>0</v>
      </c>
      <c r="L118" s="176" t="e">
        <f>(K118-J118)/K118</f>
        <v>#DIV/0!</v>
      </c>
      <c r="M118" s="179" t="s">
        <v>1000</v>
      </c>
      <c r="N118" s="179" t="s">
        <v>963</v>
      </c>
      <c r="O118" s="141">
        <f>I118</f>
        <v>0</v>
      </c>
      <c r="P118" s="181" t="b">
        <f>COUNTIF('Facility Data'!$A$1:$A$1500,"*"&amp;A118&amp;"*")&gt;0</f>
        <v>0</v>
      </c>
      <c r="Q118" s="181" t="b">
        <f>COUNTIF('Account Data'!$A$1:$A$1000,"*"&amp;A118&amp;"*")&gt;0</f>
        <v>0</v>
      </c>
      <c r="R118" s="182" t="b">
        <f>IF(OR(P118=TRUE,T118=TRUE),TRUE,FALSE)</f>
        <v>0</v>
      </c>
      <c r="S118" s="182" t="b">
        <f>IF(OR(Q118=TRUE,T118=TRUE),TRUE,FALSE)</f>
        <v>0</v>
      </c>
      <c r="T118" s="181" t="b">
        <f>COUNTIF('New Items'!$A$1:$A$175,A118)&gt;0</f>
        <v>0</v>
      </c>
      <c r="U118" s="181" t="b">
        <f>COUNTIF(Discontinued!$A$1:$A$150,A118)&gt;0</f>
        <v>0</v>
      </c>
    </row>
    <row r="119" spans="1:21" s="8" customFormat="1" ht="11.25" x14ac:dyDescent="0.2">
      <c r="A119" s="152">
        <v>10001749</v>
      </c>
      <c r="B119" s="10" t="s">
        <v>58</v>
      </c>
      <c r="C119" s="12" t="s">
        <v>95</v>
      </c>
      <c r="D119" s="11" t="s">
        <v>632</v>
      </c>
      <c r="E119" s="12" t="s">
        <v>769</v>
      </c>
      <c r="F119" s="13">
        <v>2</v>
      </c>
      <c r="G119" s="22">
        <f>Overview!$B$14</f>
        <v>14</v>
      </c>
      <c r="H119" s="114">
        <f t="shared" si="19"/>
        <v>14</v>
      </c>
      <c r="I119" s="114">
        <f>Overview!$E$14</f>
        <v>0</v>
      </c>
      <c r="J119" s="175">
        <f t="shared" si="20"/>
        <v>0</v>
      </c>
      <c r="K119" s="174">
        <f>Overview!$H$14</f>
        <v>0</v>
      </c>
      <c r="L119" s="176" t="e">
        <f t="shared" si="21"/>
        <v>#DIV/0!</v>
      </c>
      <c r="M119" s="179" t="s">
        <v>951</v>
      </c>
      <c r="N119" s="179" t="s">
        <v>963</v>
      </c>
      <c r="O119" s="141">
        <f t="shared" si="22"/>
        <v>0</v>
      </c>
      <c r="P119" s="181" t="b">
        <f>COUNTIF('Facility Data'!$A$1:$A$1500,"*"&amp;A119&amp;"*")&gt;0</f>
        <v>0</v>
      </c>
      <c r="Q119" s="181" t="b">
        <f>COUNTIF('Account Data'!$A$1:$A$1000,"*"&amp;A119&amp;"*")&gt;0</f>
        <v>1</v>
      </c>
      <c r="R119" s="182" t="b">
        <f t="shared" si="23"/>
        <v>0</v>
      </c>
      <c r="S119" s="182" t="b">
        <f t="shared" si="24"/>
        <v>1</v>
      </c>
      <c r="T119" s="181" t="b">
        <f>COUNTIF('New Items'!$A$1:$A$175,A119)&gt;0</f>
        <v>0</v>
      </c>
      <c r="U119" s="181" t="b">
        <f>COUNTIF(Discontinued!$A$1:$A$150,A119)&gt;0</f>
        <v>0</v>
      </c>
    </row>
    <row r="120" spans="1:21" s="8" customFormat="1" ht="11.25" x14ac:dyDescent="0.2">
      <c r="A120" s="152">
        <v>10136733</v>
      </c>
      <c r="B120" s="10" t="s">
        <v>4720</v>
      </c>
      <c r="C120" s="12" t="s">
        <v>4722</v>
      </c>
      <c r="D120" s="11" t="s">
        <v>4721</v>
      </c>
      <c r="E120" s="12" t="s">
        <v>769</v>
      </c>
      <c r="F120" s="13">
        <v>2</v>
      </c>
      <c r="G120" s="22">
        <f>Overview!$B$14</f>
        <v>14</v>
      </c>
      <c r="H120" s="114">
        <f>G120-I120</f>
        <v>14</v>
      </c>
      <c r="I120" s="114">
        <f>Overview!$E$14</f>
        <v>0</v>
      </c>
      <c r="J120" s="175">
        <f>I120/F120</f>
        <v>0</v>
      </c>
      <c r="K120" s="174">
        <f>Overview!$H$14</f>
        <v>0</v>
      </c>
      <c r="L120" s="176" t="e">
        <f>(K120-J120)/K120</f>
        <v>#DIV/0!</v>
      </c>
      <c r="M120" s="179" t="s">
        <v>951</v>
      </c>
      <c r="N120" s="179" t="s">
        <v>963</v>
      </c>
      <c r="O120" s="141">
        <f>I120</f>
        <v>0</v>
      </c>
      <c r="P120" s="181" t="b">
        <f>COUNTIF('Facility Data'!$A$1:$A$1500,"*"&amp;A120&amp;"*")&gt;0</f>
        <v>0</v>
      </c>
      <c r="Q120" s="181" t="b">
        <f>COUNTIF('Account Data'!$A$1:$A$1000,"*"&amp;A120&amp;"*")&gt;0</f>
        <v>0</v>
      </c>
      <c r="R120" s="182" t="b">
        <f>IF(OR(P120=TRUE,T120=TRUE),TRUE,FALSE)</f>
        <v>1</v>
      </c>
      <c r="S120" s="182" t="b">
        <f>IF(OR(Q120=TRUE,T120=TRUE),TRUE,FALSE)</f>
        <v>1</v>
      </c>
      <c r="T120" s="181" t="b">
        <f>COUNTIF('New Items'!$A$1:$A$175,A120)&gt;0</f>
        <v>1</v>
      </c>
      <c r="U120" s="181" t="b">
        <f>COUNTIF(Discontinued!$A$1:$A$150,A120)&gt;0</f>
        <v>0</v>
      </c>
    </row>
    <row r="121" spans="1:21" s="8" customFormat="1" ht="11.25" x14ac:dyDescent="0.2">
      <c r="A121" s="152">
        <v>10000179</v>
      </c>
      <c r="B121" s="10" t="s">
        <v>57</v>
      </c>
      <c r="C121" s="12" t="s">
        <v>94</v>
      </c>
      <c r="D121" s="11" t="s">
        <v>659</v>
      </c>
      <c r="E121" s="12" t="s">
        <v>769</v>
      </c>
      <c r="F121" s="13">
        <v>2</v>
      </c>
      <c r="G121" s="22">
        <f>Overview!$B$14</f>
        <v>14</v>
      </c>
      <c r="H121" s="114">
        <f t="shared" si="19"/>
        <v>14</v>
      </c>
      <c r="I121" s="114">
        <f>Overview!$E$14</f>
        <v>0</v>
      </c>
      <c r="J121" s="175">
        <f t="shared" si="20"/>
        <v>0</v>
      </c>
      <c r="K121" s="174">
        <f>Overview!$H$14</f>
        <v>0</v>
      </c>
      <c r="L121" s="176" t="e">
        <f t="shared" si="21"/>
        <v>#DIV/0!</v>
      </c>
      <c r="M121" s="179"/>
      <c r="N121" s="179" t="s">
        <v>963</v>
      </c>
      <c r="O121" s="141">
        <f t="shared" si="22"/>
        <v>0</v>
      </c>
      <c r="P121" s="181" t="b">
        <f>COUNTIF('Facility Data'!$A$1:$A$1500,"*"&amp;A121&amp;"*")&gt;0</f>
        <v>0</v>
      </c>
      <c r="Q121" s="181" t="b">
        <f>COUNTIF('Account Data'!$A$1:$A$1000,"*"&amp;A121&amp;"*")&gt;0</f>
        <v>1</v>
      </c>
      <c r="R121" s="182" t="b">
        <f t="shared" si="23"/>
        <v>0</v>
      </c>
      <c r="S121" s="182" t="b">
        <f t="shared" si="24"/>
        <v>1</v>
      </c>
      <c r="T121" s="181" t="b">
        <f>COUNTIF('New Items'!$A$1:$A$175,A121)&gt;0</f>
        <v>0</v>
      </c>
      <c r="U121" s="181" t="b">
        <f>COUNTIF(Discontinued!$A$1:$A$150,A121)&gt;0</f>
        <v>0</v>
      </c>
    </row>
    <row r="122" spans="1:21" s="8" customFormat="1" ht="11.25" x14ac:dyDescent="0.2">
      <c r="A122" s="152">
        <v>10000872</v>
      </c>
      <c r="B122" s="10" t="s">
        <v>1382</v>
      </c>
      <c r="C122" s="12" t="s">
        <v>1383</v>
      </c>
      <c r="D122" s="11" t="s">
        <v>1380</v>
      </c>
      <c r="E122" s="12" t="s">
        <v>769</v>
      </c>
      <c r="F122" s="13">
        <v>2</v>
      </c>
      <c r="G122" s="22">
        <f>Overview!$B$14</f>
        <v>14</v>
      </c>
      <c r="H122" s="114">
        <f t="shared" si="19"/>
        <v>14</v>
      </c>
      <c r="I122" s="114">
        <f>Overview!$E$14</f>
        <v>0</v>
      </c>
      <c r="J122" s="175">
        <f t="shared" si="20"/>
        <v>0</v>
      </c>
      <c r="K122" s="174">
        <f>Overview!$H$14</f>
        <v>0</v>
      </c>
      <c r="L122" s="176" t="e">
        <f t="shared" si="21"/>
        <v>#DIV/0!</v>
      </c>
      <c r="M122" s="179" t="s">
        <v>951</v>
      </c>
      <c r="N122" s="179" t="s">
        <v>963</v>
      </c>
      <c r="O122" s="141">
        <f t="shared" si="22"/>
        <v>0</v>
      </c>
      <c r="P122" s="181" t="b">
        <f>COUNTIF('Facility Data'!$A$1:$A$1500,"*"&amp;A122&amp;"*")&gt;0</f>
        <v>0</v>
      </c>
      <c r="Q122" s="181" t="b">
        <f>COUNTIF('Account Data'!$A$1:$A$1000,"*"&amp;A122&amp;"*")&gt;0</f>
        <v>0</v>
      </c>
      <c r="R122" s="182" t="b">
        <f t="shared" si="23"/>
        <v>0</v>
      </c>
      <c r="S122" s="182" t="b">
        <f t="shared" si="24"/>
        <v>0</v>
      </c>
      <c r="T122" s="181" t="b">
        <f>COUNTIF('New Items'!$A$1:$A$175,A122)&gt;0</f>
        <v>0</v>
      </c>
      <c r="U122" s="181" t="b">
        <f>COUNTIF(Discontinued!$A$1:$A$150,A122)&gt;0</f>
        <v>0</v>
      </c>
    </row>
    <row r="123" spans="1:21" s="8" customFormat="1" ht="11.25" x14ac:dyDescent="0.2">
      <c r="A123" s="152">
        <v>10001013</v>
      </c>
      <c r="B123" s="10" t="s">
        <v>1628</v>
      </c>
      <c r="C123" s="12" t="s">
        <v>1629</v>
      </c>
      <c r="D123" s="11" t="s">
        <v>1655</v>
      </c>
      <c r="E123" s="12" t="s">
        <v>769</v>
      </c>
      <c r="F123" s="13">
        <v>2</v>
      </c>
      <c r="G123" s="22">
        <f>Overview!$B$14</f>
        <v>14</v>
      </c>
      <c r="H123" s="114">
        <f t="shared" si="19"/>
        <v>14</v>
      </c>
      <c r="I123" s="114">
        <f>Overview!$E$14</f>
        <v>0</v>
      </c>
      <c r="J123" s="175">
        <f t="shared" si="20"/>
        <v>0</v>
      </c>
      <c r="K123" s="174">
        <f>Overview!$H$14</f>
        <v>0</v>
      </c>
      <c r="L123" s="176" t="e">
        <f t="shared" si="21"/>
        <v>#DIV/0!</v>
      </c>
      <c r="M123" s="179" t="s">
        <v>2422</v>
      </c>
      <c r="N123" s="179" t="s">
        <v>963</v>
      </c>
      <c r="O123" s="141">
        <f t="shared" si="22"/>
        <v>0</v>
      </c>
      <c r="P123" s="181" t="b">
        <f>COUNTIF('Facility Data'!$A$1:$A$1500,"*"&amp;A123&amp;"*")&gt;0</f>
        <v>0</v>
      </c>
      <c r="Q123" s="181" t="b">
        <f>COUNTIF('Account Data'!$A$1:$A$1000,"*"&amp;A123&amp;"*")&gt;0</f>
        <v>0</v>
      </c>
      <c r="R123" s="182" t="b">
        <f t="shared" si="23"/>
        <v>0</v>
      </c>
      <c r="S123" s="182" t="b">
        <f t="shared" si="24"/>
        <v>0</v>
      </c>
      <c r="T123" s="181" t="b">
        <f>COUNTIF('New Items'!$A$1:$A$175,A123)&gt;0</f>
        <v>0</v>
      </c>
      <c r="U123" s="181" t="b">
        <f>COUNTIF(Discontinued!$A$1:$A$150,A123)&gt;0</f>
        <v>0</v>
      </c>
    </row>
    <row r="124" spans="1:21" s="8" customFormat="1" ht="11.25" x14ac:dyDescent="0.2">
      <c r="A124" s="160">
        <v>10021904</v>
      </c>
      <c r="B124" s="231" t="s">
        <v>3267</v>
      </c>
      <c r="C124" s="118" t="s">
        <v>928</v>
      </c>
      <c r="D124" s="119" t="s">
        <v>923</v>
      </c>
      <c r="E124" s="118" t="s">
        <v>769</v>
      </c>
      <c r="F124" s="120">
        <v>2</v>
      </c>
      <c r="G124" s="121">
        <f>Overview!$B$14</f>
        <v>14</v>
      </c>
      <c r="H124" s="114">
        <f t="shared" si="19"/>
        <v>14</v>
      </c>
      <c r="I124" s="114">
        <f>Overview!$E$14</f>
        <v>0</v>
      </c>
      <c r="J124" s="175">
        <f t="shared" si="20"/>
        <v>0</v>
      </c>
      <c r="K124" s="174">
        <f>Overview!$H$14</f>
        <v>0</v>
      </c>
      <c r="L124" s="176" t="e">
        <f t="shared" si="21"/>
        <v>#DIV/0!</v>
      </c>
      <c r="M124" s="179" t="s">
        <v>921</v>
      </c>
      <c r="N124" s="179" t="s">
        <v>963</v>
      </c>
      <c r="O124" s="141">
        <f t="shared" si="22"/>
        <v>0</v>
      </c>
      <c r="P124" s="181" t="b">
        <f>COUNTIF('Facility Data'!$A$1:$A$1500,"*"&amp;A124&amp;"*")&gt;0</f>
        <v>0</v>
      </c>
      <c r="Q124" s="181" t="b">
        <f>COUNTIF('Account Data'!$A$1:$A$1000,"*"&amp;A124&amp;"*")&gt;0</f>
        <v>1</v>
      </c>
      <c r="R124" s="182" t="b">
        <f t="shared" si="23"/>
        <v>0</v>
      </c>
      <c r="S124" s="182" t="b">
        <f t="shared" si="24"/>
        <v>1</v>
      </c>
      <c r="T124" s="181" t="b">
        <f>COUNTIF('New Items'!$A$1:$A$175,A124)&gt;0</f>
        <v>0</v>
      </c>
      <c r="U124" s="181" t="b">
        <f>COUNTIF(Discontinued!$A$1:$A$150,A124)&gt;0</f>
        <v>0</v>
      </c>
    </row>
    <row r="125" spans="1:21" s="8" customFormat="1" ht="11.25" x14ac:dyDescent="0.2">
      <c r="A125" s="160">
        <v>10021944</v>
      </c>
      <c r="B125" s="231" t="s">
        <v>3265</v>
      </c>
      <c r="C125" s="118" t="s">
        <v>926</v>
      </c>
      <c r="D125" s="119" t="s">
        <v>922</v>
      </c>
      <c r="E125" s="118" t="s">
        <v>769</v>
      </c>
      <c r="F125" s="120">
        <v>2</v>
      </c>
      <c r="G125" s="121">
        <f>Overview!$B$14</f>
        <v>14</v>
      </c>
      <c r="H125" s="114">
        <f t="shared" ref="H125:H141" si="25">G125-I125</f>
        <v>14</v>
      </c>
      <c r="I125" s="114">
        <f>Overview!$E$14</f>
        <v>0</v>
      </c>
      <c r="J125" s="175">
        <f t="shared" ref="J125:J141" si="26">I125/F125</f>
        <v>0</v>
      </c>
      <c r="K125" s="174">
        <f>Overview!$H$14</f>
        <v>0</v>
      </c>
      <c r="L125" s="176" t="e">
        <f t="shared" ref="L125:L141" si="27">(K125-J125)/K125</f>
        <v>#DIV/0!</v>
      </c>
      <c r="M125" s="179" t="s">
        <v>921</v>
      </c>
      <c r="N125" s="179" t="s">
        <v>963</v>
      </c>
      <c r="O125" s="141">
        <f t="shared" ref="O125:O141" si="28">I125</f>
        <v>0</v>
      </c>
      <c r="P125" s="181" t="b">
        <f>COUNTIF('Facility Data'!$A$1:$A$1500,"*"&amp;A125&amp;"*")&gt;0</f>
        <v>0</v>
      </c>
      <c r="Q125" s="181" t="b">
        <f>COUNTIF('Account Data'!$A$1:$A$1000,"*"&amp;A125&amp;"*")&gt;0</f>
        <v>1</v>
      </c>
      <c r="R125" s="182" t="b">
        <f t="shared" ref="R125:R141" si="29">IF(OR(P125=TRUE,T125=TRUE),TRUE,FALSE)</f>
        <v>0</v>
      </c>
      <c r="S125" s="182" t="b">
        <f t="shared" ref="S125:S141" si="30">IF(OR(Q125=TRUE,T125=TRUE),TRUE,FALSE)</f>
        <v>1</v>
      </c>
      <c r="T125" s="181" t="b">
        <f>COUNTIF('New Items'!$A$1:$A$175,A125)&gt;0</f>
        <v>0</v>
      </c>
      <c r="U125" s="181" t="b">
        <f>COUNTIF(Discontinued!$A$1:$A$150,A125)&gt;0</f>
        <v>0</v>
      </c>
    </row>
    <row r="126" spans="1:21" s="8" customFormat="1" ht="11.25" x14ac:dyDescent="0.2">
      <c r="A126" s="160">
        <v>10021907</v>
      </c>
      <c r="B126" s="231" t="s">
        <v>3268</v>
      </c>
      <c r="C126" s="118" t="s">
        <v>929</v>
      </c>
      <c r="D126" s="119" t="s">
        <v>924</v>
      </c>
      <c r="E126" s="118" t="s">
        <v>769</v>
      </c>
      <c r="F126" s="120">
        <v>2</v>
      </c>
      <c r="G126" s="121">
        <f>Overview!$B$14</f>
        <v>14</v>
      </c>
      <c r="H126" s="114">
        <f t="shared" si="25"/>
        <v>14</v>
      </c>
      <c r="I126" s="114">
        <f>Overview!$E$14</f>
        <v>0</v>
      </c>
      <c r="J126" s="175">
        <f t="shared" si="26"/>
        <v>0</v>
      </c>
      <c r="K126" s="174">
        <f>Overview!$H$14</f>
        <v>0</v>
      </c>
      <c r="L126" s="176" t="e">
        <f t="shared" si="27"/>
        <v>#DIV/0!</v>
      </c>
      <c r="M126" s="179" t="s">
        <v>921</v>
      </c>
      <c r="N126" s="179" t="s">
        <v>963</v>
      </c>
      <c r="O126" s="141">
        <f t="shared" si="28"/>
        <v>0</v>
      </c>
      <c r="P126" s="181" t="b">
        <f>COUNTIF('Facility Data'!$A$1:$A$1500,"*"&amp;A126&amp;"*")&gt;0</f>
        <v>0</v>
      </c>
      <c r="Q126" s="181" t="b">
        <f>COUNTIF('Account Data'!$A$1:$A$1000,"*"&amp;A126&amp;"*")&gt;0</f>
        <v>1</v>
      </c>
      <c r="R126" s="182" t="b">
        <f t="shared" si="29"/>
        <v>0</v>
      </c>
      <c r="S126" s="182" t="b">
        <f t="shared" si="30"/>
        <v>1</v>
      </c>
      <c r="T126" s="181" t="b">
        <f>COUNTIF('New Items'!$A$1:$A$175,A126)&gt;0</f>
        <v>0</v>
      </c>
      <c r="U126" s="181" t="b">
        <f>COUNTIF(Discontinued!$A$1:$A$150,A126)&gt;0</f>
        <v>0</v>
      </c>
    </row>
    <row r="127" spans="1:21" s="8" customFormat="1" ht="11.25" x14ac:dyDescent="0.2">
      <c r="A127" s="160">
        <v>10000835</v>
      </c>
      <c r="B127" s="231" t="s">
        <v>50</v>
      </c>
      <c r="C127" s="118" t="s">
        <v>88</v>
      </c>
      <c r="D127" s="119" t="s">
        <v>642</v>
      </c>
      <c r="E127" s="118" t="s">
        <v>769</v>
      </c>
      <c r="F127" s="120">
        <v>2</v>
      </c>
      <c r="G127" s="121">
        <f>Overview!$B$14</f>
        <v>14</v>
      </c>
      <c r="H127" s="114">
        <f t="shared" si="25"/>
        <v>14</v>
      </c>
      <c r="I127" s="114">
        <f>Overview!$E$14</f>
        <v>0</v>
      </c>
      <c r="J127" s="175">
        <f t="shared" si="26"/>
        <v>0</v>
      </c>
      <c r="K127" s="174">
        <f>Overview!$H$14</f>
        <v>0</v>
      </c>
      <c r="L127" s="176" t="e">
        <f t="shared" si="27"/>
        <v>#DIV/0!</v>
      </c>
      <c r="M127" s="179" t="s">
        <v>951</v>
      </c>
      <c r="N127" s="179" t="s">
        <v>963</v>
      </c>
      <c r="O127" s="141">
        <f t="shared" si="28"/>
        <v>0</v>
      </c>
      <c r="P127" s="181" t="b">
        <f>COUNTIF('Facility Data'!$A$1:$A$1500,"*"&amp;A127&amp;"*")&gt;0</f>
        <v>0</v>
      </c>
      <c r="Q127" s="181" t="b">
        <f>COUNTIF('Account Data'!$A$1:$A$1000,"*"&amp;A127&amp;"*")&gt;0</f>
        <v>1</v>
      </c>
      <c r="R127" s="182" t="b">
        <f t="shared" si="29"/>
        <v>0</v>
      </c>
      <c r="S127" s="182" t="b">
        <f t="shared" si="30"/>
        <v>1</v>
      </c>
      <c r="T127" s="181" t="b">
        <f>COUNTIF('New Items'!$A$1:$A$175,A127)&gt;0</f>
        <v>0</v>
      </c>
      <c r="U127" s="181" t="b">
        <f>COUNTIF(Discontinued!$A$1:$A$150,A127)&gt;0</f>
        <v>0</v>
      </c>
    </row>
    <row r="128" spans="1:21" s="8" customFormat="1" ht="11.25" x14ac:dyDescent="0.2">
      <c r="A128" s="152">
        <v>10000873</v>
      </c>
      <c r="B128" s="10" t="s">
        <v>1384</v>
      </c>
      <c r="C128" s="12" t="s">
        <v>1385</v>
      </c>
      <c r="D128" s="11" t="s">
        <v>1381</v>
      </c>
      <c r="E128" s="12" t="s">
        <v>769</v>
      </c>
      <c r="F128" s="13">
        <v>2</v>
      </c>
      <c r="G128" s="22">
        <f>Overview!$B$14</f>
        <v>14</v>
      </c>
      <c r="H128" s="114">
        <f t="shared" si="25"/>
        <v>14</v>
      </c>
      <c r="I128" s="114">
        <f>Overview!$E$14</f>
        <v>0</v>
      </c>
      <c r="J128" s="175">
        <f t="shared" si="26"/>
        <v>0</v>
      </c>
      <c r="K128" s="174">
        <f>Overview!$H$14</f>
        <v>0</v>
      </c>
      <c r="L128" s="176" t="e">
        <f t="shared" si="27"/>
        <v>#DIV/0!</v>
      </c>
      <c r="M128" s="179" t="s">
        <v>951</v>
      </c>
      <c r="N128" s="179" t="s">
        <v>963</v>
      </c>
      <c r="O128" s="141">
        <f t="shared" si="28"/>
        <v>0</v>
      </c>
      <c r="P128" s="181" t="b">
        <f>COUNTIF('Facility Data'!$A$1:$A$1500,"*"&amp;A128&amp;"*")&gt;0</f>
        <v>0</v>
      </c>
      <c r="Q128" s="181" t="b">
        <f>COUNTIF('Account Data'!$A$1:$A$1000,"*"&amp;A128&amp;"*")&gt;0</f>
        <v>0</v>
      </c>
      <c r="R128" s="182" t="b">
        <f t="shared" si="29"/>
        <v>0</v>
      </c>
      <c r="S128" s="182" t="b">
        <f t="shared" si="30"/>
        <v>0</v>
      </c>
      <c r="T128" s="181" t="b">
        <f>COUNTIF('New Items'!$A$1:$A$175,A128)&gt;0</f>
        <v>0</v>
      </c>
      <c r="U128" s="181" t="b">
        <f>COUNTIF(Discontinued!$A$1:$A$150,A128)&gt;0</f>
        <v>0</v>
      </c>
    </row>
    <row r="129" spans="1:21" s="8" customFormat="1" ht="11.25" x14ac:dyDescent="0.2">
      <c r="A129" s="152">
        <v>10021945</v>
      </c>
      <c r="B129" s="10" t="s">
        <v>3266</v>
      </c>
      <c r="C129" s="12" t="s">
        <v>927</v>
      </c>
      <c r="D129" s="11" t="s">
        <v>925</v>
      </c>
      <c r="E129" s="12" t="s">
        <v>769</v>
      </c>
      <c r="F129" s="13">
        <v>2</v>
      </c>
      <c r="G129" s="22">
        <f>Overview!$B$14</f>
        <v>14</v>
      </c>
      <c r="H129" s="114">
        <f t="shared" si="25"/>
        <v>14</v>
      </c>
      <c r="I129" s="114">
        <f>Overview!$E$14</f>
        <v>0</v>
      </c>
      <c r="J129" s="175">
        <f t="shared" si="26"/>
        <v>0</v>
      </c>
      <c r="K129" s="174">
        <f>Overview!$H$14</f>
        <v>0</v>
      </c>
      <c r="L129" s="176" t="e">
        <f t="shared" si="27"/>
        <v>#DIV/0!</v>
      </c>
      <c r="M129" s="179" t="s">
        <v>921</v>
      </c>
      <c r="N129" s="179" t="s">
        <v>963</v>
      </c>
      <c r="O129" s="141">
        <f t="shared" si="28"/>
        <v>0</v>
      </c>
      <c r="P129" s="181" t="b">
        <f>COUNTIF('Facility Data'!$A$1:$A$1500,"*"&amp;A129&amp;"*")&gt;0</f>
        <v>0</v>
      </c>
      <c r="Q129" s="181" t="b">
        <f>COUNTIF('Account Data'!$A$1:$A$1000,"*"&amp;A129&amp;"*")&gt;0</f>
        <v>0</v>
      </c>
      <c r="R129" s="182" t="b">
        <f t="shared" si="29"/>
        <v>0</v>
      </c>
      <c r="S129" s="182" t="b">
        <f t="shared" si="30"/>
        <v>0</v>
      </c>
      <c r="T129" s="181" t="b">
        <f>COUNTIF('New Items'!$A$1:$A$175,A129)&gt;0</f>
        <v>0</v>
      </c>
      <c r="U129" s="181" t="b">
        <f>COUNTIF(Discontinued!$A$1:$A$150,A129)&gt;0</f>
        <v>0</v>
      </c>
    </row>
    <row r="130" spans="1:21" s="8" customFormat="1" ht="11.25" x14ac:dyDescent="0.2">
      <c r="A130" s="152">
        <v>10033031</v>
      </c>
      <c r="B130" s="10" t="s">
        <v>2809</v>
      </c>
      <c r="C130" s="12" t="s">
        <v>85</v>
      </c>
      <c r="D130" s="11" t="s">
        <v>2812</v>
      </c>
      <c r="E130" s="12" t="s">
        <v>769</v>
      </c>
      <c r="F130" s="13">
        <v>2</v>
      </c>
      <c r="G130" s="22">
        <f>Overview!$B$14</f>
        <v>14</v>
      </c>
      <c r="H130" s="114">
        <f t="shared" si="25"/>
        <v>14</v>
      </c>
      <c r="I130" s="114">
        <f>Overview!$E$14</f>
        <v>0</v>
      </c>
      <c r="J130" s="175">
        <f t="shared" si="26"/>
        <v>0</v>
      </c>
      <c r="K130" s="174">
        <f>Overview!$H$14</f>
        <v>0</v>
      </c>
      <c r="L130" s="176" t="e">
        <f t="shared" si="27"/>
        <v>#DIV/0!</v>
      </c>
      <c r="M130" s="179" t="s">
        <v>3393</v>
      </c>
      <c r="N130" s="179" t="s">
        <v>963</v>
      </c>
      <c r="O130" s="141">
        <f t="shared" si="28"/>
        <v>0</v>
      </c>
      <c r="P130" s="181" t="b">
        <f>COUNTIF('Facility Data'!$A$1:$A$1500,"*"&amp;A130&amp;"*")&gt;0</f>
        <v>0</v>
      </c>
      <c r="Q130" s="181" t="b">
        <f>COUNTIF('Account Data'!$A$1:$A$1000,"*"&amp;A130&amp;"*")&gt;0</f>
        <v>0</v>
      </c>
      <c r="R130" s="182" t="b">
        <f t="shared" si="29"/>
        <v>0</v>
      </c>
      <c r="S130" s="182" t="b">
        <f t="shared" si="30"/>
        <v>0</v>
      </c>
      <c r="T130" s="181" t="b">
        <f>COUNTIF('New Items'!$A$1:$A$175,A130)&gt;0</f>
        <v>0</v>
      </c>
      <c r="U130" s="181" t="b">
        <f>COUNTIF(Discontinued!$A$1:$A$150,A130)&gt;0</f>
        <v>0</v>
      </c>
    </row>
    <row r="131" spans="1:21" s="8" customFormat="1" ht="11.25" x14ac:dyDescent="0.2">
      <c r="A131" s="152">
        <v>10001754</v>
      </c>
      <c r="B131" s="10" t="s">
        <v>1717</v>
      </c>
      <c r="C131" s="12" t="s">
        <v>85</v>
      </c>
      <c r="D131" s="11" t="s">
        <v>2811</v>
      </c>
      <c r="E131" s="12" t="s">
        <v>769</v>
      </c>
      <c r="F131" s="13">
        <v>2</v>
      </c>
      <c r="G131" s="22">
        <f>Overview!$B$14</f>
        <v>14</v>
      </c>
      <c r="H131" s="114">
        <f t="shared" si="25"/>
        <v>14</v>
      </c>
      <c r="I131" s="114">
        <f>Overview!$E$14</f>
        <v>0</v>
      </c>
      <c r="J131" s="175">
        <f t="shared" si="26"/>
        <v>0</v>
      </c>
      <c r="K131" s="174">
        <f>Overview!$H$14</f>
        <v>0</v>
      </c>
      <c r="L131" s="176" t="e">
        <f t="shared" si="27"/>
        <v>#DIV/0!</v>
      </c>
      <c r="M131" s="179" t="s">
        <v>951</v>
      </c>
      <c r="N131" s="179" t="s">
        <v>963</v>
      </c>
      <c r="O131" s="141">
        <f t="shared" si="28"/>
        <v>0</v>
      </c>
      <c r="P131" s="181" t="b">
        <f>COUNTIF('Facility Data'!$A$1:$A$1500,"*"&amp;A131&amp;"*")&gt;0</f>
        <v>0</v>
      </c>
      <c r="Q131" s="181" t="b">
        <f>COUNTIF('Account Data'!$A$1:$A$1000,"*"&amp;A131&amp;"*")&gt;0</f>
        <v>1</v>
      </c>
      <c r="R131" s="182" t="b">
        <f t="shared" si="29"/>
        <v>0</v>
      </c>
      <c r="S131" s="182" t="b">
        <f t="shared" si="30"/>
        <v>1</v>
      </c>
      <c r="T131" s="181" t="b">
        <f>COUNTIF('New Items'!$A$1:$A$175,A131)&gt;0</f>
        <v>0</v>
      </c>
      <c r="U131" s="181" t="b">
        <f>COUNTIF(Discontinued!$A$1:$A$150,A131)&gt;0</f>
        <v>0</v>
      </c>
    </row>
    <row r="132" spans="1:21" s="8" customFormat="1" ht="11.25" x14ac:dyDescent="0.2">
      <c r="A132" s="152">
        <v>10002435</v>
      </c>
      <c r="B132" s="10" t="s">
        <v>46</v>
      </c>
      <c r="C132" s="12" t="s">
        <v>85</v>
      </c>
      <c r="D132" s="11" t="s">
        <v>2810</v>
      </c>
      <c r="E132" s="12" t="s">
        <v>769</v>
      </c>
      <c r="F132" s="13">
        <v>2</v>
      </c>
      <c r="G132" s="22">
        <f>Overview!$B$14</f>
        <v>14</v>
      </c>
      <c r="H132" s="114">
        <f t="shared" si="25"/>
        <v>14</v>
      </c>
      <c r="I132" s="114">
        <f>Overview!$E$14</f>
        <v>0</v>
      </c>
      <c r="J132" s="175">
        <f t="shared" si="26"/>
        <v>0</v>
      </c>
      <c r="K132" s="174">
        <f>Overview!$H$14</f>
        <v>0</v>
      </c>
      <c r="L132" s="176" t="e">
        <f t="shared" si="27"/>
        <v>#DIV/0!</v>
      </c>
      <c r="M132" s="179" t="s">
        <v>951</v>
      </c>
      <c r="N132" s="179" t="s">
        <v>963</v>
      </c>
      <c r="O132" s="141">
        <f t="shared" si="28"/>
        <v>0</v>
      </c>
      <c r="P132" s="181" t="b">
        <f>COUNTIF('Facility Data'!$A$1:$A$1500,"*"&amp;A132&amp;"*")&gt;0</f>
        <v>0</v>
      </c>
      <c r="Q132" s="181" t="b">
        <f>COUNTIF('Account Data'!$A$1:$A$1000,"*"&amp;A132&amp;"*")&gt;0</f>
        <v>1</v>
      </c>
      <c r="R132" s="182" t="b">
        <f t="shared" si="29"/>
        <v>0</v>
      </c>
      <c r="S132" s="182" t="b">
        <f t="shared" si="30"/>
        <v>1</v>
      </c>
      <c r="T132" s="181" t="b">
        <f>COUNTIF('New Items'!$A$1:$A$175,A132)&gt;0</f>
        <v>0</v>
      </c>
      <c r="U132" s="181" t="b">
        <f>COUNTIF(Discontinued!$A$1:$A$150,A132)&gt;0</f>
        <v>0</v>
      </c>
    </row>
    <row r="133" spans="1:21" s="8" customFormat="1" ht="11.25" x14ac:dyDescent="0.2">
      <c r="A133" s="152">
        <v>10081820</v>
      </c>
      <c r="B133" s="10" t="s">
        <v>1707</v>
      </c>
      <c r="C133" s="12" t="s">
        <v>1708</v>
      </c>
      <c r="D133" s="11" t="s">
        <v>1710</v>
      </c>
      <c r="E133" s="12" t="s">
        <v>769</v>
      </c>
      <c r="F133" s="13">
        <v>2</v>
      </c>
      <c r="G133" s="22">
        <f>Overview!$B$14</f>
        <v>14</v>
      </c>
      <c r="H133" s="114">
        <f t="shared" si="25"/>
        <v>14</v>
      </c>
      <c r="I133" s="114">
        <f>Overview!$E$14</f>
        <v>0</v>
      </c>
      <c r="J133" s="175">
        <f t="shared" si="26"/>
        <v>0</v>
      </c>
      <c r="K133" s="174">
        <f>Overview!$H$14</f>
        <v>0</v>
      </c>
      <c r="L133" s="176" t="e">
        <f t="shared" si="27"/>
        <v>#DIV/0!</v>
      </c>
      <c r="M133" s="179" t="s">
        <v>2423</v>
      </c>
      <c r="N133" s="179" t="s">
        <v>963</v>
      </c>
      <c r="O133" s="141">
        <f t="shared" si="28"/>
        <v>0</v>
      </c>
      <c r="P133" s="181" t="b">
        <f>COUNTIF('Facility Data'!$A$1:$A$1500,"*"&amp;A133&amp;"*")&gt;0</f>
        <v>0</v>
      </c>
      <c r="Q133" s="181" t="b">
        <f>COUNTIF('Account Data'!$A$1:$A$1000,"*"&amp;A133&amp;"*")&gt;0</f>
        <v>0</v>
      </c>
      <c r="R133" s="182" t="b">
        <f t="shared" si="29"/>
        <v>0</v>
      </c>
      <c r="S133" s="182" t="b">
        <f t="shared" si="30"/>
        <v>0</v>
      </c>
      <c r="T133" s="181" t="b">
        <f>COUNTIF('New Items'!$A$1:$A$175,A133)&gt;0</f>
        <v>0</v>
      </c>
      <c r="U133" s="181" t="b">
        <f>COUNTIF(Discontinued!$A$1:$A$150,A133)&gt;0</f>
        <v>0</v>
      </c>
    </row>
    <row r="134" spans="1:21" s="8" customFormat="1" ht="11.25" x14ac:dyDescent="0.2">
      <c r="A134" s="152">
        <v>10000839</v>
      </c>
      <c r="B134" s="10" t="s">
        <v>1274</v>
      </c>
      <c r="C134" s="12" t="s">
        <v>1273</v>
      </c>
      <c r="D134" s="11" t="s">
        <v>1272</v>
      </c>
      <c r="E134" s="12" t="s">
        <v>769</v>
      </c>
      <c r="F134" s="13">
        <v>2</v>
      </c>
      <c r="G134" s="22">
        <f>Overview!$B$14</f>
        <v>14</v>
      </c>
      <c r="H134" s="114">
        <f t="shared" si="25"/>
        <v>14</v>
      </c>
      <c r="I134" s="114">
        <f>Overview!$E$14</f>
        <v>0</v>
      </c>
      <c r="J134" s="175">
        <f t="shared" si="26"/>
        <v>0</v>
      </c>
      <c r="K134" s="174">
        <f>Overview!$H$14</f>
        <v>0</v>
      </c>
      <c r="L134" s="176" t="e">
        <f t="shared" si="27"/>
        <v>#DIV/0!</v>
      </c>
      <c r="M134" s="179"/>
      <c r="N134" s="179" t="s">
        <v>963</v>
      </c>
      <c r="O134" s="141">
        <f t="shared" si="28"/>
        <v>0</v>
      </c>
      <c r="P134" s="181" t="b">
        <f>COUNTIF('Facility Data'!$A$1:$A$1500,"*"&amp;A134&amp;"*")&gt;0</f>
        <v>1</v>
      </c>
      <c r="Q134" s="181" t="b">
        <f>COUNTIF('Account Data'!$A$1:$A$1000,"*"&amp;A134&amp;"*")&gt;0</f>
        <v>0</v>
      </c>
      <c r="R134" s="182" t="b">
        <f t="shared" si="29"/>
        <v>1</v>
      </c>
      <c r="S134" s="182" t="b">
        <f t="shared" si="30"/>
        <v>0</v>
      </c>
      <c r="T134" s="181" t="b">
        <f>COUNTIF('New Items'!$A$1:$A$175,A134)&gt;0</f>
        <v>0</v>
      </c>
      <c r="U134" s="181" t="b">
        <f>COUNTIF(Discontinued!$A$1:$A$150,A134)&gt;0</f>
        <v>0</v>
      </c>
    </row>
    <row r="135" spans="1:21" s="8" customFormat="1" ht="11.25" x14ac:dyDescent="0.2">
      <c r="A135" s="152">
        <v>10000909</v>
      </c>
      <c r="B135" s="10" t="s">
        <v>1270</v>
      </c>
      <c r="C135" s="12" t="s">
        <v>1271</v>
      </c>
      <c r="D135" s="11" t="s">
        <v>1269</v>
      </c>
      <c r="E135" s="12" t="s">
        <v>769</v>
      </c>
      <c r="F135" s="13">
        <v>2</v>
      </c>
      <c r="G135" s="22">
        <f>Overview!$B$14</f>
        <v>14</v>
      </c>
      <c r="H135" s="114">
        <f t="shared" si="25"/>
        <v>14</v>
      </c>
      <c r="I135" s="114">
        <f>Overview!$E$14</f>
        <v>0</v>
      </c>
      <c r="J135" s="175">
        <f t="shared" si="26"/>
        <v>0</v>
      </c>
      <c r="K135" s="174">
        <f>Overview!$H$14</f>
        <v>0</v>
      </c>
      <c r="L135" s="176" t="e">
        <f t="shared" si="27"/>
        <v>#DIV/0!</v>
      </c>
      <c r="M135" s="179"/>
      <c r="N135" s="179" t="s">
        <v>963</v>
      </c>
      <c r="O135" s="141">
        <f t="shared" si="28"/>
        <v>0</v>
      </c>
      <c r="P135" s="181" t="b">
        <f>COUNTIF('Facility Data'!$A$1:$A$1500,"*"&amp;A135&amp;"*")&gt;0</f>
        <v>0</v>
      </c>
      <c r="Q135" s="181" t="b">
        <f>COUNTIF('Account Data'!$A$1:$A$1000,"*"&amp;A135&amp;"*")&gt;0</f>
        <v>0</v>
      </c>
      <c r="R135" s="182" t="b">
        <f t="shared" si="29"/>
        <v>0</v>
      </c>
      <c r="S135" s="182" t="b">
        <f t="shared" si="30"/>
        <v>0</v>
      </c>
      <c r="T135" s="181" t="b">
        <f>COUNTIF('New Items'!$A$1:$A$175,A135)&gt;0</f>
        <v>0</v>
      </c>
      <c r="U135" s="181" t="b">
        <f>COUNTIF(Discontinued!$A$1:$A$150,A135)&gt;0</f>
        <v>0</v>
      </c>
    </row>
    <row r="136" spans="1:21" s="8" customFormat="1" ht="11.25" x14ac:dyDescent="0.2">
      <c r="A136" s="152">
        <v>10000842</v>
      </c>
      <c r="B136" s="10" t="s">
        <v>45</v>
      </c>
      <c r="C136" s="12" t="s">
        <v>84</v>
      </c>
      <c r="D136" s="11" t="s">
        <v>658</v>
      </c>
      <c r="E136" s="12" t="s">
        <v>769</v>
      </c>
      <c r="F136" s="13">
        <v>2</v>
      </c>
      <c r="G136" s="22">
        <f>Overview!$B$14</f>
        <v>14</v>
      </c>
      <c r="H136" s="114">
        <f t="shared" si="25"/>
        <v>14</v>
      </c>
      <c r="I136" s="114">
        <f>Overview!$E$14</f>
        <v>0</v>
      </c>
      <c r="J136" s="175">
        <f t="shared" si="26"/>
        <v>0</v>
      </c>
      <c r="K136" s="174">
        <f>Overview!$H$14</f>
        <v>0</v>
      </c>
      <c r="L136" s="176" t="e">
        <f t="shared" si="27"/>
        <v>#DIV/0!</v>
      </c>
      <c r="M136" s="179"/>
      <c r="N136" s="179" t="s">
        <v>963</v>
      </c>
      <c r="O136" s="141">
        <f t="shared" si="28"/>
        <v>0</v>
      </c>
      <c r="P136" s="181" t="b">
        <f>COUNTIF('Facility Data'!$A$1:$A$1500,"*"&amp;A136&amp;"*")&gt;0</f>
        <v>1</v>
      </c>
      <c r="Q136" s="181" t="b">
        <f>COUNTIF('Account Data'!$A$1:$A$1000,"*"&amp;A136&amp;"*")&gt;0</f>
        <v>1</v>
      </c>
      <c r="R136" s="182" t="b">
        <f t="shared" si="29"/>
        <v>1</v>
      </c>
      <c r="S136" s="182" t="b">
        <f t="shared" si="30"/>
        <v>1</v>
      </c>
      <c r="T136" s="181" t="b">
        <f>COUNTIF('New Items'!$A$1:$A$175,A136)&gt;0</f>
        <v>0</v>
      </c>
      <c r="U136" s="181" t="b">
        <f>COUNTIF(Discontinued!$A$1:$A$150,A136)&gt;0</f>
        <v>0</v>
      </c>
    </row>
    <row r="137" spans="1:21" s="8" customFormat="1" ht="11.25" x14ac:dyDescent="0.2">
      <c r="A137" s="152">
        <v>10002010</v>
      </c>
      <c r="B137" s="10" t="s">
        <v>2803</v>
      </c>
      <c r="C137" s="12" t="s">
        <v>84</v>
      </c>
      <c r="D137" s="11" t="s">
        <v>2804</v>
      </c>
      <c r="E137" s="12" t="s">
        <v>769</v>
      </c>
      <c r="F137" s="13">
        <v>2</v>
      </c>
      <c r="G137" s="22">
        <f>Overview!$B$14</f>
        <v>14</v>
      </c>
      <c r="H137" s="114">
        <f t="shared" si="25"/>
        <v>14</v>
      </c>
      <c r="I137" s="114">
        <f>Overview!$E$14</f>
        <v>0</v>
      </c>
      <c r="J137" s="175">
        <f t="shared" si="26"/>
        <v>0</v>
      </c>
      <c r="K137" s="174">
        <f>Overview!$H$14</f>
        <v>0</v>
      </c>
      <c r="L137" s="176" t="e">
        <f t="shared" si="27"/>
        <v>#DIV/0!</v>
      </c>
      <c r="M137" s="179"/>
      <c r="N137" s="179" t="s">
        <v>963</v>
      </c>
      <c r="O137" s="141">
        <f t="shared" si="28"/>
        <v>0</v>
      </c>
      <c r="P137" s="181" t="b">
        <f>COUNTIF('Facility Data'!$A$1:$A$1500,"*"&amp;A137&amp;"*")&gt;0</f>
        <v>0</v>
      </c>
      <c r="Q137" s="181" t="b">
        <f>COUNTIF('Account Data'!$A$1:$A$1000,"*"&amp;A137&amp;"*")&gt;0</f>
        <v>0</v>
      </c>
      <c r="R137" s="182" t="b">
        <f t="shared" si="29"/>
        <v>0</v>
      </c>
      <c r="S137" s="182" t="b">
        <f t="shared" si="30"/>
        <v>0</v>
      </c>
      <c r="T137" s="181" t="b">
        <f>COUNTIF('New Items'!$A$1:$A$175,A137)&gt;0</f>
        <v>0</v>
      </c>
      <c r="U137" s="181" t="b">
        <f>COUNTIF(Discontinued!$A$1:$A$150,A137)&gt;0</f>
        <v>0</v>
      </c>
    </row>
    <row r="138" spans="1:21" s="8" customFormat="1" ht="11.25" x14ac:dyDescent="0.2">
      <c r="A138" s="152">
        <v>10000848</v>
      </c>
      <c r="B138" s="10" t="s">
        <v>1659</v>
      </c>
      <c r="C138" s="12" t="s">
        <v>1660</v>
      </c>
      <c r="D138" s="11" t="s">
        <v>3976</v>
      </c>
      <c r="E138" s="12" t="s">
        <v>769</v>
      </c>
      <c r="F138" s="13">
        <v>2</v>
      </c>
      <c r="G138" s="22">
        <f>Overview!$B$14</f>
        <v>14</v>
      </c>
      <c r="H138" s="114">
        <f t="shared" si="25"/>
        <v>14</v>
      </c>
      <c r="I138" s="114">
        <f>Overview!$E$14</f>
        <v>0</v>
      </c>
      <c r="J138" s="175">
        <f t="shared" si="26"/>
        <v>0</v>
      </c>
      <c r="K138" s="174">
        <f>Overview!$H$14</f>
        <v>0</v>
      </c>
      <c r="L138" s="176" t="e">
        <f t="shared" si="27"/>
        <v>#DIV/0!</v>
      </c>
      <c r="M138" s="179"/>
      <c r="N138" s="179" t="s">
        <v>963</v>
      </c>
      <c r="O138" s="141">
        <f t="shared" si="28"/>
        <v>0</v>
      </c>
      <c r="P138" s="181" t="b">
        <f>COUNTIF('Facility Data'!$A$1:$A$1500,"*"&amp;A138&amp;"*")&gt;0</f>
        <v>0</v>
      </c>
      <c r="Q138" s="181" t="b">
        <f>COUNTIF('Account Data'!$A$1:$A$1000,"*"&amp;A138&amp;"*")&gt;0</f>
        <v>0</v>
      </c>
      <c r="R138" s="182" t="b">
        <f t="shared" si="29"/>
        <v>0</v>
      </c>
      <c r="S138" s="182" t="b">
        <f t="shared" si="30"/>
        <v>0</v>
      </c>
      <c r="T138" s="181" t="b">
        <f>COUNTIF('New Items'!$A$1:$A$175,A138)&gt;0</f>
        <v>0</v>
      </c>
      <c r="U138" s="181" t="b">
        <f>COUNTIF(Discontinued!$A$1:$A$150,A138)&gt;0</f>
        <v>0</v>
      </c>
    </row>
    <row r="139" spans="1:21" s="8" customFormat="1" ht="11.25" x14ac:dyDescent="0.2">
      <c r="A139" s="152">
        <v>10000858</v>
      </c>
      <c r="B139" s="10" t="s">
        <v>1661</v>
      </c>
      <c r="C139" s="12" t="s">
        <v>1662</v>
      </c>
      <c r="D139" s="11" t="s">
        <v>1663</v>
      </c>
      <c r="E139" s="12" t="s">
        <v>769</v>
      </c>
      <c r="F139" s="13">
        <v>2</v>
      </c>
      <c r="G139" s="22">
        <f>Overview!$B$14</f>
        <v>14</v>
      </c>
      <c r="H139" s="114">
        <f t="shared" si="25"/>
        <v>14</v>
      </c>
      <c r="I139" s="114">
        <f>Overview!$E$14</f>
        <v>0</v>
      </c>
      <c r="J139" s="175">
        <f t="shared" si="26"/>
        <v>0</v>
      </c>
      <c r="K139" s="174">
        <f>Overview!$H$14</f>
        <v>0</v>
      </c>
      <c r="L139" s="176" t="e">
        <f t="shared" si="27"/>
        <v>#DIV/0!</v>
      </c>
      <c r="M139" s="179"/>
      <c r="N139" s="179" t="s">
        <v>963</v>
      </c>
      <c r="O139" s="141">
        <f t="shared" si="28"/>
        <v>0</v>
      </c>
      <c r="P139" s="181" t="b">
        <f>COUNTIF('Facility Data'!$A$1:$A$1500,"*"&amp;A139&amp;"*")&gt;0</f>
        <v>0</v>
      </c>
      <c r="Q139" s="181" t="b">
        <f>COUNTIF('Account Data'!$A$1:$A$1000,"*"&amp;A139&amp;"*")&gt;0</f>
        <v>0</v>
      </c>
      <c r="R139" s="182" t="b">
        <f t="shared" si="29"/>
        <v>0</v>
      </c>
      <c r="S139" s="182" t="b">
        <f t="shared" si="30"/>
        <v>0</v>
      </c>
      <c r="T139" s="181" t="b">
        <f>COUNTIF('New Items'!$A$1:$A$175,A139)&gt;0</f>
        <v>0</v>
      </c>
      <c r="U139" s="181" t="b">
        <f>COUNTIF(Discontinued!$A$1:$A$150,A139)&gt;0</f>
        <v>0</v>
      </c>
    </row>
    <row r="140" spans="1:21" s="8" customFormat="1" ht="11.25" x14ac:dyDescent="0.2">
      <c r="A140" s="152">
        <v>10000910</v>
      </c>
      <c r="B140" s="10" t="s">
        <v>1699</v>
      </c>
      <c r="C140" s="12" t="s">
        <v>1700</v>
      </c>
      <c r="D140" s="11" t="s">
        <v>1698</v>
      </c>
      <c r="E140" s="12" t="s">
        <v>769</v>
      </c>
      <c r="F140" s="13">
        <v>2</v>
      </c>
      <c r="G140" s="22">
        <f>Overview!$B$14</f>
        <v>14</v>
      </c>
      <c r="H140" s="114">
        <f t="shared" si="25"/>
        <v>14</v>
      </c>
      <c r="I140" s="114">
        <f>Overview!$E$14</f>
        <v>0</v>
      </c>
      <c r="J140" s="175">
        <f t="shared" si="26"/>
        <v>0</v>
      </c>
      <c r="K140" s="174">
        <f>Overview!$H$14</f>
        <v>0</v>
      </c>
      <c r="L140" s="176" t="e">
        <f t="shared" si="27"/>
        <v>#DIV/0!</v>
      </c>
      <c r="M140" s="179" t="s">
        <v>4370</v>
      </c>
      <c r="N140" s="179" t="s">
        <v>963</v>
      </c>
      <c r="O140" s="141">
        <f t="shared" si="28"/>
        <v>0</v>
      </c>
      <c r="P140" s="181" t="b">
        <f>COUNTIF('Facility Data'!$A$1:$A$1500,"*"&amp;A140&amp;"*")&gt;0</f>
        <v>0</v>
      </c>
      <c r="Q140" s="181" t="b">
        <f>COUNTIF('Account Data'!$A$1:$A$1000,"*"&amp;A140&amp;"*")&gt;0</f>
        <v>0</v>
      </c>
      <c r="R140" s="182" t="b">
        <f t="shared" si="29"/>
        <v>0</v>
      </c>
      <c r="S140" s="182" t="b">
        <f t="shared" si="30"/>
        <v>0</v>
      </c>
      <c r="T140" s="181" t="b">
        <f>COUNTIF('New Items'!$A$1:$A$175,A140)&gt;0</f>
        <v>0</v>
      </c>
      <c r="U140" s="181" t="b">
        <f>COUNTIF(Discontinued!$A$1:$A$150,A140)&gt;0</f>
        <v>0</v>
      </c>
    </row>
    <row r="141" spans="1:21" s="8" customFormat="1" ht="11.25" x14ac:dyDescent="0.2">
      <c r="A141" s="152">
        <v>10000877</v>
      </c>
      <c r="B141" s="10" t="s">
        <v>43</v>
      </c>
      <c r="C141" s="12" t="s">
        <v>82</v>
      </c>
      <c r="D141" s="11" t="s">
        <v>649</v>
      </c>
      <c r="E141" s="12" t="s">
        <v>769</v>
      </c>
      <c r="F141" s="13">
        <v>2</v>
      </c>
      <c r="G141" s="22">
        <f>Overview!$B$14</f>
        <v>14</v>
      </c>
      <c r="H141" s="114">
        <f t="shared" si="25"/>
        <v>14</v>
      </c>
      <c r="I141" s="114">
        <f>Overview!$E$14</f>
        <v>0</v>
      </c>
      <c r="J141" s="175">
        <f t="shared" si="26"/>
        <v>0</v>
      </c>
      <c r="K141" s="174">
        <f>Overview!$H$14</f>
        <v>0</v>
      </c>
      <c r="L141" s="176" t="e">
        <f t="shared" si="27"/>
        <v>#DIV/0!</v>
      </c>
      <c r="M141" s="179"/>
      <c r="N141" s="179" t="s">
        <v>963</v>
      </c>
      <c r="O141" s="141">
        <f t="shared" si="28"/>
        <v>0</v>
      </c>
      <c r="P141" s="181" t="b">
        <f>COUNTIF('Facility Data'!$A$1:$A$1500,"*"&amp;A141&amp;"*")&gt;0</f>
        <v>0</v>
      </c>
      <c r="Q141" s="181" t="b">
        <f>COUNTIF('Account Data'!$A$1:$A$1000,"*"&amp;A141&amp;"*")&gt;0</f>
        <v>1</v>
      </c>
      <c r="R141" s="182" t="b">
        <f t="shared" si="29"/>
        <v>0</v>
      </c>
      <c r="S141" s="182" t="b">
        <f t="shared" si="30"/>
        <v>1</v>
      </c>
      <c r="T141" s="181" t="b">
        <f>COUNTIF('New Items'!$A$1:$A$175,A141)&gt;0</f>
        <v>0</v>
      </c>
      <c r="U141" s="181" t="b">
        <f>COUNTIF(Discontinued!$A$1:$A$150,A141)&gt;0</f>
        <v>0</v>
      </c>
    </row>
    <row r="142" spans="1:21" s="8" customFormat="1" ht="11.25" x14ac:dyDescent="0.2">
      <c r="A142" s="152">
        <v>10033032</v>
      </c>
      <c r="B142" s="10" t="s">
        <v>2805</v>
      </c>
      <c r="C142" s="12" t="s">
        <v>93</v>
      </c>
      <c r="D142" s="11" t="s">
        <v>2808</v>
      </c>
      <c r="E142" s="12" t="s">
        <v>769</v>
      </c>
      <c r="F142" s="13">
        <v>2</v>
      </c>
      <c r="G142" s="22">
        <f>Overview!$B$14</f>
        <v>14</v>
      </c>
      <c r="H142" s="114">
        <f t="shared" ref="H142:H177" si="31">G142-I142</f>
        <v>14</v>
      </c>
      <c r="I142" s="114">
        <f>Overview!$E$14</f>
        <v>0</v>
      </c>
      <c r="J142" s="175">
        <f t="shared" ref="J142:J177" si="32">I142/F142</f>
        <v>0</v>
      </c>
      <c r="K142" s="174">
        <f>Overview!$H$14</f>
        <v>0</v>
      </c>
      <c r="L142" s="176" t="e">
        <f t="shared" ref="L142:L177" si="33">(K142-J142)/K142</f>
        <v>#DIV/0!</v>
      </c>
      <c r="M142" s="179" t="s">
        <v>3393</v>
      </c>
      <c r="N142" s="179" t="s">
        <v>963</v>
      </c>
      <c r="O142" s="141">
        <f t="shared" ref="O142:O177" si="34">I142</f>
        <v>0</v>
      </c>
      <c r="P142" s="181" t="b">
        <f>COUNTIF('Facility Data'!$A$1:$A$1500,"*"&amp;A142&amp;"*")&gt;0</f>
        <v>0</v>
      </c>
      <c r="Q142" s="181" t="b">
        <f>COUNTIF('Account Data'!$A$1:$A$1000,"*"&amp;A142&amp;"*")&gt;0</f>
        <v>0</v>
      </c>
      <c r="R142" s="182" t="b">
        <f t="shared" ref="R142:R177" si="35">IF(OR(P142=TRUE,T142=TRUE),TRUE,FALSE)</f>
        <v>0</v>
      </c>
      <c r="S142" s="182" t="b">
        <f t="shared" ref="S142:S177" si="36">IF(OR(Q142=TRUE,T142=TRUE),TRUE,FALSE)</f>
        <v>0</v>
      </c>
      <c r="T142" s="181" t="b">
        <f>COUNTIF('New Items'!$A$1:$A$175,A142)&gt;0</f>
        <v>0</v>
      </c>
      <c r="U142" s="181" t="b">
        <f>COUNTIF(Discontinued!$A$1:$A$150,A142)&gt;0</f>
        <v>0</v>
      </c>
    </row>
    <row r="143" spans="1:21" s="8" customFormat="1" ht="11.25" x14ac:dyDescent="0.2">
      <c r="A143" s="152">
        <v>10000836</v>
      </c>
      <c r="B143" s="10" t="s">
        <v>1716</v>
      </c>
      <c r="C143" s="12" t="s">
        <v>93</v>
      </c>
      <c r="D143" s="11" t="s">
        <v>2806</v>
      </c>
      <c r="E143" s="12" t="s">
        <v>769</v>
      </c>
      <c r="F143" s="13">
        <v>2</v>
      </c>
      <c r="G143" s="22">
        <f>Overview!$B$14</f>
        <v>14</v>
      </c>
      <c r="H143" s="114">
        <f t="shared" si="31"/>
        <v>14</v>
      </c>
      <c r="I143" s="114">
        <f>Overview!$E$14</f>
        <v>0</v>
      </c>
      <c r="J143" s="175">
        <f t="shared" si="32"/>
        <v>0</v>
      </c>
      <c r="K143" s="174">
        <f>Overview!$H$14</f>
        <v>0</v>
      </c>
      <c r="L143" s="176" t="e">
        <f t="shared" si="33"/>
        <v>#DIV/0!</v>
      </c>
      <c r="M143" s="179" t="s">
        <v>951</v>
      </c>
      <c r="N143" s="179" t="s">
        <v>963</v>
      </c>
      <c r="O143" s="141">
        <f t="shared" si="34"/>
        <v>0</v>
      </c>
      <c r="P143" s="181" t="b">
        <f>COUNTIF('Facility Data'!$A$1:$A$1500,"*"&amp;A143&amp;"*")&gt;0</f>
        <v>0</v>
      </c>
      <c r="Q143" s="181" t="b">
        <f>COUNTIF('Account Data'!$A$1:$A$1000,"*"&amp;A143&amp;"*")&gt;0</f>
        <v>1</v>
      </c>
      <c r="R143" s="182" t="b">
        <f t="shared" si="35"/>
        <v>0</v>
      </c>
      <c r="S143" s="182" t="b">
        <f t="shared" si="36"/>
        <v>1</v>
      </c>
      <c r="T143" s="181" t="b">
        <f>COUNTIF('New Items'!$A$1:$A$175,A143)&gt;0</f>
        <v>0</v>
      </c>
      <c r="U143" s="181" t="b">
        <f>COUNTIF(Discontinued!$A$1:$A$150,A143)&gt;0</f>
        <v>0</v>
      </c>
    </row>
    <row r="144" spans="1:21" s="8" customFormat="1" ht="11.25" x14ac:dyDescent="0.2">
      <c r="A144" s="152">
        <v>10002434</v>
      </c>
      <c r="B144" s="10" t="s">
        <v>56</v>
      </c>
      <c r="C144" s="12" t="s">
        <v>93</v>
      </c>
      <c r="D144" s="11" t="s">
        <v>2807</v>
      </c>
      <c r="E144" s="12" t="s">
        <v>769</v>
      </c>
      <c r="F144" s="13">
        <v>2</v>
      </c>
      <c r="G144" s="22">
        <f>Overview!$B$14</f>
        <v>14</v>
      </c>
      <c r="H144" s="114">
        <f t="shared" si="31"/>
        <v>14</v>
      </c>
      <c r="I144" s="114">
        <f>Overview!$E$14</f>
        <v>0</v>
      </c>
      <c r="J144" s="175">
        <f t="shared" si="32"/>
        <v>0</v>
      </c>
      <c r="K144" s="174">
        <f>Overview!$H$14</f>
        <v>0</v>
      </c>
      <c r="L144" s="176" t="e">
        <f t="shared" si="33"/>
        <v>#DIV/0!</v>
      </c>
      <c r="M144" s="179" t="s">
        <v>951</v>
      </c>
      <c r="N144" s="179" t="s">
        <v>963</v>
      </c>
      <c r="O144" s="141">
        <f t="shared" si="34"/>
        <v>0</v>
      </c>
      <c r="P144" s="181" t="b">
        <f>COUNTIF('Facility Data'!$A$1:$A$1500,"*"&amp;A144&amp;"*")&gt;0</f>
        <v>0</v>
      </c>
      <c r="Q144" s="181" t="b">
        <f>COUNTIF('Account Data'!$A$1:$A$1000,"*"&amp;A144&amp;"*")&gt;0</f>
        <v>1</v>
      </c>
      <c r="R144" s="182" t="b">
        <f t="shared" si="35"/>
        <v>0</v>
      </c>
      <c r="S144" s="182" t="b">
        <f t="shared" si="36"/>
        <v>1</v>
      </c>
      <c r="T144" s="181" t="b">
        <f>COUNTIF('New Items'!$A$1:$A$175,A144)&gt;0</f>
        <v>0</v>
      </c>
      <c r="U144" s="181" t="b">
        <f>COUNTIF(Discontinued!$A$1:$A$150,A144)&gt;0</f>
        <v>0</v>
      </c>
    </row>
    <row r="145" spans="1:21" s="8" customFormat="1" ht="11.25" x14ac:dyDescent="0.2">
      <c r="A145" s="152">
        <v>10127331</v>
      </c>
      <c r="B145" s="231" t="s">
        <v>3758</v>
      </c>
      <c r="C145" s="118" t="s">
        <v>3760</v>
      </c>
      <c r="D145" s="119" t="s">
        <v>3761</v>
      </c>
      <c r="E145" s="12" t="s">
        <v>769</v>
      </c>
      <c r="F145" s="13">
        <v>2</v>
      </c>
      <c r="G145" s="22">
        <f>Overview!$B$14</f>
        <v>14</v>
      </c>
      <c r="H145" s="114">
        <f>G145-I145</f>
        <v>14</v>
      </c>
      <c r="I145" s="114">
        <f>Overview!$E$14</f>
        <v>0</v>
      </c>
      <c r="J145" s="175">
        <f>I145/F145</f>
        <v>0</v>
      </c>
      <c r="K145" s="174">
        <f>Overview!$H$14</f>
        <v>0</v>
      </c>
      <c r="L145" s="176" t="e">
        <f>(K145-J145)/K145</f>
        <v>#DIV/0!</v>
      </c>
      <c r="M145" s="179" t="s">
        <v>951</v>
      </c>
      <c r="N145" s="179" t="s">
        <v>963</v>
      </c>
      <c r="O145" s="141">
        <f>I145</f>
        <v>0</v>
      </c>
      <c r="P145" s="181" t="b">
        <f>COUNTIF('Facility Data'!$A$1:$A$1500,"*"&amp;A145&amp;"*")&gt;0</f>
        <v>0</v>
      </c>
      <c r="Q145" s="181" t="b">
        <f>COUNTIF('Account Data'!$A$1:$A$1000,"*"&amp;A145&amp;"*")&gt;0</f>
        <v>0</v>
      </c>
      <c r="R145" s="182" t="b">
        <f>IF(OR(P145=TRUE,T145=TRUE),TRUE,FALSE)</f>
        <v>0</v>
      </c>
      <c r="S145" s="182" t="b">
        <f>IF(OR(Q145=TRUE,T145=TRUE),TRUE,FALSE)</f>
        <v>0</v>
      </c>
      <c r="T145" s="181" t="b">
        <f>COUNTIF('New Items'!$A$1:$A$175,A145)&gt;0</f>
        <v>0</v>
      </c>
      <c r="U145" s="181" t="b">
        <f>COUNTIF(Discontinued!$A$1:$A$150,A145)&gt;0</f>
        <v>0</v>
      </c>
    </row>
    <row r="146" spans="1:21" s="8" customFormat="1" ht="11.25" x14ac:dyDescent="0.2">
      <c r="A146" s="152">
        <v>10136730</v>
      </c>
      <c r="B146" s="231" t="s">
        <v>4730</v>
      </c>
      <c r="C146" s="118" t="s">
        <v>4731</v>
      </c>
      <c r="D146" s="119" t="s">
        <v>4729</v>
      </c>
      <c r="E146" s="12" t="s">
        <v>769</v>
      </c>
      <c r="F146" s="13">
        <v>2</v>
      </c>
      <c r="G146" s="22">
        <f>Overview!$B$14</f>
        <v>14</v>
      </c>
      <c r="H146" s="114">
        <f>G146-I146</f>
        <v>14</v>
      </c>
      <c r="I146" s="114">
        <f>Overview!$E$14</f>
        <v>0</v>
      </c>
      <c r="J146" s="175">
        <f>I146/F146</f>
        <v>0</v>
      </c>
      <c r="K146" s="174">
        <f>Overview!$H$14</f>
        <v>0</v>
      </c>
      <c r="L146" s="176" t="e">
        <f>(K146-J146)/K146</f>
        <v>#DIV/0!</v>
      </c>
      <c r="M146" s="179" t="s">
        <v>951</v>
      </c>
      <c r="N146" s="179" t="s">
        <v>963</v>
      </c>
      <c r="O146" s="141">
        <f>I146</f>
        <v>0</v>
      </c>
      <c r="P146" s="181" t="b">
        <f>COUNTIF('Facility Data'!$A$1:$A$1500,"*"&amp;A146&amp;"*")&gt;0</f>
        <v>0</v>
      </c>
      <c r="Q146" s="181" t="b">
        <f>COUNTIF('Account Data'!$A$1:$A$1000,"*"&amp;A146&amp;"*")&gt;0</f>
        <v>0</v>
      </c>
      <c r="R146" s="182" t="b">
        <f t="shared" si="35"/>
        <v>1</v>
      </c>
      <c r="S146" s="182" t="b">
        <f>IF(OR(Q146=TRUE,T146=TRUE),TRUE,FALSE)</f>
        <v>1</v>
      </c>
      <c r="T146" s="181" t="b">
        <f>COUNTIF('New Items'!$A$1:$A$175,A146)&gt;0</f>
        <v>1</v>
      </c>
      <c r="U146" s="181" t="b">
        <f>COUNTIF(Discontinued!$A$1:$A$150,A146)&gt;0</f>
        <v>0</v>
      </c>
    </row>
    <row r="147" spans="1:21" s="8" customFormat="1" ht="11.25" x14ac:dyDescent="0.2">
      <c r="A147" s="152">
        <v>10002778</v>
      </c>
      <c r="B147" s="10" t="s">
        <v>55</v>
      </c>
      <c r="C147" s="12" t="s">
        <v>92</v>
      </c>
      <c r="D147" s="11" t="s">
        <v>920</v>
      </c>
      <c r="E147" s="12" t="s">
        <v>769</v>
      </c>
      <c r="F147" s="13">
        <v>2</v>
      </c>
      <c r="G147" s="22">
        <f>Overview!$B$14</f>
        <v>14</v>
      </c>
      <c r="H147" s="114">
        <f t="shared" si="31"/>
        <v>14</v>
      </c>
      <c r="I147" s="114">
        <f>Overview!$E$14</f>
        <v>0</v>
      </c>
      <c r="J147" s="175">
        <f t="shared" si="32"/>
        <v>0</v>
      </c>
      <c r="K147" s="174">
        <f>Overview!$H$14</f>
        <v>0</v>
      </c>
      <c r="L147" s="176" t="e">
        <f t="shared" si="33"/>
        <v>#DIV/0!</v>
      </c>
      <c r="M147" s="179" t="s">
        <v>951</v>
      </c>
      <c r="N147" s="179" t="s">
        <v>963</v>
      </c>
      <c r="O147" s="141">
        <f t="shared" si="34"/>
        <v>0</v>
      </c>
      <c r="P147" s="181" t="b">
        <f>COUNTIF('Facility Data'!$A$1:$A$1500,"*"&amp;A147&amp;"*")&gt;0</f>
        <v>0</v>
      </c>
      <c r="Q147" s="181" t="b">
        <f>COUNTIF('Account Data'!$A$1:$A$1000,"*"&amp;A147&amp;"*")&gt;0</f>
        <v>1</v>
      </c>
      <c r="R147" s="182" t="b">
        <f t="shared" si="35"/>
        <v>0</v>
      </c>
      <c r="S147" s="182" t="b">
        <f t="shared" si="36"/>
        <v>1</v>
      </c>
      <c r="T147" s="181" t="b">
        <f>COUNTIF('New Items'!$A$1:$A$175,A147)&gt;0</f>
        <v>0</v>
      </c>
      <c r="U147" s="181" t="b">
        <f>COUNTIF(Discontinued!$A$1:$A$150,A147)&gt;0</f>
        <v>0</v>
      </c>
    </row>
    <row r="148" spans="1:21" s="8" customFormat="1" ht="11.25" x14ac:dyDescent="0.2">
      <c r="A148" s="152">
        <v>10000855</v>
      </c>
      <c r="B148" s="10" t="s">
        <v>40</v>
      </c>
      <c r="C148" s="12" t="s">
        <v>79</v>
      </c>
      <c r="D148" s="11" t="s">
        <v>655</v>
      </c>
      <c r="E148" s="12" t="s">
        <v>769</v>
      </c>
      <c r="F148" s="13">
        <v>2</v>
      </c>
      <c r="G148" s="22">
        <f>Overview!$B$14</f>
        <v>14</v>
      </c>
      <c r="H148" s="114">
        <f t="shared" si="31"/>
        <v>14</v>
      </c>
      <c r="I148" s="114">
        <f>Overview!$E$14</f>
        <v>0</v>
      </c>
      <c r="J148" s="175">
        <f t="shared" si="32"/>
        <v>0</v>
      </c>
      <c r="K148" s="174">
        <f>Overview!$H$14</f>
        <v>0</v>
      </c>
      <c r="L148" s="176" t="e">
        <f t="shared" si="33"/>
        <v>#DIV/0!</v>
      </c>
      <c r="M148" s="179"/>
      <c r="N148" s="179" t="s">
        <v>963</v>
      </c>
      <c r="O148" s="141">
        <f t="shared" si="34"/>
        <v>0</v>
      </c>
      <c r="P148" s="181" t="b">
        <f>COUNTIF('Facility Data'!$A$1:$A$1500,"*"&amp;A148&amp;"*")&gt;0</f>
        <v>1</v>
      </c>
      <c r="Q148" s="181" t="b">
        <f>COUNTIF('Account Data'!$A$1:$A$1000,"*"&amp;A148&amp;"*")&gt;0</f>
        <v>1</v>
      </c>
      <c r="R148" s="182" t="b">
        <f t="shared" si="35"/>
        <v>1</v>
      </c>
      <c r="S148" s="182" t="b">
        <f t="shared" si="36"/>
        <v>1</v>
      </c>
      <c r="T148" s="181" t="b">
        <f>COUNTIF('New Items'!$A$1:$A$175,A148)&gt;0</f>
        <v>0</v>
      </c>
      <c r="U148" s="181" t="b">
        <f>COUNTIF(Discontinued!$A$1:$A$150,A148)&gt;0</f>
        <v>0</v>
      </c>
    </row>
    <row r="149" spans="1:21" s="8" customFormat="1" ht="11.25" x14ac:dyDescent="0.2">
      <c r="A149" s="152">
        <v>10000851</v>
      </c>
      <c r="B149" s="10" t="s">
        <v>39</v>
      </c>
      <c r="C149" s="12" t="s">
        <v>78</v>
      </c>
      <c r="D149" s="11" t="s">
        <v>638</v>
      </c>
      <c r="E149" s="12" t="s">
        <v>769</v>
      </c>
      <c r="F149" s="13">
        <v>2</v>
      </c>
      <c r="G149" s="22">
        <f>Overview!$B$14</f>
        <v>14</v>
      </c>
      <c r="H149" s="114">
        <f t="shared" si="31"/>
        <v>14</v>
      </c>
      <c r="I149" s="114">
        <f>Overview!$E$14</f>
        <v>0</v>
      </c>
      <c r="J149" s="175">
        <f t="shared" si="32"/>
        <v>0</v>
      </c>
      <c r="K149" s="174">
        <f>Overview!$H$14</f>
        <v>0</v>
      </c>
      <c r="L149" s="176" t="e">
        <f t="shared" si="33"/>
        <v>#DIV/0!</v>
      </c>
      <c r="M149" s="179" t="s">
        <v>954</v>
      </c>
      <c r="N149" s="179" t="s">
        <v>963</v>
      </c>
      <c r="O149" s="141">
        <f t="shared" si="34"/>
        <v>0</v>
      </c>
      <c r="P149" s="181" t="b">
        <f>COUNTIF('Facility Data'!$A$1:$A$1500,"*"&amp;A149&amp;"*")&gt;0</f>
        <v>0</v>
      </c>
      <c r="Q149" s="181" t="b">
        <f>COUNTIF('Account Data'!$A$1:$A$1000,"*"&amp;A149&amp;"*")&gt;0</f>
        <v>1</v>
      </c>
      <c r="R149" s="182" t="b">
        <f t="shared" si="35"/>
        <v>0</v>
      </c>
      <c r="S149" s="182" t="b">
        <f t="shared" si="36"/>
        <v>1</v>
      </c>
      <c r="T149" s="181" t="b">
        <f>COUNTIF('New Items'!$A$1:$A$175,A149)&gt;0</f>
        <v>0</v>
      </c>
      <c r="U149" s="181" t="b">
        <f>COUNTIF(Discontinued!$A$1:$A$150,A149)&gt;0</f>
        <v>0</v>
      </c>
    </row>
    <row r="150" spans="1:21" s="8" customFormat="1" ht="11.25" x14ac:dyDescent="0.2">
      <c r="A150" s="152">
        <v>10000180</v>
      </c>
      <c r="B150" s="10" t="s">
        <v>38</v>
      </c>
      <c r="C150" s="12" t="s">
        <v>77</v>
      </c>
      <c r="D150" s="11" t="s">
        <v>639</v>
      </c>
      <c r="E150" s="12" t="s">
        <v>769</v>
      </c>
      <c r="F150" s="13">
        <v>2</v>
      </c>
      <c r="G150" s="22">
        <f>Overview!$B$14</f>
        <v>14</v>
      </c>
      <c r="H150" s="114">
        <f t="shared" si="31"/>
        <v>14</v>
      </c>
      <c r="I150" s="114">
        <f>Overview!$E$14</f>
        <v>0</v>
      </c>
      <c r="J150" s="175">
        <f t="shared" si="32"/>
        <v>0</v>
      </c>
      <c r="K150" s="174">
        <f>Overview!$H$14</f>
        <v>0</v>
      </c>
      <c r="L150" s="176" t="e">
        <f t="shared" si="33"/>
        <v>#DIV/0!</v>
      </c>
      <c r="M150" s="179" t="s">
        <v>930</v>
      </c>
      <c r="N150" s="179" t="s">
        <v>963</v>
      </c>
      <c r="O150" s="141">
        <f t="shared" si="34"/>
        <v>0</v>
      </c>
      <c r="P150" s="181" t="b">
        <f>COUNTIF('Facility Data'!$A$1:$A$1500,"*"&amp;A150&amp;"*")&gt;0</f>
        <v>0</v>
      </c>
      <c r="Q150" s="181" t="b">
        <f>COUNTIF('Account Data'!$A$1:$A$1000,"*"&amp;A150&amp;"*")&gt;0</f>
        <v>0</v>
      </c>
      <c r="R150" s="182" t="b">
        <f t="shared" si="35"/>
        <v>0</v>
      </c>
      <c r="S150" s="182" t="b">
        <f t="shared" si="36"/>
        <v>0</v>
      </c>
      <c r="T150" s="181" t="b">
        <f>COUNTIF('New Items'!$A$1:$A$175,A150)&gt;0</f>
        <v>0</v>
      </c>
      <c r="U150" s="181" t="b">
        <f>COUNTIF(Discontinued!$A$1:$A$150,A150)&gt;0</f>
        <v>0</v>
      </c>
    </row>
    <row r="151" spans="1:21" s="8" customFormat="1" ht="11.25" x14ac:dyDescent="0.2">
      <c r="A151" s="152">
        <v>10081819</v>
      </c>
      <c r="B151" s="10" t="s">
        <v>1705</v>
      </c>
      <c r="C151" s="12" t="s">
        <v>1706</v>
      </c>
      <c r="D151" s="11" t="s">
        <v>1709</v>
      </c>
      <c r="E151" s="12" t="s">
        <v>769</v>
      </c>
      <c r="F151" s="13">
        <v>2</v>
      </c>
      <c r="G151" s="22">
        <f>Overview!$B$14</f>
        <v>14</v>
      </c>
      <c r="H151" s="114">
        <f t="shared" si="31"/>
        <v>14</v>
      </c>
      <c r="I151" s="114">
        <f>Overview!$E$14</f>
        <v>0</v>
      </c>
      <c r="J151" s="175">
        <f t="shared" si="32"/>
        <v>0</v>
      </c>
      <c r="K151" s="174">
        <f>Overview!$H$14</f>
        <v>0</v>
      </c>
      <c r="L151" s="176" t="e">
        <f t="shared" si="33"/>
        <v>#DIV/0!</v>
      </c>
      <c r="M151" s="179" t="s">
        <v>2423</v>
      </c>
      <c r="N151" s="179" t="s">
        <v>963</v>
      </c>
      <c r="O151" s="141">
        <f t="shared" si="34"/>
        <v>0</v>
      </c>
      <c r="P151" s="181" t="b">
        <f>COUNTIF('Facility Data'!$A$1:$A$1500,"*"&amp;A151&amp;"*")&gt;0</f>
        <v>0</v>
      </c>
      <c r="Q151" s="181" t="b">
        <f>COUNTIF('Account Data'!$A$1:$A$1000,"*"&amp;A151&amp;"*")&gt;0</f>
        <v>0</v>
      </c>
      <c r="R151" s="182" t="b">
        <f t="shared" si="35"/>
        <v>0</v>
      </c>
      <c r="S151" s="182" t="b">
        <f t="shared" si="36"/>
        <v>0</v>
      </c>
      <c r="T151" s="181" t="b">
        <f>COUNTIF('New Items'!$A$1:$A$175,A151)&gt;0</f>
        <v>0</v>
      </c>
      <c r="U151" s="181" t="b">
        <f>COUNTIF(Discontinued!$A$1:$A$150,A151)&gt;0</f>
        <v>0</v>
      </c>
    </row>
    <row r="152" spans="1:21" s="8" customFormat="1" ht="11.25" x14ac:dyDescent="0.2">
      <c r="A152" s="152">
        <v>10000838</v>
      </c>
      <c r="B152" s="10" t="s">
        <v>37</v>
      </c>
      <c r="C152" s="12" t="s">
        <v>76</v>
      </c>
      <c r="D152" s="11" t="s">
        <v>660</v>
      </c>
      <c r="E152" s="12" t="s">
        <v>769</v>
      </c>
      <c r="F152" s="13">
        <v>2</v>
      </c>
      <c r="G152" s="22">
        <f>Overview!$B$14</f>
        <v>14</v>
      </c>
      <c r="H152" s="114">
        <f t="shared" si="31"/>
        <v>14</v>
      </c>
      <c r="I152" s="114">
        <f>Overview!$E$14</f>
        <v>0</v>
      </c>
      <c r="J152" s="175">
        <f t="shared" si="32"/>
        <v>0</v>
      </c>
      <c r="K152" s="174">
        <f>Overview!$H$14</f>
        <v>0</v>
      </c>
      <c r="L152" s="176" t="e">
        <f t="shared" si="33"/>
        <v>#DIV/0!</v>
      </c>
      <c r="M152" s="179"/>
      <c r="N152" s="179" t="s">
        <v>963</v>
      </c>
      <c r="O152" s="141">
        <f t="shared" si="34"/>
        <v>0</v>
      </c>
      <c r="P152" s="181" t="b">
        <f>COUNTIF('Facility Data'!$A$1:$A$1500,"*"&amp;A152&amp;"*")&gt;0</f>
        <v>1</v>
      </c>
      <c r="Q152" s="181" t="b">
        <f>COUNTIF('Account Data'!$A$1:$A$1000,"*"&amp;A152&amp;"*")&gt;0</f>
        <v>1</v>
      </c>
      <c r="R152" s="182" t="b">
        <f t="shared" si="35"/>
        <v>1</v>
      </c>
      <c r="S152" s="182" t="b">
        <f t="shared" si="36"/>
        <v>1</v>
      </c>
      <c r="T152" s="181" t="b">
        <f>COUNTIF('New Items'!$A$1:$A$175,A152)&gt;0</f>
        <v>0</v>
      </c>
      <c r="U152" s="181" t="b">
        <f>COUNTIF(Discontinued!$A$1:$A$150,A152)&gt;0</f>
        <v>0</v>
      </c>
    </row>
    <row r="153" spans="1:21" s="8" customFormat="1" ht="11.25" x14ac:dyDescent="0.2">
      <c r="A153" s="152">
        <v>10033033</v>
      </c>
      <c r="B153" s="10" t="s">
        <v>3805</v>
      </c>
      <c r="C153" s="12" t="s">
        <v>76</v>
      </c>
      <c r="D153" s="11" t="s">
        <v>3806</v>
      </c>
      <c r="E153" s="12" t="s">
        <v>769</v>
      </c>
      <c r="F153" s="13">
        <v>2</v>
      </c>
      <c r="G153" s="22">
        <f>Overview!$B$14</f>
        <v>14</v>
      </c>
      <c r="H153" s="114">
        <f>G153-I153</f>
        <v>14</v>
      </c>
      <c r="I153" s="114">
        <f>Overview!$E$14</f>
        <v>0</v>
      </c>
      <c r="J153" s="175">
        <f>I153/F153</f>
        <v>0</v>
      </c>
      <c r="K153" s="174">
        <f>Overview!$H$14</f>
        <v>0</v>
      </c>
      <c r="L153" s="176" t="e">
        <f>(K153-J153)/K153</f>
        <v>#DIV/0!</v>
      </c>
      <c r="M153" s="179" t="s">
        <v>1000</v>
      </c>
      <c r="N153" s="179" t="s">
        <v>963</v>
      </c>
      <c r="O153" s="141">
        <f>I153</f>
        <v>0</v>
      </c>
      <c r="P153" s="181" t="b">
        <f>COUNTIF('Facility Data'!$A$1:$A$1500,"*"&amp;A153&amp;"*")&gt;0</f>
        <v>0</v>
      </c>
      <c r="Q153" s="181" t="b">
        <f>COUNTIF('Account Data'!$A$1:$A$1000,"*"&amp;A153&amp;"*")&gt;0</f>
        <v>0</v>
      </c>
      <c r="R153" s="182" t="b">
        <f t="shared" si="35"/>
        <v>0</v>
      </c>
      <c r="S153" s="182" t="b">
        <f>IF(OR(Q153=TRUE,T153=TRUE),TRUE,FALSE)</f>
        <v>0</v>
      </c>
      <c r="T153" s="181" t="b">
        <f>COUNTIF('New Items'!$A$1:$A$175,A153)&gt;0</f>
        <v>0</v>
      </c>
      <c r="U153" s="181" t="b">
        <f>COUNTIF(Discontinued!$A$1:$A$150,A153)&gt;0</f>
        <v>0</v>
      </c>
    </row>
    <row r="154" spans="1:21" s="8" customFormat="1" ht="11.25" x14ac:dyDescent="0.2">
      <c r="A154" s="152">
        <v>10000860</v>
      </c>
      <c r="B154" s="10" t="s">
        <v>36</v>
      </c>
      <c r="C154" s="12" t="s">
        <v>75</v>
      </c>
      <c r="D154" s="11" t="s">
        <v>637</v>
      </c>
      <c r="E154" s="12" t="s">
        <v>769</v>
      </c>
      <c r="F154" s="13">
        <v>2</v>
      </c>
      <c r="G154" s="22">
        <f>Overview!$B$14</f>
        <v>14</v>
      </c>
      <c r="H154" s="114">
        <f t="shared" si="31"/>
        <v>14</v>
      </c>
      <c r="I154" s="114">
        <f>Overview!$E$14</f>
        <v>0</v>
      </c>
      <c r="J154" s="175">
        <f t="shared" si="32"/>
        <v>0</v>
      </c>
      <c r="K154" s="174">
        <f>Overview!$H$14</f>
        <v>0</v>
      </c>
      <c r="L154" s="176" t="e">
        <f t="shared" si="33"/>
        <v>#DIV/0!</v>
      </c>
      <c r="M154" s="179" t="s">
        <v>4370</v>
      </c>
      <c r="N154" s="179" t="s">
        <v>963</v>
      </c>
      <c r="O154" s="141">
        <f t="shared" si="34"/>
        <v>0</v>
      </c>
      <c r="P154" s="181" t="b">
        <f>COUNTIF('Facility Data'!$A$1:$A$1500,"*"&amp;A154&amp;"*")&gt;0</f>
        <v>0</v>
      </c>
      <c r="Q154" s="181" t="b">
        <f>COUNTIF('Account Data'!$A$1:$A$1000,"*"&amp;A154&amp;"*")&gt;0</f>
        <v>1</v>
      </c>
      <c r="R154" s="182" t="b">
        <f t="shared" si="35"/>
        <v>0</v>
      </c>
      <c r="S154" s="182" t="b">
        <f t="shared" si="36"/>
        <v>1</v>
      </c>
      <c r="T154" s="181" t="b">
        <f>COUNTIF('New Items'!$A$1:$A$175,A154)&gt;0</f>
        <v>0</v>
      </c>
      <c r="U154" s="181" t="b">
        <f>COUNTIF(Discontinued!$A$1:$A$150,A154)&gt;0</f>
        <v>0</v>
      </c>
    </row>
    <row r="155" spans="1:21" s="8" customFormat="1" ht="11.25" x14ac:dyDescent="0.2">
      <c r="A155" s="152">
        <v>10000856</v>
      </c>
      <c r="B155" s="10" t="s">
        <v>1695</v>
      </c>
      <c r="C155" s="12" t="s">
        <v>1696</v>
      </c>
      <c r="D155" s="11" t="s">
        <v>1697</v>
      </c>
      <c r="E155" s="12" t="s">
        <v>769</v>
      </c>
      <c r="F155" s="13">
        <v>2</v>
      </c>
      <c r="G155" s="22">
        <f>Overview!$B$14</f>
        <v>14</v>
      </c>
      <c r="H155" s="114">
        <f t="shared" si="31"/>
        <v>14</v>
      </c>
      <c r="I155" s="114">
        <f>Overview!$E$14</f>
        <v>0</v>
      </c>
      <c r="J155" s="175">
        <f t="shared" si="32"/>
        <v>0</v>
      </c>
      <c r="K155" s="174">
        <f>Overview!$H$14</f>
        <v>0</v>
      </c>
      <c r="L155" s="176" t="e">
        <f t="shared" si="33"/>
        <v>#DIV/0!</v>
      </c>
      <c r="M155" s="179" t="s">
        <v>944</v>
      </c>
      <c r="N155" s="179" t="s">
        <v>963</v>
      </c>
      <c r="O155" s="141">
        <f t="shared" si="34"/>
        <v>0</v>
      </c>
      <c r="P155" s="181" t="b">
        <f>COUNTIF('Facility Data'!$A$1:$A$1500,"*"&amp;A155&amp;"*")&gt;0</f>
        <v>0</v>
      </c>
      <c r="Q155" s="181" t="b">
        <f>COUNTIF('Account Data'!$A$1:$A$1000,"*"&amp;A155&amp;"*")&gt;0</f>
        <v>0</v>
      </c>
      <c r="R155" s="182" t="b">
        <f t="shared" si="35"/>
        <v>0</v>
      </c>
      <c r="S155" s="182" t="b">
        <f t="shared" si="36"/>
        <v>0</v>
      </c>
      <c r="T155" s="181" t="b">
        <f>COUNTIF('New Items'!$A$1:$A$175,A155)&gt;0</f>
        <v>0</v>
      </c>
      <c r="U155" s="181" t="b">
        <f>COUNTIF(Discontinued!$A$1:$A$150,A155)&gt;0</f>
        <v>0</v>
      </c>
    </row>
    <row r="156" spans="1:21" s="8" customFormat="1" ht="11.25" x14ac:dyDescent="0.2">
      <c r="A156" s="152">
        <v>10000187</v>
      </c>
      <c r="B156" s="10" t="s">
        <v>35</v>
      </c>
      <c r="C156" s="12" t="s">
        <v>74</v>
      </c>
      <c r="D156" s="11" t="s">
        <v>636</v>
      </c>
      <c r="E156" s="12" t="s">
        <v>769</v>
      </c>
      <c r="F156" s="13">
        <v>2</v>
      </c>
      <c r="G156" s="22">
        <f>Overview!$B$14</f>
        <v>14</v>
      </c>
      <c r="H156" s="114">
        <f t="shared" si="31"/>
        <v>14</v>
      </c>
      <c r="I156" s="114">
        <f>Overview!$E$14</f>
        <v>0</v>
      </c>
      <c r="J156" s="175">
        <f t="shared" si="32"/>
        <v>0</v>
      </c>
      <c r="K156" s="174">
        <f>Overview!$H$14</f>
        <v>0</v>
      </c>
      <c r="L156" s="176" t="e">
        <f t="shared" si="33"/>
        <v>#DIV/0!</v>
      </c>
      <c r="M156" s="179" t="s">
        <v>4370</v>
      </c>
      <c r="N156" s="179" t="s">
        <v>963</v>
      </c>
      <c r="O156" s="141">
        <f t="shared" si="34"/>
        <v>0</v>
      </c>
      <c r="P156" s="181" t="b">
        <f>COUNTIF('Facility Data'!$A$1:$A$1500,"*"&amp;A156&amp;"*")&gt;0</f>
        <v>1</v>
      </c>
      <c r="Q156" s="181" t="b">
        <f>COUNTIF('Account Data'!$A$1:$A$1000,"*"&amp;A156&amp;"*")&gt;0</f>
        <v>1</v>
      </c>
      <c r="R156" s="182" t="b">
        <f t="shared" si="35"/>
        <v>1</v>
      </c>
      <c r="S156" s="182" t="b">
        <f t="shared" si="36"/>
        <v>1</v>
      </c>
      <c r="T156" s="181" t="b">
        <f>COUNTIF('New Items'!$A$1:$A$175,A156)&gt;0</f>
        <v>0</v>
      </c>
      <c r="U156" s="181" t="b">
        <f>COUNTIF(Discontinued!$A$1:$A$150,A156)&gt;0</f>
        <v>0</v>
      </c>
    </row>
    <row r="157" spans="1:21" s="8" customFormat="1" ht="11.25" x14ac:dyDescent="0.2">
      <c r="A157" s="152">
        <v>10117325</v>
      </c>
      <c r="B157" s="10" t="s">
        <v>2813</v>
      </c>
      <c r="C157" s="12" t="s">
        <v>74</v>
      </c>
      <c r="D157" s="11" t="s">
        <v>2814</v>
      </c>
      <c r="E157" s="12" t="s">
        <v>769</v>
      </c>
      <c r="F157" s="13">
        <v>2</v>
      </c>
      <c r="G157" s="22">
        <f>Overview!$B$14</f>
        <v>14</v>
      </c>
      <c r="H157" s="114">
        <f t="shared" si="31"/>
        <v>14</v>
      </c>
      <c r="I157" s="114">
        <f>Overview!$E$14</f>
        <v>0</v>
      </c>
      <c r="J157" s="175">
        <f t="shared" si="32"/>
        <v>0</v>
      </c>
      <c r="K157" s="174">
        <f>Overview!$H$14</f>
        <v>0</v>
      </c>
      <c r="L157" s="176" t="e">
        <f t="shared" si="33"/>
        <v>#DIV/0!</v>
      </c>
      <c r="M157" s="179" t="s">
        <v>4370</v>
      </c>
      <c r="N157" s="179" t="s">
        <v>963</v>
      </c>
      <c r="O157" s="141">
        <f t="shared" si="34"/>
        <v>0</v>
      </c>
      <c r="P157" s="181" t="b">
        <f>COUNTIF('Facility Data'!$A$1:$A$1500,"*"&amp;A157&amp;"*")&gt;0</f>
        <v>0</v>
      </c>
      <c r="Q157" s="181" t="b">
        <f>COUNTIF('Account Data'!$A$1:$A$1000,"*"&amp;A157&amp;"*")&gt;0</f>
        <v>0</v>
      </c>
      <c r="R157" s="182" t="b">
        <f t="shared" si="35"/>
        <v>0</v>
      </c>
      <c r="S157" s="182" t="b">
        <f t="shared" si="36"/>
        <v>0</v>
      </c>
      <c r="T157" s="181" t="b">
        <f>COUNTIF('New Items'!$A$1:$A$175,A157)&gt;0</f>
        <v>0</v>
      </c>
      <c r="U157" s="181" t="b">
        <f>COUNTIF(Discontinued!$A$1:$A$150,A157)&gt;0</f>
        <v>0</v>
      </c>
    </row>
    <row r="158" spans="1:21" s="8" customFormat="1" ht="11.25" x14ac:dyDescent="0.2">
      <c r="A158" s="152">
        <v>10000850</v>
      </c>
      <c r="B158" s="10" t="s">
        <v>4761</v>
      </c>
      <c r="C158" s="12" t="s">
        <v>83</v>
      </c>
      <c r="D158" s="11" t="s">
        <v>4762</v>
      </c>
      <c r="E158" s="12" t="s">
        <v>769</v>
      </c>
      <c r="F158" s="13">
        <v>2</v>
      </c>
      <c r="G158" s="22">
        <f>Overview!$B$14</f>
        <v>14</v>
      </c>
      <c r="H158" s="114">
        <f>G158-I158</f>
        <v>14</v>
      </c>
      <c r="I158" s="114">
        <f>Overview!$E$14</f>
        <v>0</v>
      </c>
      <c r="J158" s="175">
        <f>I158/F158</f>
        <v>0</v>
      </c>
      <c r="K158" s="174">
        <f>Overview!$H$14</f>
        <v>0</v>
      </c>
      <c r="L158" s="176" t="e">
        <f>(K158-J158)/K158</f>
        <v>#DIV/0!</v>
      </c>
      <c r="M158" s="179" t="s">
        <v>4370</v>
      </c>
      <c r="N158" s="179" t="s">
        <v>963</v>
      </c>
      <c r="O158" s="141">
        <f>I158</f>
        <v>0</v>
      </c>
      <c r="P158" s="181" t="b">
        <f>COUNTIF('Facility Data'!$A$1:$A$1500,"*"&amp;A158&amp;"*")&gt;0</f>
        <v>1</v>
      </c>
      <c r="Q158" s="181" t="b">
        <f>COUNTIF('Account Data'!$A$1:$A$1000,"*"&amp;A158&amp;"*")&gt;0</f>
        <v>1</v>
      </c>
      <c r="R158" s="182" t="b">
        <f>IF(OR(P158=TRUE,T158=TRUE),TRUE,FALSE)</f>
        <v>1</v>
      </c>
      <c r="S158" s="182" t="b">
        <f>IF(OR(Q158=TRUE,T158=TRUE),TRUE,FALSE)</f>
        <v>1</v>
      </c>
      <c r="T158" s="181" t="b">
        <f>COUNTIF('New Items'!$A$1:$A$175,A158)&gt;0</f>
        <v>0</v>
      </c>
      <c r="U158" s="181" t="b">
        <f>COUNTIF(Discontinued!$A$1:$A$150,A158)&gt;0</f>
        <v>0</v>
      </c>
    </row>
    <row r="159" spans="1:21" s="8" customFormat="1" ht="11.25" x14ac:dyDescent="0.2">
      <c r="A159" s="152">
        <v>10000874</v>
      </c>
      <c r="B159" s="10" t="s">
        <v>34</v>
      </c>
      <c r="C159" s="12" t="s">
        <v>73</v>
      </c>
      <c r="D159" s="11" t="s">
        <v>648</v>
      </c>
      <c r="E159" s="12" t="s">
        <v>769</v>
      </c>
      <c r="F159" s="13">
        <v>2</v>
      </c>
      <c r="G159" s="22">
        <f>Overview!$B$14</f>
        <v>14</v>
      </c>
      <c r="H159" s="114">
        <f t="shared" si="31"/>
        <v>14</v>
      </c>
      <c r="I159" s="114">
        <f>Overview!$E$14</f>
        <v>0</v>
      </c>
      <c r="J159" s="175">
        <f t="shared" si="32"/>
        <v>0</v>
      </c>
      <c r="K159" s="174">
        <f>Overview!$H$14</f>
        <v>0</v>
      </c>
      <c r="L159" s="176" t="e">
        <f t="shared" si="33"/>
        <v>#DIV/0!</v>
      </c>
      <c r="M159" s="179"/>
      <c r="N159" s="179" t="s">
        <v>963</v>
      </c>
      <c r="O159" s="141">
        <f t="shared" si="34"/>
        <v>0</v>
      </c>
      <c r="P159" s="181" t="b">
        <f>COUNTIF('Facility Data'!$A$1:$A$1500,"*"&amp;A159&amp;"*")&gt;0</f>
        <v>0</v>
      </c>
      <c r="Q159" s="181" t="b">
        <f>COUNTIF('Account Data'!$A$1:$A$1000,"*"&amp;A159&amp;"*")&gt;0</f>
        <v>1</v>
      </c>
      <c r="R159" s="182" t="b">
        <f t="shared" si="35"/>
        <v>0</v>
      </c>
      <c r="S159" s="182" t="b">
        <f t="shared" si="36"/>
        <v>1</v>
      </c>
      <c r="T159" s="181" t="b">
        <f>COUNTIF('New Items'!$A$1:$A$175,A159)&gt;0</f>
        <v>0</v>
      </c>
      <c r="U159" s="181" t="b">
        <f>COUNTIF(Discontinued!$A$1:$A$150,A159)&gt;0</f>
        <v>0</v>
      </c>
    </row>
    <row r="160" spans="1:21" s="8" customFormat="1" ht="11.25" x14ac:dyDescent="0.2">
      <c r="A160" s="152">
        <v>10000857</v>
      </c>
      <c r="B160" s="10" t="s">
        <v>1267</v>
      </c>
      <c r="C160" s="12" t="s">
        <v>1266</v>
      </c>
      <c r="D160" s="11" t="s">
        <v>1268</v>
      </c>
      <c r="E160" s="12" t="s">
        <v>769</v>
      </c>
      <c r="F160" s="13">
        <v>2</v>
      </c>
      <c r="G160" s="22">
        <f>Overview!$B$14</f>
        <v>14</v>
      </c>
      <c r="H160" s="114">
        <f t="shared" si="31"/>
        <v>14</v>
      </c>
      <c r="I160" s="114">
        <f>Overview!$E$14</f>
        <v>0</v>
      </c>
      <c r="J160" s="175">
        <f t="shared" si="32"/>
        <v>0</v>
      </c>
      <c r="K160" s="174">
        <f>Overview!$H$14</f>
        <v>0</v>
      </c>
      <c r="L160" s="176" t="e">
        <f t="shared" si="33"/>
        <v>#DIV/0!</v>
      </c>
      <c r="M160" s="179" t="s">
        <v>4369</v>
      </c>
      <c r="N160" s="179" t="s">
        <v>963</v>
      </c>
      <c r="O160" s="141">
        <f t="shared" si="34"/>
        <v>0</v>
      </c>
      <c r="P160" s="181" t="b">
        <f>COUNTIF('Facility Data'!$A$1:$A$1500,"*"&amp;A160&amp;"*")&gt;0</f>
        <v>0</v>
      </c>
      <c r="Q160" s="181" t="b">
        <f>COUNTIF('Account Data'!$A$1:$A$1000,"*"&amp;A160&amp;"*")&gt;0</f>
        <v>0</v>
      </c>
      <c r="R160" s="182" t="b">
        <f t="shared" si="35"/>
        <v>0</v>
      </c>
      <c r="S160" s="182" t="b">
        <f t="shared" si="36"/>
        <v>0</v>
      </c>
      <c r="T160" s="181" t="b">
        <f>COUNTIF('New Items'!$A$1:$A$175,A160)&gt;0</f>
        <v>0</v>
      </c>
      <c r="U160" s="181" t="b">
        <f>COUNTIF(Discontinued!$A$1:$A$150,A160)&gt;0</f>
        <v>0</v>
      </c>
    </row>
    <row r="161" spans="1:21" s="8" customFormat="1" ht="11.25" x14ac:dyDescent="0.2">
      <c r="A161" s="152">
        <v>10001699</v>
      </c>
      <c r="B161" s="10" t="s">
        <v>33</v>
      </c>
      <c r="C161" s="12" t="s">
        <v>72</v>
      </c>
      <c r="D161" s="11" t="s">
        <v>635</v>
      </c>
      <c r="E161" s="12" t="s">
        <v>769</v>
      </c>
      <c r="F161" s="13">
        <v>2</v>
      </c>
      <c r="G161" s="22">
        <f>Overview!$B$14</f>
        <v>14</v>
      </c>
      <c r="H161" s="114">
        <f t="shared" si="31"/>
        <v>14</v>
      </c>
      <c r="I161" s="114">
        <f>Overview!$E$14</f>
        <v>0</v>
      </c>
      <c r="J161" s="175">
        <f t="shared" si="32"/>
        <v>0</v>
      </c>
      <c r="K161" s="174">
        <f>Overview!$H$14</f>
        <v>0</v>
      </c>
      <c r="L161" s="176" t="e">
        <f t="shared" si="33"/>
        <v>#DIV/0!</v>
      </c>
      <c r="M161" s="179" t="s">
        <v>4369</v>
      </c>
      <c r="N161" s="179" t="s">
        <v>963</v>
      </c>
      <c r="O161" s="141">
        <f t="shared" si="34"/>
        <v>0</v>
      </c>
      <c r="P161" s="181" t="b">
        <f>COUNTIF('Facility Data'!$A$1:$A$1500,"*"&amp;A161&amp;"*")&gt;0</f>
        <v>1</v>
      </c>
      <c r="Q161" s="181" t="b">
        <f>COUNTIF('Account Data'!$A$1:$A$1000,"*"&amp;A161&amp;"*")&gt;0</f>
        <v>1</v>
      </c>
      <c r="R161" s="182" t="b">
        <f t="shared" si="35"/>
        <v>1</v>
      </c>
      <c r="S161" s="182" t="b">
        <f t="shared" si="36"/>
        <v>1</v>
      </c>
      <c r="T161" s="181" t="b">
        <f>COUNTIF('New Items'!$A$1:$A$175,A161)&gt;0</f>
        <v>0</v>
      </c>
      <c r="U161" s="181" t="b">
        <f>COUNTIF(Discontinued!$A$1:$A$150,A161)&gt;0</f>
        <v>0</v>
      </c>
    </row>
    <row r="162" spans="1:21" s="8" customFormat="1" ht="11.25" x14ac:dyDescent="0.2">
      <c r="A162" s="152">
        <v>10087790</v>
      </c>
      <c r="B162" s="10" t="s">
        <v>32</v>
      </c>
      <c r="C162" s="12" t="s">
        <v>71</v>
      </c>
      <c r="D162" s="11" t="s">
        <v>651</v>
      </c>
      <c r="E162" s="12" t="s">
        <v>769</v>
      </c>
      <c r="F162" s="13">
        <v>2</v>
      </c>
      <c r="G162" s="22">
        <f>Overview!$B$14</f>
        <v>14</v>
      </c>
      <c r="H162" s="114">
        <f t="shared" si="31"/>
        <v>14</v>
      </c>
      <c r="I162" s="114">
        <f>Overview!$E$14</f>
        <v>0</v>
      </c>
      <c r="J162" s="175">
        <f t="shared" si="32"/>
        <v>0</v>
      </c>
      <c r="K162" s="174">
        <f>Overview!$H$14</f>
        <v>0</v>
      </c>
      <c r="L162" s="176" t="e">
        <f t="shared" si="33"/>
        <v>#DIV/0!</v>
      </c>
      <c r="M162" s="179" t="s">
        <v>4369</v>
      </c>
      <c r="N162" s="179" t="s">
        <v>963</v>
      </c>
      <c r="O162" s="141">
        <f t="shared" si="34"/>
        <v>0</v>
      </c>
      <c r="P162" s="181" t="b">
        <f>COUNTIF('Facility Data'!$A$1:$A$1500,"*"&amp;A162&amp;"*")&gt;0</f>
        <v>1</v>
      </c>
      <c r="Q162" s="181" t="b">
        <f>COUNTIF('Account Data'!$A$1:$A$1000,"*"&amp;A162&amp;"*")&gt;0</f>
        <v>1</v>
      </c>
      <c r="R162" s="182" t="b">
        <f t="shared" si="35"/>
        <v>1</v>
      </c>
      <c r="S162" s="182" t="b">
        <f t="shared" si="36"/>
        <v>1</v>
      </c>
      <c r="T162" s="181" t="b">
        <f>COUNTIF('New Items'!$A$1:$A$175,A162)&gt;0</f>
        <v>0</v>
      </c>
      <c r="U162" s="181" t="b">
        <f>COUNTIF(Discontinued!$A$1:$A$150,A162)&gt;0</f>
        <v>0</v>
      </c>
    </row>
    <row r="163" spans="1:21" s="8" customFormat="1" ht="11.25" x14ac:dyDescent="0.2">
      <c r="A163" s="152">
        <v>10000865</v>
      </c>
      <c r="B163" s="10" t="s">
        <v>1678</v>
      </c>
      <c r="C163" s="12" t="s">
        <v>70</v>
      </c>
      <c r="D163" s="11" t="s">
        <v>650</v>
      </c>
      <c r="E163" s="12" t="s">
        <v>769</v>
      </c>
      <c r="F163" s="13">
        <v>2</v>
      </c>
      <c r="G163" s="22">
        <f>Overview!$B$14</f>
        <v>14</v>
      </c>
      <c r="H163" s="114">
        <f t="shared" si="31"/>
        <v>14</v>
      </c>
      <c r="I163" s="114">
        <f>Overview!$E$14</f>
        <v>0</v>
      </c>
      <c r="J163" s="175">
        <f t="shared" si="32"/>
        <v>0</v>
      </c>
      <c r="K163" s="174">
        <f>Overview!$H$14</f>
        <v>0</v>
      </c>
      <c r="L163" s="176" t="e">
        <f t="shared" si="33"/>
        <v>#DIV/0!</v>
      </c>
      <c r="M163" s="179" t="s">
        <v>4369</v>
      </c>
      <c r="N163" s="179" t="s">
        <v>963</v>
      </c>
      <c r="O163" s="141">
        <f t="shared" si="34"/>
        <v>0</v>
      </c>
      <c r="P163" s="181" t="b">
        <f>COUNTIF('Facility Data'!$A$1:$A$1500,"*"&amp;A163&amp;"*")&gt;0</f>
        <v>1</v>
      </c>
      <c r="Q163" s="181" t="b">
        <f>COUNTIF('Account Data'!$A$1:$A$1000,"*"&amp;A163&amp;"*")&gt;0</f>
        <v>1</v>
      </c>
      <c r="R163" s="182" t="b">
        <f t="shared" si="35"/>
        <v>1</v>
      </c>
      <c r="S163" s="182" t="b">
        <f t="shared" si="36"/>
        <v>1</v>
      </c>
      <c r="T163" s="181" t="b">
        <f>COUNTIF('New Items'!$A$1:$A$175,A163)&gt;0</f>
        <v>0</v>
      </c>
      <c r="U163" s="181" t="b">
        <f>COUNTIF(Discontinued!$A$1:$A$150,A163)&gt;0</f>
        <v>0</v>
      </c>
    </row>
    <row r="164" spans="1:21" s="8" customFormat="1" ht="11.25" x14ac:dyDescent="0.2">
      <c r="A164" s="152">
        <v>10120635</v>
      </c>
      <c r="B164" s="10" t="s">
        <v>2816</v>
      </c>
      <c r="C164" s="12" t="s">
        <v>70</v>
      </c>
      <c r="D164" s="11" t="s">
        <v>2819</v>
      </c>
      <c r="E164" s="12" t="s">
        <v>769</v>
      </c>
      <c r="F164" s="13">
        <v>2</v>
      </c>
      <c r="G164" s="22">
        <f>Overview!$B$14</f>
        <v>14</v>
      </c>
      <c r="H164" s="114">
        <f t="shared" si="31"/>
        <v>14</v>
      </c>
      <c r="I164" s="114">
        <f>Overview!$E$14</f>
        <v>0</v>
      </c>
      <c r="J164" s="175">
        <f t="shared" si="32"/>
        <v>0</v>
      </c>
      <c r="K164" s="174">
        <f>Overview!$H$14</f>
        <v>0</v>
      </c>
      <c r="L164" s="176" t="e">
        <f t="shared" si="33"/>
        <v>#DIV/0!</v>
      </c>
      <c r="M164" s="179" t="s">
        <v>4369</v>
      </c>
      <c r="N164" s="179" t="s">
        <v>963</v>
      </c>
      <c r="O164" s="141">
        <f t="shared" si="34"/>
        <v>0</v>
      </c>
      <c r="P164" s="181" t="b">
        <f>COUNTIF('Facility Data'!$A$1:$A$1500,"*"&amp;A164&amp;"*")&gt;0</f>
        <v>0</v>
      </c>
      <c r="Q164" s="181" t="b">
        <f>COUNTIF('Account Data'!$A$1:$A$1000,"*"&amp;A164&amp;"*")&gt;0</f>
        <v>0</v>
      </c>
      <c r="R164" s="182" t="b">
        <f t="shared" si="35"/>
        <v>0</v>
      </c>
      <c r="S164" s="182" t="b">
        <f t="shared" si="36"/>
        <v>0</v>
      </c>
      <c r="T164" s="181" t="b">
        <f>COUNTIF('New Items'!$A$1:$A$175,A164)&gt;0</f>
        <v>0</v>
      </c>
      <c r="U164" s="181" t="b">
        <f>COUNTIF(Discontinued!$A$1:$A$150,A164)&gt;0</f>
        <v>0</v>
      </c>
    </row>
    <row r="165" spans="1:21" s="8" customFormat="1" ht="11.25" x14ac:dyDescent="0.2">
      <c r="A165" s="152">
        <v>10002012</v>
      </c>
      <c r="B165" s="10" t="s">
        <v>2815</v>
      </c>
      <c r="C165" s="12" t="s">
        <v>70</v>
      </c>
      <c r="D165" s="11" t="s">
        <v>2818</v>
      </c>
      <c r="E165" s="12" t="s">
        <v>769</v>
      </c>
      <c r="F165" s="13">
        <v>2</v>
      </c>
      <c r="G165" s="22">
        <f>Overview!$B$14</f>
        <v>14</v>
      </c>
      <c r="H165" s="114">
        <f t="shared" si="31"/>
        <v>14</v>
      </c>
      <c r="I165" s="114">
        <f>Overview!$E$14</f>
        <v>0</v>
      </c>
      <c r="J165" s="175">
        <f t="shared" si="32"/>
        <v>0</v>
      </c>
      <c r="K165" s="174">
        <f>Overview!$H$14</f>
        <v>0</v>
      </c>
      <c r="L165" s="176" t="e">
        <f t="shared" si="33"/>
        <v>#DIV/0!</v>
      </c>
      <c r="M165" s="179" t="s">
        <v>4369</v>
      </c>
      <c r="N165" s="179" t="s">
        <v>963</v>
      </c>
      <c r="O165" s="141">
        <f t="shared" si="34"/>
        <v>0</v>
      </c>
      <c r="P165" s="181" t="b">
        <f>COUNTIF('Facility Data'!$A$1:$A$1500,"*"&amp;A165&amp;"*")&gt;0</f>
        <v>0</v>
      </c>
      <c r="Q165" s="181" t="b">
        <f>COUNTIF('Account Data'!$A$1:$A$1000,"*"&amp;A165&amp;"*")&gt;0</f>
        <v>0</v>
      </c>
      <c r="R165" s="182" t="b">
        <f t="shared" si="35"/>
        <v>0</v>
      </c>
      <c r="S165" s="182" t="b">
        <f t="shared" si="36"/>
        <v>0</v>
      </c>
      <c r="T165" s="181" t="b">
        <f>COUNTIF('New Items'!$A$1:$A$175,A165)&gt;0</f>
        <v>0</v>
      </c>
      <c r="U165" s="181" t="b">
        <f>COUNTIF(Discontinued!$A$1:$A$150,A165)&gt;0</f>
        <v>0</v>
      </c>
    </row>
    <row r="166" spans="1:21" s="8" customFormat="1" ht="11.25" x14ac:dyDescent="0.2">
      <c r="A166" s="152">
        <v>10002457</v>
      </c>
      <c r="B166" s="10" t="s">
        <v>31</v>
      </c>
      <c r="C166" s="12" t="s">
        <v>70</v>
      </c>
      <c r="D166" s="11" t="s">
        <v>2817</v>
      </c>
      <c r="E166" s="12" t="s">
        <v>769</v>
      </c>
      <c r="F166" s="13">
        <v>2</v>
      </c>
      <c r="G166" s="22">
        <f>Overview!$B$14</f>
        <v>14</v>
      </c>
      <c r="H166" s="114">
        <f t="shared" si="31"/>
        <v>14</v>
      </c>
      <c r="I166" s="114">
        <f>Overview!$E$14</f>
        <v>0</v>
      </c>
      <c r="J166" s="175">
        <f t="shared" si="32"/>
        <v>0</v>
      </c>
      <c r="K166" s="174">
        <f>Overview!$H$14</f>
        <v>0</v>
      </c>
      <c r="L166" s="176" t="e">
        <f t="shared" si="33"/>
        <v>#DIV/0!</v>
      </c>
      <c r="M166" s="179" t="s">
        <v>4369</v>
      </c>
      <c r="N166" s="179" t="s">
        <v>963</v>
      </c>
      <c r="O166" s="141">
        <f t="shared" si="34"/>
        <v>0</v>
      </c>
      <c r="P166" s="181" t="b">
        <f>COUNTIF('Facility Data'!$A$1:$A$1500,"*"&amp;A166&amp;"*")&gt;0</f>
        <v>0</v>
      </c>
      <c r="Q166" s="181" t="b">
        <f>COUNTIF('Account Data'!$A$1:$A$1000,"*"&amp;A166&amp;"*")&gt;0</f>
        <v>1</v>
      </c>
      <c r="R166" s="182" t="b">
        <f t="shared" si="35"/>
        <v>0</v>
      </c>
      <c r="S166" s="182" t="b">
        <f t="shared" si="36"/>
        <v>1</v>
      </c>
      <c r="T166" s="181" t="b">
        <f>COUNTIF('New Items'!$A$1:$A$175,A166)&gt;0</f>
        <v>0</v>
      </c>
      <c r="U166" s="181" t="b">
        <f>COUNTIF(Discontinued!$A$1:$A$150,A166)&gt;0</f>
        <v>0</v>
      </c>
    </row>
    <row r="167" spans="1:21" s="8" customFormat="1" ht="11.25" x14ac:dyDescent="0.2">
      <c r="A167" s="152">
        <v>10000863</v>
      </c>
      <c r="B167" s="10" t="s">
        <v>4754</v>
      </c>
      <c r="C167" s="12" t="s">
        <v>81</v>
      </c>
      <c r="D167" s="11" t="s">
        <v>4755</v>
      </c>
      <c r="E167" s="12" t="s">
        <v>769</v>
      </c>
      <c r="F167" s="13">
        <v>2</v>
      </c>
      <c r="G167" s="22">
        <f>Overview!$B$14</f>
        <v>14</v>
      </c>
      <c r="H167" s="114">
        <f>G167-I167</f>
        <v>14</v>
      </c>
      <c r="I167" s="114">
        <f>Overview!$E$14</f>
        <v>0</v>
      </c>
      <c r="J167" s="175">
        <f>I167/F167</f>
        <v>0</v>
      </c>
      <c r="K167" s="174">
        <f>Overview!$H$14</f>
        <v>0</v>
      </c>
      <c r="L167" s="176" t="e">
        <f>(K167-J167)/K167</f>
        <v>#DIV/0!</v>
      </c>
      <c r="M167" s="179" t="s">
        <v>4369</v>
      </c>
      <c r="N167" s="179" t="s">
        <v>963</v>
      </c>
      <c r="O167" s="141">
        <f>I167</f>
        <v>0</v>
      </c>
      <c r="P167" s="181" t="b">
        <f>COUNTIF('Facility Data'!$A$1:$A$1500,"*"&amp;A167&amp;"*")&gt;0</f>
        <v>1</v>
      </c>
      <c r="Q167" s="181" t="b">
        <f>COUNTIF('Account Data'!$A$1:$A$1000,"*"&amp;A167&amp;"*")&gt;0</f>
        <v>1</v>
      </c>
      <c r="R167" s="182" t="b">
        <f>IF(OR(P167=TRUE,T167=TRUE),TRUE,FALSE)</f>
        <v>1</v>
      </c>
      <c r="S167" s="182" t="b">
        <f>IF(OR(Q167=TRUE,T167=TRUE),TRUE,FALSE)</f>
        <v>1</v>
      </c>
      <c r="T167" s="181" t="b">
        <f>COUNTIF('New Items'!$A$1:$A$175,A167)&gt;0</f>
        <v>0</v>
      </c>
      <c r="U167" s="181" t="b">
        <f>COUNTIF(Discontinued!$A$1:$A$150,A167)&gt;0</f>
        <v>0</v>
      </c>
    </row>
    <row r="168" spans="1:21" s="8" customFormat="1" ht="11.25" x14ac:dyDescent="0.2">
      <c r="A168" s="152">
        <v>10002687</v>
      </c>
      <c r="B168" s="10" t="s">
        <v>1701</v>
      </c>
      <c r="C168" s="12" t="s">
        <v>1702</v>
      </c>
      <c r="D168" s="11" t="s">
        <v>1061</v>
      </c>
      <c r="E168" s="12" t="s">
        <v>769</v>
      </c>
      <c r="F168" s="13">
        <v>2</v>
      </c>
      <c r="G168" s="22">
        <f>Overview!$B$14</f>
        <v>14</v>
      </c>
      <c r="H168" s="114">
        <f t="shared" si="31"/>
        <v>14</v>
      </c>
      <c r="I168" s="114">
        <f>Overview!$E$14</f>
        <v>0</v>
      </c>
      <c r="J168" s="175">
        <f t="shared" si="32"/>
        <v>0</v>
      </c>
      <c r="K168" s="174">
        <f>Overview!$H$14</f>
        <v>0</v>
      </c>
      <c r="L168" s="176" t="e">
        <f t="shared" si="33"/>
        <v>#DIV/0!</v>
      </c>
      <c r="M168" s="179" t="s">
        <v>4369</v>
      </c>
      <c r="N168" s="179" t="s">
        <v>963</v>
      </c>
      <c r="O168" s="141">
        <f t="shared" si="34"/>
        <v>0</v>
      </c>
      <c r="P168" s="181" t="b">
        <f>COUNTIF('Facility Data'!$A$1:$A$1500,"*"&amp;A168&amp;"*")&gt;0</f>
        <v>0</v>
      </c>
      <c r="Q168" s="181" t="b">
        <f>COUNTIF('Account Data'!$A$1:$A$1000,"*"&amp;A168&amp;"*")&gt;0</f>
        <v>0</v>
      </c>
      <c r="R168" s="182" t="b">
        <f t="shared" si="35"/>
        <v>0</v>
      </c>
      <c r="S168" s="182" t="b">
        <f t="shared" si="36"/>
        <v>0</v>
      </c>
      <c r="T168" s="181" t="b">
        <f>COUNTIF('New Items'!$A$1:$A$175,A168)&gt;0</f>
        <v>0</v>
      </c>
      <c r="U168" s="181" t="b">
        <f>COUNTIF(Discontinued!$A$1:$A$150,A168)&gt;0</f>
        <v>0</v>
      </c>
    </row>
    <row r="169" spans="1:21" s="8" customFormat="1" ht="11.25" x14ac:dyDescent="0.2">
      <c r="A169" s="152">
        <v>10087798</v>
      </c>
      <c r="B169" s="231" t="s">
        <v>1703</v>
      </c>
      <c r="C169" s="118" t="s">
        <v>1704</v>
      </c>
      <c r="D169" s="119" t="s">
        <v>1294</v>
      </c>
      <c r="E169" s="118" t="s">
        <v>769</v>
      </c>
      <c r="F169" s="120">
        <v>2</v>
      </c>
      <c r="G169" s="121">
        <f>Overview!$B$14</f>
        <v>14</v>
      </c>
      <c r="H169" s="114">
        <f t="shared" si="31"/>
        <v>14</v>
      </c>
      <c r="I169" s="114">
        <f>Overview!$E$14</f>
        <v>0</v>
      </c>
      <c r="J169" s="175">
        <f t="shared" si="32"/>
        <v>0</v>
      </c>
      <c r="K169" s="174">
        <f>Overview!$H$14</f>
        <v>0</v>
      </c>
      <c r="L169" s="176" t="e">
        <f t="shared" si="33"/>
        <v>#DIV/0!</v>
      </c>
      <c r="M169" s="179" t="s">
        <v>4369</v>
      </c>
      <c r="N169" s="179" t="s">
        <v>963</v>
      </c>
      <c r="O169" s="141">
        <f t="shared" si="34"/>
        <v>0</v>
      </c>
      <c r="P169" s="181" t="b">
        <f>COUNTIF('Facility Data'!$A$1:$A$1500,"*"&amp;A169&amp;"*")&gt;0</f>
        <v>0</v>
      </c>
      <c r="Q169" s="181" t="b">
        <f>COUNTIF('Account Data'!$A$1:$A$1000,"*"&amp;A169&amp;"*")&gt;0</f>
        <v>0</v>
      </c>
      <c r="R169" s="182" t="b">
        <f t="shared" si="35"/>
        <v>0</v>
      </c>
      <c r="S169" s="182" t="b">
        <f t="shared" si="36"/>
        <v>0</v>
      </c>
      <c r="T169" s="181" t="b">
        <f>COUNTIF('New Items'!$A$1:$A$175,A169)&gt;0</f>
        <v>0</v>
      </c>
      <c r="U169" s="181" t="b">
        <f>COUNTIF(Discontinued!$A$1:$A$150,A169)&gt;0</f>
        <v>0</v>
      </c>
    </row>
    <row r="170" spans="1:21" s="8" customFormat="1" ht="11.25" x14ac:dyDescent="0.2">
      <c r="A170" s="152">
        <v>10001700</v>
      </c>
      <c r="B170" s="231" t="s">
        <v>30</v>
      </c>
      <c r="C170" s="118" t="s">
        <v>69</v>
      </c>
      <c r="D170" s="119" t="s">
        <v>634</v>
      </c>
      <c r="E170" s="118" t="s">
        <v>769</v>
      </c>
      <c r="F170" s="120">
        <v>2</v>
      </c>
      <c r="G170" s="121">
        <f>Overview!$B$14</f>
        <v>14</v>
      </c>
      <c r="H170" s="114">
        <f t="shared" si="31"/>
        <v>14</v>
      </c>
      <c r="I170" s="114">
        <f>Overview!$E$14</f>
        <v>0</v>
      </c>
      <c r="J170" s="175">
        <f t="shared" si="32"/>
        <v>0</v>
      </c>
      <c r="K170" s="174">
        <f>Overview!$H$14</f>
        <v>0</v>
      </c>
      <c r="L170" s="176" t="e">
        <f t="shared" si="33"/>
        <v>#DIV/0!</v>
      </c>
      <c r="M170" s="179" t="s">
        <v>4369</v>
      </c>
      <c r="N170" s="179" t="s">
        <v>963</v>
      </c>
      <c r="O170" s="141">
        <f t="shared" si="34"/>
        <v>0</v>
      </c>
      <c r="P170" s="181" t="b">
        <f>COUNTIF('Facility Data'!$A$1:$A$1500,"*"&amp;A170&amp;"*")&gt;0</f>
        <v>1</v>
      </c>
      <c r="Q170" s="181" t="b">
        <f>COUNTIF('Account Data'!$A$1:$A$1000,"*"&amp;A170&amp;"*")&gt;0</f>
        <v>1</v>
      </c>
      <c r="R170" s="182" t="b">
        <f t="shared" si="35"/>
        <v>1</v>
      </c>
      <c r="S170" s="182" t="b">
        <f t="shared" si="36"/>
        <v>1</v>
      </c>
      <c r="T170" s="181" t="b">
        <f>COUNTIF('New Items'!$A$1:$A$175,A170)&gt;0</f>
        <v>0</v>
      </c>
      <c r="U170" s="181" t="b">
        <f>COUNTIF(Discontinued!$A$1:$A$150,A170)&gt;0</f>
        <v>0</v>
      </c>
    </row>
    <row r="171" spans="1:21" s="8" customFormat="1" ht="11.25" x14ac:dyDescent="0.2">
      <c r="A171" s="152">
        <v>10120690</v>
      </c>
      <c r="B171" s="231" t="s">
        <v>3793</v>
      </c>
      <c r="C171" s="118" t="s">
        <v>1053</v>
      </c>
      <c r="D171" s="119" t="s">
        <v>1054</v>
      </c>
      <c r="E171" s="118" t="s">
        <v>769</v>
      </c>
      <c r="F171" s="120">
        <v>2</v>
      </c>
      <c r="G171" s="121">
        <f>Overview!$B$14</f>
        <v>14</v>
      </c>
      <c r="H171" s="114">
        <f t="shared" si="31"/>
        <v>14</v>
      </c>
      <c r="I171" s="114">
        <f>Overview!$E$14</f>
        <v>0</v>
      </c>
      <c r="J171" s="175">
        <f t="shared" si="32"/>
        <v>0</v>
      </c>
      <c r="K171" s="174">
        <f>Overview!$H$14</f>
        <v>0</v>
      </c>
      <c r="L171" s="176" t="e">
        <f t="shared" si="33"/>
        <v>#DIV/0!</v>
      </c>
      <c r="M171" s="179" t="s">
        <v>4369</v>
      </c>
      <c r="N171" s="179" t="s">
        <v>963</v>
      </c>
      <c r="O171" s="141">
        <f t="shared" si="34"/>
        <v>0</v>
      </c>
      <c r="P171" s="181" t="b">
        <f>COUNTIF('Facility Data'!$A$1:$A$1500,"*"&amp;A171&amp;"*")&gt;0</f>
        <v>1</v>
      </c>
      <c r="Q171" s="181" t="b">
        <f>COUNTIF('Account Data'!$A$1:$A$1000,"*"&amp;A171&amp;"*")&gt;0</f>
        <v>0</v>
      </c>
      <c r="R171" s="182" t="b">
        <f t="shared" si="35"/>
        <v>1</v>
      </c>
      <c r="S171" s="182" t="b">
        <f t="shared" si="36"/>
        <v>0</v>
      </c>
      <c r="T171" s="181" t="b">
        <f>COUNTIF('New Items'!$A$1:$A$175,A171)&gt;0</f>
        <v>0</v>
      </c>
      <c r="U171" s="181" t="b">
        <f>COUNTIF(Discontinued!$A$1:$A$150,A171)&gt;0</f>
        <v>0</v>
      </c>
    </row>
    <row r="172" spans="1:21" s="8" customFormat="1" ht="11.25" x14ac:dyDescent="0.2">
      <c r="A172" s="152">
        <v>10000878</v>
      </c>
      <c r="B172" s="231" t="s">
        <v>29</v>
      </c>
      <c r="C172" s="118" t="s">
        <v>68</v>
      </c>
      <c r="D172" s="119" t="s">
        <v>657</v>
      </c>
      <c r="E172" s="118" t="s">
        <v>769</v>
      </c>
      <c r="F172" s="120">
        <v>2</v>
      </c>
      <c r="G172" s="121">
        <f>Overview!$B$14</f>
        <v>14</v>
      </c>
      <c r="H172" s="114">
        <f t="shared" si="31"/>
        <v>14</v>
      </c>
      <c r="I172" s="114">
        <f>Overview!$E$14</f>
        <v>0</v>
      </c>
      <c r="J172" s="175">
        <f t="shared" si="32"/>
        <v>0</v>
      </c>
      <c r="K172" s="174">
        <f>Overview!$H$14</f>
        <v>0</v>
      </c>
      <c r="L172" s="176" t="e">
        <f t="shared" si="33"/>
        <v>#DIV/0!</v>
      </c>
      <c r="M172" s="179"/>
      <c r="N172" s="179" t="s">
        <v>963</v>
      </c>
      <c r="O172" s="141">
        <f t="shared" si="34"/>
        <v>0</v>
      </c>
      <c r="P172" s="181" t="b">
        <f>COUNTIF('Facility Data'!$A$1:$A$1500,"*"&amp;A172&amp;"*")&gt;0</f>
        <v>0</v>
      </c>
      <c r="Q172" s="181" t="b">
        <f>COUNTIF('Account Data'!$A$1:$A$1000,"*"&amp;A172&amp;"*")&gt;0</f>
        <v>1</v>
      </c>
      <c r="R172" s="182" t="b">
        <f t="shared" si="35"/>
        <v>0</v>
      </c>
      <c r="S172" s="182" t="b">
        <f t="shared" si="36"/>
        <v>1</v>
      </c>
      <c r="T172" s="181" t="b">
        <f>COUNTIF('New Items'!$A$1:$A$175,A172)&gt;0</f>
        <v>0</v>
      </c>
      <c r="U172" s="181" t="b">
        <f>COUNTIF(Discontinued!$A$1:$A$150,A172)&gt;0</f>
        <v>0</v>
      </c>
    </row>
    <row r="173" spans="1:21" s="8" customFormat="1" ht="11.25" x14ac:dyDescent="0.2">
      <c r="A173" s="152">
        <v>10023856</v>
      </c>
      <c r="B173" s="231" t="s">
        <v>28</v>
      </c>
      <c r="C173" s="118" t="s">
        <v>67</v>
      </c>
      <c r="D173" s="119" t="s">
        <v>656</v>
      </c>
      <c r="E173" s="118" t="s">
        <v>769</v>
      </c>
      <c r="F173" s="120">
        <v>2</v>
      </c>
      <c r="G173" s="121">
        <f>Overview!$B$14</f>
        <v>14</v>
      </c>
      <c r="H173" s="114">
        <f t="shared" si="31"/>
        <v>14</v>
      </c>
      <c r="I173" s="114">
        <f>Overview!$E$14</f>
        <v>0</v>
      </c>
      <c r="J173" s="175">
        <f t="shared" si="32"/>
        <v>0</v>
      </c>
      <c r="K173" s="174">
        <f>Overview!$H$14</f>
        <v>0</v>
      </c>
      <c r="L173" s="176" t="e">
        <f t="shared" si="33"/>
        <v>#DIV/0!</v>
      </c>
      <c r="M173" s="179" t="s">
        <v>952</v>
      </c>
      <c r="N173" s="179" t="s">
        <v>963</v>
      </c>
      <c r="O173" s="141">
        <f t="shared" si="34"/>
        <v>0</v>
      </c>
      <c r="P173" s="181" t="b">
        <f>COUNTIF('Facility Data'!$A$1:$A$1500,"*"&amp;A173&amp;"*")&gt;0</f>
        <v>0</v>
      </c>
      <c r="Q173" s="181" t="b">
        <f>COUNTIF('Account Data'!$A$1:$A$1000,"*"&amp;A173&amp;"*")&gt;0</f>
        <v>0</v>
      </c>
      <c r="R173" s="182" t="b">
        <f t="shared" si="35"/>
        <v>0</v>
      </c>
      <c r="S173" s="182" t="b">
        <f t="shared" si="36"/>
        <v>0</v>
      </c>
      <c r="T173" s="181" t="b">
        <f>COUNTIF('New Items'!$A$1:$A$175,A173)&gt;0</f>
        <v>0</v>
      </c>
      <c r="U173" s="181" t="b">
        <f>COUNTIF(Discontinued!$A$1:$A$150,A173)&gt;0</f>
        <v>0</v>
      </c>
    </row>
    <row r="174" spans="1:21" s="8" customFormat="1" ht="11.25" x14ac:dyDescent="0.2">
      <c r="A174" s="152">
        <v>10000840</v>
      </c>
      <c r="B174" s="10" t="s">
        <v>27</v>
      </c>
      <c r="C174" s="12" t="s">
        <v>66</v>
      </c>
      <c r="D174" s="11" t="s">
        <v>4116</v>
      </c>
      <c r="E174" s="12" t="s">
        <v>769</v>
      </c>
      <c r="F174" s="13">
        <v>2</v>
      </c>
      <c r="G174" s="22">
        <f>Overview!$B$14</f>
        <v>14</v>
      </c>
      <c r="H174" s="114">
        <f t="shared" ref="H174:H175" si="37">G174-I174</f>
        <v>14</v>
      </c>
      <c r="I174" s="114">
        <f>Overview!$E$14</f>
        <v>0</v>
      </c>
      <c r="J174" s="175">
        <f t="shared" ref="J174:J175" si="38">I174/F174</f>
        <v>0</v>
      </c>
      <c r="K174" s="174">
        <f>Overview!$H$14</f>
        <v>0</v>
      </c>
      <c r="L174" s="176" t="e">
        <f t="shared" ref="L174:L175" si="39">(K174-J174)/K174</f>
        <v>#DIV/0!</v>
      </c>
      <c r="M174" s="179" t="s">
        <v>953</v>
      </c>
      <c r="N174" s="179" t="s">
        <v>963</v>
      </c>
      <c r="O174" s="141">
        <f t="shared" ref="O174:O175" si="40">I174</f>
        <v>0</v>
      </c>
      <c r="P174" s="181" t="b">
        <f>COUNTIF('Facility Data'!$A$1:$A$1500,"*"&amp;A174&amp;"*")&gt;0</f>
        <v>0</v>
      </c>
      <c r="Q174" s="181" t="b">
        <f>COUNTIF('Account Data'!$A$1:$A$1000,"*"&amp;A174&amp;"*")&gt;0</f>
        <v>0</v>
      </c>
      <c r="R174" s="182" t="b">
        <f t="shared" ref="R174:R175" si="41">IF(OR(P174=TRUE,T174=TRUE),TRUE,FALSE)</f>
        <v>0</v>
      </c>
      <c r="S174" s="182" t="b">
        <f t="shared" ref="S174:S175" si="42">IF(OR(Q174=TRUE,T174=TRUE),TRUE,FALSE)</f>
        <v>0</v>
      </c>
      <c r="T174" s="181" t="b">
        <f>COUNTIF('New Items'!$A$1:$A$175,A174)&gt;0</f>
        <v>0</v>
      </c>
      <c r="U174" s="181" t="b">
        <f>COUNTIF(Discontinued!$A$1:$A$150,A174)&gt;0</f>
        <v>0</v>
      </c>
    </row>
    <row r="175" spans="1:21" s="8" customFormat="1" ht="11.25" x14ac:dyDescent="0.2">
      <c r="A175" s="152">
        <v>10002610</v>
      </c>
      <c r="B175" s="10" t="s">
        <v>2820</v>
      </c>
      <c r="C175" s="12" t="s">
        <v>66</v>
      </c>
      <c r="D175" s="11" t="s">
        <v>4118</v>
      </c>
      <c r="E175" s="12" t="s">
        <v>769</v>
      </c>
      <c r="F175" s="13">
        <v>2</v>
      </c>
      <c r="G175" s="22">
        <f>Overview!$B$14</f>
        <v>14</v>
      </c>
      <c r="H175" s="114">
        <f t="shared" si="37"/>
        <v>14</v>
      </c>
      <c r="I175" s="114">
        <f>Overview!$E$14</f>
        <v>0</v>
      </c>
      <c r="J175" s="175">
        <f t="shared" si="38"/>
        <v>0</v>
      </c>
      <c r="K175" s="174">
        <f>Overview!$H$14</f>
        <v>0</v>
      </c>
      <c r="L175" s="176" t="e">
        <f t="shared" si="39"/>
        <v>#DIV/0!</v>
      </c>
      <c r="M175" s="179" t="s">
        <v>953</v>
      </c>
      <c r="N175" s="179" t="s">
        <v>963</v>
      </c>
      <c r="O175" s="141">
        <f t="shared" si="40"/>
        <v>0</v>
      </c>
      <c r="P175" s="181" t="b">
        <f>COUNTIF('Facility Data'!$A$1:$A$1500,"*"&amp;A175&amp;"*")&gt;0</f>
        <v>0</v>
      </c>
      <c r="Q175" s="181" t="b">
        <f>COUNTIF('Account Data'!$A$1:$A$1000,"*"&amp;A175&amp;"*")&gt;0</f>
        <v>0</v>
      </c>
      <c r="R175" s="182" t="b">
        <f t="shared" si="41"/>
        <v>0</v>
      </c>
      <c r="S175" s="182" t="b">
        <f t="shared" si="42"/>
        <v>0</v>
      </c>
      <c r="T175" s="181" t="b">
        <f>COUNTIF('New Items'!$A$1:$A$175,A175)&gt;0</f>
        <v>0</v>
      </c>
      <c r="U175" s="181" t="b">
        <f>COUNTIF(Discontinued!$A$1:$A$150,A175)&gt;0</f>
        <v>0</v>
      </c>
    </row>
    <row r="176" spans="1:21" s="8" customFormat="1" ht="11.25" x14ac:dyDescent="0.2">
      <c r="A176" s="152">
        <v>10000841</v>
      </c>
      <c r="B176" s="10" t="s">
        <v>4790</v>
      </c>
      <c r="C176" s="12" t="s">
        <v>80</v>
      </c>
      <c r="D176" s="11" t="s">
        <v>4780</v>
      </c>
      <c r="E176" s="12" t="s">
        <v>769</v>
      </c>
      <c r="F176" s="13">
        <v>2</v>
      </c>
      <c r="G176" s="22">
        <f>Overview!$B$14</f>
        <v>14</v>
      </c>
      <c r="H176" s="114">
        <f t="shared" si="31"/>
        <v>14</v>
      </c>
      <c r="I176" s="114">
        <f>Overview!$E$14</f>
        <v>0</v>
      </c>
      <c r="J176" s="175">
        <f t="shared" si="32"/>
        <v>0</v>
      </c>
      <c r="K176" s="174">
        <f>Overview!$H$14</f>
        <v>0</v>
      </c>
      <c r="L176" s="176" t="e">
        <f t="shared" si="33"/>
        <v>#DIV/0!</v>
      </c>
      <c r="M176" s="179" t="s">
        <v>953</v>
      </c>
      <c r="N176" s="179" t="s">
        <v>963</v>
      </c>
      <c r="O176" s="141">
        <f t="shared" si="34"/>
        <v>0</v>
      </c>
      <c r="P176" s="181" t="b">
        <f>COUNTIF('Facility Data'!$A$1:$A$1500,"*"&amp;A176&amp;"*")&gt;0</f>
        <v>0</v>
      </c>
      <c r="Q176" s="181" t="b">
        <f>COUNTIF('Account Data'!$A$1:$A$1000,"*"&amp;A176&amp;"*")&gt;0</f>
        <v>0</v>
      </c>
      <c r="R176" s="182" t="b">
        <f t="shared" si="35"/>
        <v>0</v>
      </c>
      <c r="S176" s="182" t="b">
        <f t="shared" si="36"/>
        <v>0</v>
      </c>
      <c r="T176" s="181" t="b">
        <f>COUNTIF('New Items'!$A$1:$A$175,A176)&gt;0</f>
        <v>0</v>
      </c>
      <c r="U176" s="181" t="b">
        <f>COUNTIF(Discontinued!$A$1:$A$150,A176)&gt;0</f>
        <v>0</v>
      </c>
    </row>
    <row r="177" spans="1:21" s="8" customFormat="1" ht="12" thickBot="1" x14ac:dyDescent="0.25">
      <c r="A177" s="152">
        <v>10002611</v>
      </c>
      <c r="B177" s="10" t="s">
        <v>4791</v>
      </c>
      <c r="C177" s="12" t="s">
        <v>80</v>
      </c>
      <c r="D177" s="11" t="s">
        <v>4792</v>
      </c>
      <c r="E177" s="12" t="s">
        <v>769</v>
      </c>
      <c r="F177" s="13">
        <v>2</v>
      </c>
      <c r="G177" s="22">
        <f>Overview!$B$14</f>
        <v>14</v>
      </c>
      <c r="H177" s="114">
        <f t="shared" si="31"/>
        <v>14</v>
      </c>
      <c r="I177" s="114">
        <f>Overview!$E$14</f>
        <v>0</v>
      </c>
      <c r="J177" s="175">
        <f t="shared" si="32"/>
        <v>0</v>
      </c>
      <c r="K177" s="174">
        <f>Overview!$H$14</f>
        <v>0</v>
      </c>
      <c r="L177" s="176" t="e">
        <f t="shared" si="33"/>
        <v>#DIV/0!</v>
      </c>
      <c r="M177" s="179" t="s">
        <v>953</v>
      </c>
      <c r="N177" s="179" t="s">
        <v>963</v>
      </c>
      <c r="O177" s="141">
        <f t="shared" si="34"/>
        <v>0</v>
      </c>
      <c r="P177" s="181" t="b">
        <f>COUNTIF('Facility Data'!$A$1:$A$1500,"*"&amp;A177&amp;"*")&gt;0</f>
        <v>0</v>
      </c>
      <c r="Q177" s="181" t="b">
        <f>COUNTIF('Account Data'!$A$1:$A$1000,"*"&amp;A177&amp;"*")&gt;0</f>
        <v>0</v>
      </c>
      <c r="R177" s="182" t="b">
        <f t="shared" si="35"/>
        <v>0</v>
      </c>
      <c r="S177" s="182" t="b">
        <f t="shared" si="36"/>
        <v>0</v>
      </c>
      <c r="T177" s="181" t="b">
        <f>COUNTIF('New Items'!$A$1:$A$175,A177)&gt;0</f>
        <v>0</v>
      </c>
      <c r="U177" s="181" t="b">
        <f>COUNTIF(Discontinued!$A$1:$A$150,A177)&gt;0</f>
        <v>0</v>
      </c>
    </row>
    <row r="178" spans="1:21" s="8" customFormat="1" ht="13.5" thickBot="1" x14ac:dyDescent="0.25">
      <c r="A178" s="300" t="s">
        <v>2933</v>
      </c>
      <c r="B178" s="301"/>
      <c r="C178" s="301"/>
      <c r="D178" s="301"/>
      <c r="E178" s="301"/>
      <c r="F178" s="301"/>
      <c r="G178" s="301"/>
      <c r="H178" s="301"/>
      <c r="I178" s="301"/>
      <c r="J178" s="301"/>
      <c r="K178" s="301"/>
      <c r="L178" s="302"/>
      <c r="M178" s="179"/>
      <c r="N178" s="179" t="s">
        <v>3124</v>
      </c>
      <c r="O178" s="141">
        <f>AVERAGE(O179:O182)</f>
        <v>0</v>
      </c>
      <c r="P178" s="181" t="b">
        <f>COUNTIF(P179:P182,TRUE)&gt;0</f>
        <v>1</v>
      </c>
      <c r="Q178" s="181" t="b">
        <f>COUNTIF(Q179:Q182,TRUE)&gt;0</f>
        <v>0</v>
      </c>
      <c r="R178" s="181" t="b">
        <f>COUNTIF(R179:R182,TRUE)&gt;0</f>
        <v>1</v>
      </c>
      <c r="S178" s="181" t="b">
        <f>COUNTIF(S179:S182,TRUE)&gt;0</f>
        <v>0</v>
      </c>
      <c r="T178" s="181" t="b">
        <f>COUNTIF(T179:T182,TRUE)&gt;0</f>
        <v>0</v>
      </c>
      <c r="U178" s="249"/>
    </row>
    <row r="179" spans="1:21" s="8" customFormat="1" ht="11.25" x14ac:dyDescent="0.2">
      <c r="A179" s="152">
        <v>10126465</v>
      </c>
      <c r="B179" s="10" t="s">
        <v>3961</v>
      </c>
      <c r="C179" s="12" t="s">
        <v>3962</v>
      </c>
      <c r="D179" s="11" t="s">
        <v>3773</v>
      </c>
      <c r="E179" s="12" t="s">
        <v>769</v>
      </c>
      <c r="F179" s="13">
        <v>24</v>
      </c>
      <c r="G179" s="22">
        <f>Overview!$B$15</f>
        <v>14</v>
      </c>
      <c r="H179" s="23">
        <f>G179-I179</f>
        <v>14</v>
      </c>
      <c r="I179" s="23">
        <f>Overview!$E$15</f>
        <v>0</v>
      </c>
      <c r="J179" s="52">
        <f>I179/F179</f>
        <v>0</v>
      </c>
      <c r="K179" s="53">
        <f>Overview!$H$15</f>
        <v>0</v>
      </c>
      <c r="L179" s="54" t="e">
        <f>(K179-J179)/K179</f>
        <v>#DIV/0!</v>
      </c>
      <c r="M179" s="179"/>
      <c r="N179" s="179" t="s">
        <v>3124</v>
      </c>
      <c r="O179" s="141">
        <f>I179</f>
        <v>0</v>
      </c>
      <c r="P179" s="181" t="b">
        <f>COUNTIF('Facility Data'!$A$1:$A$1500,"*"&amp;A179&amp;"*")&gt;0</f>
        <v>1</v>
      </c>
      <c r="Q179" s="181" t="b">
        <f>COUNTIF('Account Data'!$A$1:$A$1000,"*"&amp;A179&amp;"*")&gt;0</f>
        <v>0</v>
      </c>
      <c r="R179" s="182" t="b">
        <f>IF(OR(P179=TRUE,T179=TRUE),TRUE,FALSE)</f>
        <v>1</v>
      </c>
      <c r="S179" s="182" t="b">
        <f>IF(OR(Q179=TRUE,T179=TRUE),TRUE,FALSE)</f>
        <v>0</v>
      </c>
      <c r="T179" s="181" t="b">
        <f>COUNTIF('New Items'!$A$1:$A$175,A179)&gt;0</f>
        <v>0</v>
      </c>
      <c r="U179" s="181" t="b">
        <f>COUNTIF(Discontinued!$A$1:$A$150,A179)&gt;0</f>
        <v>0</v>
      </c>
    </row>
    <row r="180" spans="1:21" s="8" customFormat="1" ht="11.25" x14ac:dyDescent="0.2">
      <c r="A180" s="152">
        <v>10001069</v>
      </c>
      <c r="B180" s="10" t="s">
        <v>1618</v>
      </c>
      <c r="C180" s="12" t="s">
        <v>1614</v>
      </c>
      <c r="D180" s="11" t="s">
        <v>677</v>
      </c>
      <c r="E180" s="12" t="s">
        <v>769</v>
      </c>
      <c r="F180" s="13">
        <v>24</v>
      </c>
      <c r="G180" s="22">
        <f>Overview!$B$15</f>
        <v>14</v>
      </c>
      <c r="H180" s="23">
        <f>G180-I180</f>
        <v>14</v>
      </c>
      <c r="I180" s="23">
        <f>Overview!$E$15</f>
        <v>0</v>
      </c>
      <c r="J180" s="52">
        <f>I180/F180</f>
        <v>0</v>
      </c>
      <c r="K180" s="53">
        <f>Overview!$H$15</f>
        <v>0</v>
      </c>
      <c r="L180" s="54" t="e">
        <f>(K180-J180)/K180</f>
        <v>#DIV/0!</v>
      </c>
      <c r="M180" s="179"/>
      <c r="N180" s="179" t="s">
        <v>3124</v>
      </c>
      <c r="O180" s="141">
        <f>I180</f>
        <v>0</v>
      </c>
      <c r="P180" s="181" t="b">
        <f>COUNTIF('Facility Data'!$A$1:$A$1500,"*"&amp;A180&amp;"*")&gt;0</f>
        <v>0</v>
      </c>
      <c r="Q180" s="181" t="b">
        <f>COUNTIF('Account Data'!$A$1:$A$1000,"*"&amp;A180&amp;"*")&gt;0</f>
        <v>0</v>
      </c>
      <c r="R180" s="182" t="b">
        <f>IF(OR(P180=TRUE,T180=TRUE),TRUE,FALSE)</f>
        <v>0</v>
      </c>
      <c r="S180" s="182" t="b">
        <f>IF(OR(Q180=TRUE,T180=TRUE),TRUE,FALSE)</f>
        <v>0</v>
      </c>
      <c r="T180" s="181" t="b">
        <f>COUNTIF('New Items'!$A$1:$A$175,A180)&gt;0</f>
        <v>0</v>
      </c>
      <c r="U180" s="181" t="b">
        <f>COUNTIF(Discontinued!$A$1:$A$150,A180)&gt;0</f>
        <v>0</v>
      </c>
    </row>
    <row r="181" spans="1:21" s="8" customFormat="1" ht="11.25" x14ac:dyDescent="0.2">
      <c r="A181" s="152">
        <v>10001068</v>
      </c>
      <c r="B181" s="10" t="s">
        <v>1617</v>
      </c>
      <c r="C181" s="12" t="s">
        <v>1410</v>
      </c>
      <c r="D181" s="11" t="s">
        <v>652</v>
      </c>
      <c r="E181" s="12" t="s">
        <v>769</v>
      </c>
      <c r="F181" s="13">
        <v>24</v>
      </c>
      <c r="G181" s="22">
        <f>Overview!$B$15</f>
        <v>14</v>
      </c>
      <c r="H181" s="23">
        <f>G181-I181</f>
        <v>14</v>
      </c>
      <c r="I181" s="23">
        <f>Overview!$E$15</f>
        <v>0</v>
      </c>
      <c r="J181" s="52">
        <f>I181/F181</f>
        <v>0</v>
      </c>
      <c r="K181" s="53">
        <f>Overview!$H$15</f>
        <v>0</v>
      </c>
      <c r="L181" s="54" t="e">
        <f>(K181-J181)/K181</f>
        <v>#DIV/0!</v>
      </c>
      <c r="M181" s="179"/>
      <c r="N181" s="179" t="s">
        <v>3124</v>
      </c>
      <c r="O181" s="141">
        <f>I181</f>
        <v>0</v>
      </c>
      <c r="P181" s="181" t="b">
        <f>COUNTIF('Facility Data'!$A$1:$A$1500,"*"&amp;A181&amp;"*")&gt;0</f>
        <v>0</v>
      </c>
      <c r="Q181" s="181" t="b">
        <f>COUNTIF('Account Data'!$A$1:$A$1000,"*"&amp;A181&amp;"*")&gt;0</f>
        <v>0</v>
      </c>
      <c r="R181" s="182" t="b">
        <f>IF(OR(P181=TRUE,T181=TRUE),TRUE,FALSE)</f>
        <v>0</v>
      </c>
      <c r="S181" s="182" t="b">
        <f>IF(OR(Q181=TRUE,T181=TRUE),TRUE,FALSE)</f>
        <v>0</v>
      </c>
      <c r="T181" s="181" t="b">
        <f>COUNTIF('New Items'!$A$1:$A$175,A181)&gt;0</f>
        <v>0</v>
      </c>
      <c r="U181" s="181" t="b">
        <f>COUNTIF(Discontinued!$A$1:$A$150,A181)&gt;0</f>
        <v>0</v>
      </c>
    </row>
    <row r="182" spans="1:21" s="8" customFormat="1" ht="12" thickBot="1" x14ac:dyDescent="0.25">
      <c r="A182" s="152">
        <v>10001067</v>
      </c>
      <c r="B182" s="10" t="s">
        <v>1619</v>
      </c>
      <c r="C182" s="12" t="s">
        <v>1616</v>
      </c>
      <c r="D182" s="11" t="s">
        <v>675</v>
      </c>
      <c r="E182" s="12" t="s">
        <v>769</v>
      </c>
      <c r="F182" s="13">
        <v>24</v>
      </c>
      <c r="G182" s="22">
        <f>Overview!$B$15</f>
        <v>14</v>
      </c>
      <c r="H182" s="23">
        <f>G182-I182</f>
        <v>14</v>
      </c>
      <c r="I182" s="23">
        <f>Overview!$E$15</f>
        <v>0</v>
      </c>
      <c r="J182" s="52">
        <f>I182/F182</f>
        <v>0</v>
      </c>
      <c r="K182" s="53">
        <f>Overview!$H$15</f>
        <v>0</v>
      </c>
      <c r="L182" s="54" t="e">
        <f>(K182-J182)/K182</f>
        <v>#DIV/0!</v>
      </c>
      <c r="M182" s="179"/>
      <c r="N182" s="179" t="s">
        <v>3124</v>
      </c>
      <c r="O182" s="141">
        <f>I182</f>
        <v>0</v>
      </c>
      <c r="P182" s="181" t="b">
        <f>COUNTIF('Facility Data'!$A$1:$A$1500,"*"&amp;A182&amp;"*")&gt;0</f>
        <v>0</v>
      </c>
      <c r="Q182" s="181" t="b">
        <f>COUNTIF('Account Data'!$A$1:$A$1000,"*"&amp;A182&amp;"*")&gt;0</f>
        <v>0</v>
      </c>
      <c r="R182" s="182" t="b">
        <f>IF(OR(P182=TRUE,T182=TRUE),TRUE,FALSE)</f>
        <v>0</v>
      </c>
      <c r="S182" s="182" t="b">
        <f>IF(OR(Q182=TRUE,T182=TRUE),TRUE,FALSE)</f>
        <v>0</v>
      </c>
      <c r="T182" s="181" t="b">
        <f>COUNTIF('New Items'!$A$1:$A$175,A182)&gt;0</f>
        <v>0</v>
      </c>
      <c r="U182" s="181" t="b">
        <f>COUNTIF(Discontinued!$A$1:$A$150,A182)&gt;0</f>
        <v>0</v>
      </c>
    </row>
    <row r="183" spans="1:21" s="8" customFormat="1" ht="13.5" thickBot="1" x14ac:dyDescent="0.25">
      <c r="A183" s="300" t="s">
        <v>3379</v>
      </c>
      <c r="B183" s="301"/>
      <c r="C183" s="301"/>
      <c r="D183" s="301"/>
      <c r="E183" s="301"/>
      <c r="F183" s="301"/>
      <c r="G183" s="301"/>
      <c r="H183" s="301"/>
      <c r="I183" s="301"/>
      <c r="J183" s="301"/>
      <c r="K183" s="301"/>
      <c r="L183" s="302"/>
      <c r="M183" s="179"/>
      <c r="N183" s="179" t="s">
        <v>964</v>
      </c>
      <c r="O183" s="141">
        <f>AVERAGE(O184:O201)</f>
        <v>0</v>
      </c>
      <c r="P183" s="181" t="b">
        <f>COUNTIF(P184:P201,TRUE)&gt;0</f>
        <v>0</v>
      </c>
      <c r="Q183" s="181" t="b">
        <f>COUNTIF(Q184:Q201,TRUE)&gt;0</f>
        <v>1</v>
      </c>
      <c r="R183" s="181" t="b">
        <f>COUNTIF(R184:R201,TRUE)&gt;0</f>
        <v>0</v>
      </c>
      <c r="S183" s="181" t="b">
        <f>COUNTIF(S184:S201,TRUE)&gt;0</f>
        <v>1</v>
      </c>
      <c r="T183" s="181" t="b">
        <f>COUNTIF(T184:T201,TRUE)&gt;0</f>
        <v>0</v>
      </c>
      <c r="U183" s="249"/>
    </row>
    <row r="184" spans="1:21" s="8" customFormat="1" ht="11.25" x14ac:dyDescent="0.2">
      <c r="A184" s="152">
        <v>10001034</v>
      </c>
      <c r="B184" s="10" t="s">
        <v>17</v>
      </c>
      <c r="C184" s="12" t="s">
        <v>26</v>
      </c>
      <c r="D184" s="11" t="s">
        <v>643</v>
      </c>
      <c r="E184" s="12" t="s">
        <v>769</v>
      </c>
      <c r="F184" s="13">
        <v>1</v>
      </c>
      <c r="G184" s="22">
        <f>Overview!$B$16</f>
        <v>14</v>
      </c>
      <c r="H184" s="23">
        <f t="shared" ref="H184:H201" si="43">G184-I184</f>
        <v>14</v>
      </c>
      <c r="I184" s="23">
        <f>Overview!$E$16</f>
        <v>0</v>
      </c>
      <c r="J184" s="52">
        <f t="shared" ref="J184:J201" si="44">I184/F184</f>
        <v>0</v>
      </c>
      <c r="K184" s="53">
        <f>Overview!$H$16</f>
        <v>0</v>
      </c>
      <c r="L184" s="54" t="e">
        <f t="shared" ref="L184:L201" si="45">(K184-J184)/K184</f>
        <v>#DIV/0!</v>
      </c>
      <c r="M184" s="179"/>
      <c r="N184" s="179" t="s">
        <v>964</v>
      </c>
      <c r="O184" s="141">
        <f t="shared" ref="O184:O201" si="46">I184</f>
        <v>0</v>
      </c>
      <c r="P184" s="181" t="b">
        <f>COUNTIF('Facility Data'!$A$1:$A$1500,"*"&amp;A184&amp;"*")&gt;0</f>
        <v>0</v>
      </c>
      <c r="Q184" s="181" t="b">
        <f>COUNTIF('Account Data'!$A$1:$A$1000,"*"&amp;A184&amp;"*")&gt;0</f>
        <v>0</v>
      </c>
      <c r="R184" s="182" t="b">
        <f t="shared" ref="R184:R201" si="47">IF(OR(P184=TRUE,T184=TRUE),TRUE,FALSE)</f>
        <v>0</v>
      </c>
      <c r="S184" s="182" t="b">
        <f t="shared" ref="S184:S201" si="48">IF(OR(Q184=TRUE,T184=TRUE),TRUE,FALSE)</f>
        <v>0</v>
      </c>
      <c r="T184" s="181" t="b">
        <f>COUNTIF('New Items'!$A$1:$A$175,A184)&gt;0</f>
        <v>0</v>
      </c>
      <c r="U184" s="181" t="b">
        <f>COUNTIF(Discontinued!$A$1:$A$150,A184)&gt;0</f>
        <v>0</v>
      </c>
    </row>
    <row r="185" spans="1:21" s="8" customFormat="1" ht="11.25" x14ac:dyDescent="0.2">
      <c r="A185" s="152">
        <v>10001035</v>
      </c>
      <c r="B185" s="10" t="s">
        <v>4763</v>
      </c>
      <c r="C185" s="12" t="s">
        <v>22</v>
      </c>
      <c r="D185" s="11" t="s">
        <v>4733</v>
      </c>
      <c r="E185" s="12" t="s">
        <v>769</v>
      </c>
      <c r="F185" s="13">
        <v>1</v>
      </c>
      <c r="G185" s="22">
        <f>Overview!$B$16</f>
        <v>14</v>
      </c>
      <c r="H185" s="23">
        <f>G185-I185</f>
        <v>14</v>
      </c>
      <c r="I185" s="23">
        <f>Overview!$E$16</f>
        <v>0</v>
      </c>
      <c r="J185" s="52">
        <f>I185/F185</f>
        <v>0</v>
      </c>
      <c r="K185" s="53">
        <f>Overview!$H$16</f>
        <v>0</v>
      </c>
      <c r="L185" s="54" t="e">
        <f>(K185-J185)/K185</f>
        <v>#DIV/0!</v>
      </c>
      <c r="M185" s="179"/>
      <c r="N185" s="179" t="s">
        <v>964</v>
      </c>
      <c r="O185" s="141">
        <f>I185</f>
        <v>0</v>
      </c>
      <c r="P185" s="181" t="b">
        <f>COUNTIF('Facility Data'!$A$1:$A$1500,"*"&amp;A185&amp;"*")&gt;0</f>
        <v>0</v>
      </c>
      <c r="Q185" s="181" t="b">
        <f>COUNTIF('Account Data'!$A$1:$A$1000,"*"&amp;A185&amp;"*")&gt;0</f>
        <v>0</v>
      </c>
      <c r="R185" s="182" t="b">
        <f>IF(OR(P185=TRUE,T185=TRUE),TRUE,FALSE)</f>
        <v>0</v>
      </c>
      <c r="S185" s="182" t="b">
        <f>IF(OR(Q185=TRUE,T185=TRUE),TRUE,FALSE)</f>
        <v>0</v>
      </c>
      <c r="T185" s="181" t="b">
        <f>COUNTIF('New Items'!$A$1:$A$175,A185)&gt;0</f>
        <v>0</v>
      </c>
      <c r="U185" s="181" t="b">
        <f>COUNTIF(Discontinued!$A$1:$A$150,A185)&gt;0</f>
        <v>0</v>
      </c>
    </row>
    <row r="186" spans="1:21" s="8" customFormat="1" ht="11.25" x14ac:dyDescent="0.2">
      <c r="A186" s="152">
        <v>10001044</v>
      </c>
      <c r="B186" s="10" t="s">
        <v>16</v>
      </c>
      <c r="C186" s="12" t="s">
        <v>25</v>
      </c>
      <c r="D186" s="11" t="s">
        <v>645</v>
      </c>
      <c r="E186" s="12" t="s">
        <v>769</v>
      </c>
      <c r="F186" s="13">
        <v>1</v>
      </c>
      <c r="G186" s="22">
        <f>Overview!$B$16</f>
        <v>14</v>
      </c>
      <c r="H186" s="23">
        <f t="shared" si="43"/>
        <v>14</v>
      </c>
      <c r="I186" s="23">
        <f>Overview!$E$16</f>
        <v>0</v>
      </c>
      <c r="J186" s="52">
        <f t="shared" si="44"/>
        <v>0</v>
      </c>
      <c r="K186" s="53">
        <f>Overview!$H$16</f>
        <v>0</v>
      </c>
      <c r="L186" s="54" t="e">
        <f t="shared" si="45"/>
        <v>#DIV/0!</v>
      </c>
      <c r="M186" s="179" t="s">
        <v>4406</v>
      </c>
      <c r="N186" s="179" t="s">
        <v>964</v>
      </c>
      <c r="O186" s="141">
        <f t="shared" si="46"/>
        <v>0</v>
      </c>
      <c r="P186" s="181" t="b">
        <f>COUNTIF('Facility Data'!$A$1:$A$1500,"*"&amp;A186&amp;"*")&gt;0</f>
        <v>0</v>
      </c>
      <c r="Q186" s="181" t="b">
        <f>COUNTIF('Account Data'!$A$1:$A$1000,"*"&amp;A186&amp;"*")&gt;0</f>
        <v>0</v>
      </c>
      <c r="R186" s="182" t="b">
        <f t="shared" si="47"/>
        <v>0</v>
      </c>
      <c r="S186" s="182" t="b">
        <f t="shared" si="48"/>
        <v>0</v>
      </c>
      <c r="T186" s="181" t="b">
        <f>COUNTIF('New Items'!$A$1:$A$175,A186)&gt;0</f>
        <v>0</v>
      </c>
      <c r="U186" s="181" t="b">
        <f>COUNTIF(Discontinued!$A$1:$A$150,A186)&gt;0</f>
        <v>0</v>
      </c>
    </row>
    <row r="187" spans="1:21" s="8" customFormat="1" ht="11.25" x14ac:dyDescent="0.2">
      <c r="A187" s="152">
        <v>10001045</v>
      </c>
      <c r="B187" s="10" t="s">
        <v>4764</v>
      </c>
      <c r="C187" s="12" t="s">
        <v>1567</v>
      </c>
      <c r="D187" s="11" t="s">
        <v>4735</v>
      </c>
      <c r="E187" s="12" t="s">
        <v>769</v>
      </c>
      <c r="F187" s="13">
        <v>1</v>
      </c>
      <c r="G187" s="22">
        <f>Overview!$B$16</f>
        <v>14</v>
      </c>
      <c r="H187" s="23">
        <f>G187-I187</f>
        <v>14</v>
      </c>
      <c r="I187" s="23">
        <f>Overview!$E$16</f>
        <v>0</v>
      </c>
      <c r="J187" s="52">
        <f>I187/F187</f>
        <v>0</v>
      </c>
      <c r="K187" s="53">
        <f>Overview!$H$16</f>
        <v>0</v>
      </c>
      <c r="L187" s="54" t="e">
        <f>(K187-J187)/K187</f>
        <v>#DIV/0!</v>
      </c>
      <c r="M187" s="179" t="s">
        <v>4406</v>
      </c>
      <c r="N187" s="179" t="s">
        <v>964</v>
      </c>
      <c r="O187" s="141">
        <f>I187</f>
        <v>0</v>
      </c>
      <c r="P187" s="181" t="b">
        <f>COUNTIF('Facility Data'!$A$1:$A$1500,"*"&amp;A187&amp;"*")&gt;0</f>
        <v>0</v>
      </c>
      <c r="Q187" s="181" t="b">
        <f>COUNTIF('Account Data'!$A$1:$A$1000,"*"&amp;A187&amp;"*")&gt;0</f>
        <v>0</v>
      </c>
      <c r="R187" s="182" t="b">
        <f>IF(OR(P187=TRUE,T187=TRUE),TRUE,FALSE)</f>
        <v>0</v>
      </c>
      <c r="S187" s="182" t="b">
        <f>IF(OR(Q187=TRUE,T187=TRUE),TRUE,FALSE)</f>
        <v>0</v>
      </c>
      <c r="T187" s="181" t="b">
        <f>COUNTIF('New Items'!$A$1:$A$175,A187)&gt;0</f>
        <v>0</v>
      </c>
      <c r="U187" s="181" t="b">
        <f>COUNTIF(Discontinued!$A$1:$A$150,A187)&gt;0</f>
        <v>0</v>
      </c>
    </row>
    <row r="188" spans="1:21" s="8" customFormat="1" ht="11.25" x14ac:dyDescent="0.2">
      <c r="A188" s="152">
        <v>10000219</v>
      </c>
      <c r="B188" s="10" t="s">
        <v>1282</v>
      </c>
      <c r="C188" s="12" t="s">
        <v>1283</v>
      </c>
      <c r="D188" s="11" t="s">
        <v>640</v>
      </c>
      <c r="E188" s="12" t="s">
        <v>769</v>
      </c>
      <c r="F188" s="13">
        <v>1</v>
      </c>
      <c r="G188" s="22">
        <f>Overview!$B$16</f>
        <v>14</v>
      </c>
      <c r="H188" s="23">
        <f t="shared" si="43"/>
        <v>14</v>
      </c>
      <c r="I188" s="23">
        <f>Overview!$E$16</f>
        <v>0</v>
      </c>
      <c r="J188" s="52">
        <f t="shared" si="44"/>
        <v>0</v>
      </c>
      <c r="K188" s="53">
        <f>Overview!$H$16</f>
        <v>0</v>
      </c>
      <c r="L188" s="54" t="e">
        <f t="shared" si="45"/>
        <v>#DIV/0!</v>
      </c>
      <c r="M188" s="179"/>
      <c r="N188" s="179" t="s">
        <v>964</v>
      </c>
      <c r="O188" s="141">
        <f t="shared" si="46"/>
        <v>0</v>
      </c>
      <c r="P188" s="181" t="b">
        <f>COUNTIF('Facility Data'!$A$1:$A$1500,"*"&amp;A188&amp;"*")&gt;0</f>
        <v>0</v>
      </c>
      <c r="Q188" s="181" t="b">
        <f>COUNTIF('Account Data'!$A$1:$A$1000,"*"&amp;A188&amp;"*")&gt;0</f>
        <v>0</v>
      </c>
      <c r="R188" s="182" t="b">
        <f t="shared" si="47"/>
        <v>0</v>
      </c>
      <c r="S188" s="182" t="b">
        <f t="shared" si="48"/>
        <v>0</v>
      </c>
      <c r="T188" s="181" t="b">
        <f>COUNTIF('New Items'!$A$1:$A$175,A188)&gt;0</f>
        <v>0</v>
      </c>
      <c r="U188" s="181" t="b">
        <f>COUNTIF(Discontinued!$A$1:$A$150,A188)&gt;0</f>
        <v>0</v>
      </c>
    </row>
    <row r="189" spans="1:21" s="8" customFormat="1" ht="11.25" x14ac:dyDescent="0.2">
      <c r="A189" s="152">
        <v>10097745</v>
      </c>
      <c r="B189" s="10" t="s">
        <v>1605</v>
      </c>
      <c r="C189" s="12" t="s">
        <v>1606</v>
      </c>
      <c r="D189" s="11" t="s">
        <v>653</v>
      </c>
      <c r="E189" s="12" t="s">
        <v>769</v>
      </c>
      <c r="F189" s="13">
        <v>1</v>
      </c>
      <c r="G189" s="22">
        <f>Overview!$B$16</f>
        <v>14</v>
      </c>
      <c r="H189" s="23">
        <f t="shared" si="43"/>
        <v>14</v>
      </c>
      <c r="I189" s="23">
        <f>Overview!$E$16</f>
        <v>0</v>
      </c>
      <c r="J189" s="52">
        <f t="shared" si="44"/>
        <v>0</v>
      </c>
      <c r="K189" s="53">
        <f>Overview!$H$16</f>
        <v>0</v>
      </c>
      <c r="L189" s="54" t="e">
        <f t="shared" si="45"/>
        <v>#DIV/0!</v>
      </c>
      <c r="M189" s="179"/>
      <c r="N189" s="179" t="s">
        <v>964</v>
      </c>
      <c r="O189" s="141">
        <f t="shared" si="46"/>
        <v>0</v>
      </c>
      <c r="P189" s="181" t="b">
        <f>COUNTIF('Facility Data'!$A$1:$A$1500,"*"&amp;A189&amp;"*")&gt;0</f>
        <v>0</v>
      </c>
      <c r="Q189" s="181" t="b">
        <f>COUNTIF('Account Data'!$A$1:$A$1000,"*"&amp;A189&amp;"*")&gt;0</f>
        <v>0</v>
      </c>
      <c r="R189" s="182" t="b">
        <f t="shared" si="47"/>
        <v>0</v>
      </c>
      <c r="S189" s="182" t="b">
        <f t="shared" si="48"/>
        <v>0</v>
      </c>
      <c r="T189" s="181" t="b">
        <f>COUNTIF('New Items'!$A$1:$A$175,A189)&gt;0</f>
        <v>0</v>
      </c>
      <c r="U189" s="181" t="b">
        <f>COUNTIF(Discontinued!$A$1:$A$150,A189)&gt;0</f>
        <v>0</v>
      </c>
    </row>
    <row r="190" spans="1:21" s="8" customFormat="1" ht="11.25" x14ac:dyDescent="0.2">
      <c r="A190" s="152">
        <v>10006264</v>
      </c>
      <c r="B190" s="10" t="s">
        <v>15</v>
      </c>
      <c r="C190" s="12" t="s">
        <v>24</v>
      </c>
      <c r="D190" s="11" t="s">
        <v>652</v>
      </c>
      <c r="E190" s="12" t="s">
        <v>769</v>
      </c>
      <c r="F190" s="13">
        <v>1</v>
      </c>
      <c r="G190" s="22">
        <f>Overview!$B$16</f>
        <v>14</v>
      </c>
      <c r="H190" s="23">
        <f t="shared" si="43"/>
        <v>14</v>
      </c>
      <c r="I190" s="23">
        <f>Overview!$E$16</f>
        <v>0</v>
      </c>
      <c r="J190" s="52">
        <f t="shared" si="44"/>
        <v>0</v>
      </c>
      <c r="K190" s="53">
        <f>Overview!$H$16</f>
        <v>0</v>
      </c>
      <c r="L190" s="54" t="e">
        <f t="shared" si="45"/>
        <v>#DIV/0!</v>
      </c>
      <c r="M190" s="179"/>
      <c r="N190" s="179" t="s">
        <v>964</v>
      </c>
      <c r="O190" s="141">
        <f t="shared" si="46"/>
        <v>0</v>
      </c>
      <c r="P190" s="181" t="b">
        <f>COUNTIF('Facility Data'!$A$1:$A$1500,"*"&amp;A190&amp;"*")&gt;0</f>
        <v>0</v>
      </c>
      <c r="Q190" s="181" t="b">
        <f>COUNTIF('Account Data'!$A$1:$A$1000,"*"&amp;A190&amp;"*")&gt;0</f>
        <v>0</v>
      </c>
      <c r="R190" s="182" t="b">
        <f t="shared" si="47"/>
        <v>0</v>
      </c>
      <c r="S190" s="182" t="b">
        <f t="shared" si="48"/>
        <v>0</v>
      </c>
      <c r="T190" s="181" t="b">
        <f>COUNTIF('New Items'!$A$1:$A$175,A190)&gt;0</f>
        <v>0</v>
      </c>
      <c r="U190" s="181" t="b">
        <f>COUNTIF(Discontinued!$A$1:$A$150,A190)&gt;0</f>
        <v>0</v>
      </c>
    </row>
    <row r="191" spans="1:21" s="8" customFormat="1" ht="11.25" x14ac:dyDescent="0.2">
      <c r="A191" s="152">
        <v>10000675</v>
      </c>
      <c r="B191" s="10" t="s">
        <v>1276</v>
      </c>
      <c r="C191" s="12" t="s">
        <v>1277</v>
      </c>
      <c r="D191" s="11" t="s">
        <v>632</v>
      </c>
      <c r="E191" s="12" t="s">
        <v>769</v>
      </c>
      <c r="F191" s="13">
        <v>1</v>
      </c>
      <c r="G191" s="22">
        <f>Overview!$B$16</f>
        <v>14</v>
      </c>
      <c r="H191" s="23">
        <f t="shared" si="43"/>
        <v>14</v>
      </c>
      <c r="I191" s="23">
        <f>Overview!$E$16</f>
        <v>0</v>
      </c>
      <c r="J191" s="52">
        <f t="shared" si="44"/>
        <v>0</v>
      </c>
      <c r="K191" s="53">
        <f>Overview!$H$16</f>
        <v>0</v>
      </c>
      <c r="L191" s="54" t="e">
        <f t="shared" si="45"/>
        <v>#DIV/0!</v>
      </c>
      <c r="M191" s="179" t="s">
        <v>951</v>
      </c>
      <c r="N191" s="179" t="s">
        <v>964</v>
      </c>
      <c r="O191" s="141">
        <f t="shared" si="46"/>
        <v>0</v>
      </c>
      <c r="P191" s="181" t="b">
        <f>COUNTIF('Facility Data'!$A$1:$A$1500,"*"&amp;A191&amp;"*")&gt;0</f>
        <v>0</v>
      </c>
      <c r="Q191" s="181" t="b">
        <f>COUNTIF('Account Data'!$A$1:$A$1000,"*"&amp;A191&amp;"*")&gt;0</f>
        <v>0</v>
      </c>
      <c r="R191" s="182" t="b">
        <f t="shared" si="47"/>
        <v>0</v>
      </c>
      <c r="S191" s="182" t="b">
        <f t="shared" si="48"/>
        <v>0</v>
      </c>
      <c r="T191" s="181" t="b">
        <f>COUNTIF('New Items'!$A$1:$A$175,A191)&gt;0</f>
        <v>0</v>
      </c>
      <c r="U191" s="181" t="b">
        <f>COUNTIF(Discontinued!$A$1:$A$150,A191)&gt;0</f>
        <v>0</v>
      </c>
    </row>
    <row r="192" spans="1:21" s="8" customFormat="1" ht="11.25" x14ac:dyDescent="0.2">
      <c r="A192" s="152">
        <v>10091006</v>
      </c>
      <c r="B192" s="10" t="s">
        <v>2962</v>
      </c>
      <c r="C192" s="12" t="s">
        <v>1277</v>
      </c>
      <c r="D192" s="11" t="s">
        <v>2963</v>
      </c>
      <c r="E192" s="12" t="s">
        <v>769</v>
      </c>
      <c r="F192" s="13">
        <v>1</v>
      </c>
      <c r="G192" s="22">
        <f>Overview!$B$16</f>
        <v>14</v>
      </c>
      <c r="H192" s="23">
        <f t="shared" si="43"/>
        <v>14</v>
      </c>
      <c r="I192" s="23">
        <f>Overview!$E$16</f>
        <v>0</v>
      </c>
      <c r="J192" s="52">
        <f t="shared" si="44"/>
        <v>0</v>
      </c>
      <c r="K192" s="53">
        <f>Overview!$H$16</f>
        <v>0</v>
      </c>
      <c r="L192" s="54" t="e">
        <f t="shared" si="45"/>
        <v>#DIV/0!</v>
      </c>
      <c r="M192" s="179" t="s">
        <v>3393</v>
      </c>
      <c r="N192" s="179" t="s">
        <v>964</v>
      </c>
      <c r="O192" s="141">
        <f t="shared" si="46"/>
        <v>0</v>
      </c>
      <c r="P192" s="181" t="b">
        <f>COUNTIF('Facility Data'!$A$1:$A$1500,"*"&amp;A192&amp;"*")&gt;0</f>
        <v>0</v>
      </c>
      <c r="Q192" s="181" t="b">
        <f>COUNTIF('Account Data'!$A$1:$A$1000,"*"&amp;A192&amp;"*")&gt;0</f>
        <v>0</v>
      </c>
      <c r="R192" s="182" t="b">
        <f t="shared" si="47"/>
        <v>0</v>
      </c>
      <c r="S192" s="182" t="b">
        <f t="shared" si="48"/>
        <v>0</v>
      </c>
      <c r="T192" s="181" t="b">
        <f>COUNTIF('New Items'!$A$1:$A$175,A192)&gt;0</f>
        <v>0</v>
      </c>
      <c r="U192" s="181" t="b">
        <f>COUNTIF(Discontinued!$A$1:$A$150,A192)&gt;0</f>
        <v>0</v>
      </c>
    </row>
    <row r="193" spans="1:21" s="8" customFormat="1" ht="11.25" x14ac:dyDescent="0.2">
      <c r="A193" s="152">
        <v>10001038</v>
      </c>
      <c r="B193" s="10" t="s">
        <v>12</v>
      </c>
      <c r="C193" s="12" t="s">
        <v>21</v>
      </c>
      <c r="D193" s="11" t="s">
        <v>631</v>
      </c>
      <c r="E193" s="12" t="s">
        <v>769</v>
      </c>
      <c r="F193" s="13">
        <v>1</v>
      </c>
      <c r="G193" s="22">
        <f>Overview!$B$16</f>
        <v>14</v>
      </c>
      <c r="H193" s="23">
        <f t="shared" si="43"/>
        <v>14</v>
      </c>
      <c r="I193" s="23">
        <f>Overview!$E$16</f>
        <v>0</v>
      </c>
      <c r="J193" s="52">
        <f t="shared" si="44"/>
        <v>0</v>
      </c>
      <c r="K193" s="53">
        <f>Overview!$H$16</f>
        <v>0</v>
      </c>
      <c r="L193" s="54" t="e">
        <f t="shared" si="45"/>
        <v>#DIV/0!</v>
      </c>
      <c r="M193" s="179" t="s">
        <v>951</v>
      </c>
      <c r="N193" s="179" t="s">
        <v>964</v>
      </c>
      <c r="O193" s="141">
        <f t="shared" si="46"/>
        <v>0</v>
      </c>
      <c r="P193" s="181" t="b">
        <f>COUNTIF('Facility Data'!$A$1:$A$1500,"*"&amp;A193&amp;"*")&gt;0</f>
        <v>0</v>
      </c>
      <c r="Q193" s="181" t="b">
        <f>COUNTIF('Account Data'!$A$1:$A$1000,"*"&amp;A193&amp;"*")&gt;0</f>
        <v>1</v>
      </c>
      <c r="R193" s="182" t="b">
        <f t="shared" si="47"/>
        <v>0</v>
      </c>
      <c r="S193" s="182" t="b">
        <f t="shared" si="48"/>
        <v>1</v>
      </c>
      <c r="T193" s="181" t="b">
        <f>COUNTIF('New Items'!$A$1:$A$175,A193)&gt;0</f>
        <v>0</v>
      </c>
      <c r="U193" s="181" t="b">
        <f>COUNTIF(Discontinued!$A$1:$A$150,A193)&gt;0</f>
        <v>0</v>
      </c>
    </row>
    <row r="194" spans="1:21" s="8" customFormat="1" ht="11.25" x14ac:dyDescent="0.2">
      <c r="A194" s="152">
        <v>10001037</v>
      </c>
      <c r="B194" s="10" t="s">
        <v>14</v>
      </c>
      <c r="C194" s="12" t="s">
        <v>23</v>
      </c>
      <c r="D194" s="11" t="s">
        <v>629</v>
      </c>
      <c r="E194" s="12" t="s">
        <v>769</v>
      </c>
      <c r="F194" s="13">
        <v>1</v>
      </c>
      <c r="G194" s="22">
        <f>Overview!$B$16</f>
        <v>14</v>
      </c>
      <c r="H194" s="23">
        <f t="shared" si="43"/>
        <v>14</v>
      </c>
      <c r="I194" s="23">
        <f>Overview!$E$16</f>
        <v>0</v>
      </c>
      <c r="J194" s="52">
        <f t="shared" si="44"/>
        <v>0</v>
      </c>
      <c r="K194" s="53">
        <f>Overview!$H$16</f>
        <v>0</v>
      </c>
      <c r="L194" s="54" t="e">
        <f t="shared" si="45"/>
        <v>#DIV/0!</v>
      </c>
      <c r="M194" s="179" t="s">
        <v>951</v>
      </c>
      <c r="N194" s="179" t="s">
        <v>964</v>
      </c>
      <c r="O194" s="141">
        <f t="shared" si="46"/>
        <v>0</v>
      </c>
      <c r="P194" s="181" t="b">
        <f>COUNTIF('Facility Data'!$A$1:$A$1500,"*"&amp;A194&amp;"*")&gt;0</f>
        <v>0</v>
      </c>
      <c r="Q194" s="181" t="b">
        <f>COUNTIF('Account Data'!$A$1:$A$1000,"*"&amp;A194&amp;"*")&gt;0</f>
        <v>1</v>
      </c>
      <c r="R194" s="182" t="b">
        <f t="shared" si="47"/>
        <v>0</v>
      </c>
      <c r="S194" s="182" t="b">
        <f t="shared" si="48"/>
        <v>1</v>
      </c>
      <c r="T194" s="181" t="b">
        <f>COUNTIF('New Items'!$A$1:$A$175,A194)&gt;0</f>
        <v>0</v>
      </c>
      <c r="U194" s="181" t="b">
        <f>COUNTIF(Discontinued!$A$1:$A$150,A194)&gt;0</f>
        <v>0</v>
      </c>
    </row>
    <row r="195" spans="1:21" s="8" customFormat="1" ht="11.25" x14ac:dyDescent="0.2">
      <c r="A195" s="152">
        <v>10074444</v>
      </c>
      <c r="B195" s="10" t="s">
        <v>2961</v>
      </c>
      <c r="C195" s="12" t="s">
        <v>23</v>
      </c>
      <c r="D195" s="11" t="s">
        <v>2951</v>
      </c>
      <c r="E195" s="12" t="s">
        <v>769</v>
      </c>
      <c r="F195" s="13">
        <v>1</v>
      </c>
      <c r="G195" s="22">
        <f>Overview!$B$16</f>
        <v>14</v>
      </c>
      <c r="H195" s="23">
        <f t="shared" si="43"/>
        <v>14</v>
      </c>
      <c r="I195" s="23">
        <f>Overview!$E$16</f>
        <v>0</v>
      </c>
      <c r="J195" s="52">
        <f t="shared" si="44"/>
        <v>0</v>
      </c>
      <c r="K195" s="53">
        <f>Overview!$H$16</f>
        <v>0</v>
      </c>
      <c r="L195" s="54" t="e">
        <f t="shared" si="45"/>
        <v>#DIV/0!</v>
      </c>
      <c r="M195" s="179" t="s">
        <v>3393</v>
      </c>
      <c r="N195" s="179" t="s">
        <v>964</v>
      </c>
      <c r="O195" s="141">
        <f t="shared" si="46"/>
        <v>0</v>
      </c>
      <c r="P195" s="181" t="b">
        <f>COUNTIF('Facility Data'!$A$1:$A$1500,"*"&amp;A195&amp;"*")&gt;0</f>
        <v>0</v>
      </c>
      <c r="Q195" s="181" t="b">
        <f>COUNTIF('Account Data'!$A$1:$A$1000,"*"&amp;A195&amp;"*")&gt;0</f>
        <v>0</v>
      </c>
      <c r="R195" s="182" t="b">
        <f t="shared" si="47"/>
        <v>0</v>
      </c>
      <c r="S195" s="182" t="b">
        <f t="shared" si="48"/>
        <v>0</v>
      </c>
      <c r="T195" s="181" t="b">
        <f>COUNTIF('New Items'!$A$1:$A$175,A195)&gt;0</f>
        <v>0</v>
      </c>
      <c r="U195" s="181" t="b">
        <f>COUNTIF(Discontinued!$A$1:$A$150,A195)&gt;0</f>
        <v>0</v>
      </c>
    </row>
    <row r="196" spans="1:21" s="8" customFormat="1" ht="11.25" x14ac:dyDescent="0.2">
      <c r="A196" s="152">
        <v>10133171</v>
      </c>
      <c r="B196" s="10" t="s">
        <v>4024</v>
      </c>
      <c r="C196" s="12" t="s">
        <v>4025</v>
      </c>
      <c r="D196" s="119" t="s">
        <v>3761</v>
      </c>
      <c r="E196" s="12" t="s">
        <v>769</v>
      </c>
      <c r="F196" s="13">
        <v>1</v>
      </c>
      <c r="G196" s="22">
        <f>Overview!$B$16</f>
        <v>14</v>
      </c>
      <c r="H196" s="23">
        <f>G196-I196</f>
        <v>14</v>
      </c>
      <c r="I196" s="23">
        <f>Overview!$E$16</f>
        <v>0</v>
      </c>
      <c r="J196" s="52">
        <f>I196/F196</f>
        <v>0</v>
      </c>
      <c r="K196" s="53">
        <f>Overview!$H$16</f>
        <v>0</v>
      </c>
      <c r="L196" s="54" t="e">
        <f>(K196-J196)/K196</f>
        <v>#DIV/0!</v>
      </c>
      <c r="M196" s="179" t="s">
        <v>951</v>
      </c>
      <c r="N196" s="179" t="s">
        <v>964</v>
      </c>
      <c r="O196" s="141">
        <f>I196</f>
        <v>0</v>
      </c>
      <c r="P196" s="181" t="b">
        <f>COUNTIF('Facility Data'!$A$1:$A$1500,"*"&amp;A196&amp;"*")&gt;0</f>
        <v>0</v>
      </c>
      <c r="Q196" s="181" t="b">
        <f>COUNTIF('Account Data'!$A$1:$A$1000,"*"&amp;A196&amp;"*")&gt;0</f>
        <v>0</v>
      </c>
      <c r="R196" s="182" t="b">
        <f t="shared" si="47"/>
        <v>0</v>
      </c>
      <c r="S196" s="182" t="b">
        <f>IF(OR(Q196=TRUE,T196=TRUE),TRUE,FALSE)</f>
        <v>0</v>
      </c>
      <c r="T196" s="181" t="b">
        <f>COUNTIF('New Items'!$A$1:$A$175,A196)&gt;0</f>
        <v>0</v>
      </c>
      <c r="U196" s="181" t="b">
        <f>COUNTIF(Discontinued!$A$1:$A$150,A196)&gt;0</f>
        <v>0</v>
      </c>
    </row>
    <row r="197" spans="1:21" s="8" customFormat="1" ht="11.25" x14ac:dyDescent="0.2">
      <c r="A197" s="152">
        <v>10000043</v>
      </c>
      <c r="B197" s="10" t="s">
        <v>1280</v>
      </c>
      <c r="C197" s="12" t="s">
        <v>1281</v>
      </c>
      <c r="D197" s="11" t="s">
        <v>655</v>
      </c>
      <c r="E197" s="12" t="s">
        <v>769</v>
      </c>
      <c r="F197" s="13">
        <v>1</v>
      </c>
      <c r="G197" s="22">
        <f>Overview!$B$16</f>
        <v>14</v>
      </c>
      <c r="H197" s="23">
        <f t="shared" si="43"/>
        <v>14</v>
      </c>
      <c r="I197" s="23">
        <f>Overview!$E$16</f>
        <v>0</v>
      </c>
      <c r="J197" s="52">
        <f t="shared" si="44"/>
        <v>0</v>
      </c>
      <c r="K197" s="53">
        <f>Overview!$H$16</f>
        <v>0</v>
      </c>
      <c r="L197" s="54" t="e">
        <f t="shared" si="45"/>
        <v>#DIV/0!</v>
      </c>
      <c r="M197" s="179"/>
      <c r="N197" s="179" t="s">
        <v>964</v>
      </c>
      <c r="O197" s="141">
        <f t="shared" si="46"/>
        <v>0</v>
      </c>
      <c r="P197" s="181" t="b">
        <f>COUNTIF('Facility Data'!$A$1:$A$1500,"*"&amp;A197&amp;"*")&gt;0</f>
        <v>0</v>
      </c>
      <c r="Q197" s="181" t="b">
        <f>COUNTIF('Account Data'!$A$1:$A$1000,"*"&amp;A197&amp;"*")&gt;0</f>
        <v>0</v>
      </c>
      <c r="R197" s="182" t="b">
        <f t="shared" si="47"/>
        <v>0</v>
      </c>
      <c r="S197" s="182" t="b">
        <f t="shared" si="48"/>
        <v>0</v>
      </c>
      <c r="T197" s="181" t="b">
        <f>COUNTIF('New Items'!$A$1:$A$175,A197)&gt;0</f>
        <v>0</v>
      </c>
      <c r="U197" s="181" t="b">
        <f>COUNTIF(Discontinued!$A$1:$A$150,A197)&gt;0</f>
        <v>0</v>
      </c>
    </row>
    <row r="198" spans="1:21" s="8" customFormat="1" ht="11.25" x14ac:dyDescent="0.2">
      <c r="A198" s="152">
        <v>10001039</v>
      </c>
      <c r="B198" s="10" t="s">
        <v>11</v>
      </c>
      <c r="C198" s="12" t="s">
        <v>20</v>
      </c>
      <c r="D198" s="11" t="s">
        <v>660</v>
      </c>
      <c r="E198" s="12" t="s">
        <v>769</v>
      </c>
      <c r="F198" s="13">
        <v>1</v>
      </c>
      <c r="G198" s="22">
        <f>Overview!$B$16</f>
        <v>14</v>
      </c>
      <c r="H198" s="23">
        <f t="shared" si="43"/>
        <v>14</v>
      </c>
      <c r="I198" s="23">
        <f>Overview!$E$16</f>
        <v>0</v>
      </c>
      <c r="J198" s="52">
        <f t="shared" si="44"/>
        <v>0</v>
      </c>
      <c r="K198" s="53">
        <f>Overview!$H$16</f>
        <v>0</v>
      </c>
      <c r="L198" s="54" t="e">
        <f t="shared" si="45"/>
        <v>#DIV/0!</v>
      </c>
      <c r="M198" s="179"/>
      <c r="N198" s="179" t="s">
        <v>964</v>
      </c>
      <c r="O198" s="141">
        <f t="shared" si="46"/>
        <v>0</v>
      </c>
      <c r="P198" s="181" t="b">
        <f>COUNTIF('Facility Data'!$A$1:$A$1500,"*"&amp;A198&amp;"*")&gt;0</f>
        <v>0</v>
      </c>
      <c r="Q198" s="181" t="b">
        <f>COUNTIF('Account Data'!$A$1:$A$1000,"*"&amp;A198&amp;"*")&gt;0</f>
        <v>0</v>
      </c>
      <c r="R198" s="182" t="b">
        <f t="shared" si="47"/>
        <v>0</v>
      </c>
      <c r="S198" s="182" t="b">
        <f t="shared" si="48"/>
        <v>0</v>
      </c>
      <c r="T198" s="181" t="b">
        <f>COUNTIF('New Items'!$A$1:$A$175,A198)&gt;0</f>
        <v>0</v>
      </c>
      <c r="U198" s="181" t="b">
        <f>COUNTIF(Discontinued!$A$1:$A$150,A198)&gt;0</f>
        <v>0</v>
      </c>
    </row>
    <row r="199" spans="1:21" s="8" customFormat="1" ht="11.25" x14ac:dyDescent="0.2">
      <c r="A199" s="152">
        <v>10001043</v>
      </c>
      <c r="B199" s="10" t="s">
        <v>10</v>
      </c>
      <c r="C199" s="12" t="s">
        <v>19</v>
      </c>
      <c r="D199" s="11" t="s">
        <v>636</v>
      </c>
      <c r="E199" s="12" t="s">
        <v>769</v>
      </c>
      <c r="F199" s="13">
        <v>1</v>
      </c>
      <c r="G199" s="22">
        <f>Overview!$B$16</f>
        <v>14</v>
      </c>
      <c r="H199" s="23">
        <f t="shared" si="43"/>
        <v>14</v>
      </c>
      <c r="I199" s="23">
        <f>Overview!$E$16</f>
        <v>0</v>
      </c>
      <c r="J199" s="52">
        <f t="shared" si="44"/>
        <v>0</v>
      </c>
      <c r="K199" s="53">
        <f>Overview!$H$16</f>
        <v>0</v>
      </c>
      <c r="L199" s="54" t="e">
        <f t="shared" si="45"/>
        <v>#DIV/0!</v>
      </c>
      <c r="M199" s="179" t="s">
        <v>4370</v>
      </c>
      <c r="N199" s="179" t="s">
        <v>964</v>
      </c>
      <c r="O199" s="141">
        <f t="shared" si="46"/>
        <v>0</v>
      </c>
      <c r="P199" s="181" t="b">
        <f>COUNTIF('Facility Data'!$A$1:$A$1500,"*"&amp;A199&amp;"*")&gt;0</f>
        <v>0</v>
      </c>
      <c r="Q199" s="181" t="b">
        <f>COUNTIF('Account Data'!$A$1:$A$1000,"*"&amp;A199&amp;"*")&gt;0</f>
        <v>0</v>
      </c>
      <c r="R199" s="182" t="b">
        <f t="shared" si="47"/>
        <v>0</v>
      </c>
      <c r="S199" s="182" t="b">
        <f t="shared" si="48"/>
        <v>0</v>
      </c>
      <c r="T199" s="181" t="b">
        <f>COUNTIF('New Items'!$A$1:$A$175,A199)&gt;0</f>
        <v>0</v>
      </c>
      <c r="U199" s="181" t="b">
        <f>COUNTIF(Discontinued!$A$1:$A$150,A199)&gt;0</f>
        <v>0</v>
      </c>
    </row>
    <row r="200" spans="1:21" s="8" customFormat="1" ht="11.25" x14ac:dyDescent="0.2">
      <c r="A200" s="152">
        <v>10001049</v>
      </c>
      <c r="B200" s="10" t="s">
        <v>1278</v>
      </c>
      <c r="C200" s="12" t="s">
        <v>1279</v>
      </c>
      <c r="D200" s="11" t="s">
        <v>648</v>
      </c>
      <c r="E200" s="12" t="s">
        <v>769</v>
      </c>
      <c r="F200" s="13">
        <v>1</v>
      </c>
      <c r="G200" s="22">
        <f>Overview!$B$16</f>
        <v>14</v>
      </c>
      <c r="H200" s="23">
        <f t="shared" si="43"/>
        <v>14</v>
      </c>
      <c r="I200" s="23">
        <f>Overview!$E$16</f>
        <v>0</v>
      </c>
      <c r="J200" s="52">
        <f t="shared" si="44"/>
        <v>0</v>
      </c>
      <c r="K200" s="53">
        <f>Overview!$H$16</f>
        <v>0</v>
      </c>
      <c r="L200" s="54" t="e">
        <f t="shared" si="45"/>
        <v>#DIV/0!</v>
      </c>
      <c r="M200" s="179"/>
      <c r="N200" s="179" t="s">
        <v>964</v>
      </c>
      <c r="O200" s="141">
        <f t="shared" si="46"/>
        <v>0</v>
      </c>
      <c r="P200" s="181" t="b">
        <f>COUNTIF('Facility Data'!$A$1:$A$1500,"*"&amp;A200&amp;"*")&gt;0</f>
        <v>0</v>
      </c>
      <c r="Q200" s="181" t="b">
        <f>COUNTIF('Account Data'!$A$1:$A$1000,"*"&amp;A200&amp;"*")&gt;0</f>
        <v>0</v>
      </c>
      <c r="R200" s="182" t="b">
        <f t="shared" si="47"/>
        <v>0</v>
      </c>
      <c r="S200" s="182" t="b">
        <f t="shared" si="48"/>
        <v>0</v>
      </c>
      <c r="T200" s="181" t="b">
        <f>COUNTIF('New Items'!$A$1:$A$175,A200)&gt;0</f>
        <v>0</v>
      </c>
      <c r="U200" s="181" t="b">
        <f>COUNTIF(Discontinued!$A$1:$A$150,A200)&gt;0</f>
        <v>0</v>
      </c>
    </row>
    <row r="201" spans="1:21" s="8" customFormat="1" ht="12" thickBot="1" x14ac:dyDescent="0.25">
      <c r="A201" s="152">
        <v>10001048</v>
      </c>
      <c r="B201" s="10" t="s">
        <v>9</v>
      </c>
      <c r="C201" s="12" t="s">
        <v>18</v>
      </c>
      <c r="D201" s="11" t="s">
        <v>650</v>
      </c>
      <c r="E201" s="12" t="s">
        <v>769</v>
      </c>
      <c r="F201" s="13">
        <v>1</v>
      </c>
      <c r="G201" s="22">
        <f>Overview!$B$16</f>
        <v>14</v>
      </c>
      <c r="H201" s="23">
        <f t="shared" si="43"/>
        <v>14</v>
      </c>
      <c r="I201" s="23">
        <f>Overview!$E$16</f>
        <v>0</v>
      </c>
      <c r="J201" s="52">
        <f t="shared" si="44"/>
        <v>0</v>
      </c>
      <c r="K201" s="53">
        <f>Overview!$H$16</f>
        <v>0</v>
      </c>
      <c r="L201" s="54" t="e">
        <f t="shared" si="45"/>
        <v>#DIV/0!</v>
      </c>
      <c r="M201" s="179" t="s">
        <v>4369</v>
      </c>
      <c r="N201" s="179" t="s">
        <v>964</v>
      </c>
      <c r="O201" s="141">
        <f t="shared" si="46"/>
        <v>0</v>
      </c>
      <c r="P201" s="181" t="b">
        <f>COUNTIF('Facility Data'!$A$1:$A$1500,"*"&amp;A201&amp;"*")&gt;0</f>
        <v>0</v>
      </c>
      <c r="Q201" s="181" t="b">
        <f>COUNTIF('Account Data'!$A$1:$A$1000,"*"&amp;A201&amp;"*")&gt;0</f>
        <v>0</v>
      </c>
      <c r="R201" s="182" t="b">
        <f t="shared" si="47"/>
        <v>0</v>
      </c>
      <c r="S201" s="182" t="b">
        <f t="shared" si="48"/>
        <v>0</v>
      </c>
      <c r="T201" s="181" t="b">
        <f>COUNTIF('New Items'!$A$1:$A$175,A201)&gt;0</f>
        <v>0</v>
      </c>
      <c r="U201" s="181" t="b">
        <f>COUNTIF(Discontinued!$A$1:$A$150,A201)&gt;0</f>
        <v>0</v>
      </c>
    </row>
    <row r="202" spans="1:21" s="8" customFormat="1" ht="13.5" thickBot="1" x14ac:dyDescent="0.25">
      <c r="A202" s="300" t="s">
        <v>1405</v>
      </c>
      <c r="B202" s="301"/>
      <c r="C202" s="301"/>
      <c r="D202" s="301"/>
      <c r="E202" s="301"/>
      <c r="F202" s="301"/>
      <c r="G202" s="301"/>
      <c r="H202" s="301"/>
      <c r="I202" s="301"/>
      <c r="J202" s="301"/>
      <c r="K202" s="301"/>
      <c r="L202" s="302"/>
      <c r="M202" s="179"/>
      <c r="N202" s="179" t="s">
        <v>1406</v>
      </c>
      <c r="O202" s="141">
        <f>AVERAGE(O203:O214)</f>
        <v>0</v>
      </c>
      <c r="P202" s="181" t="b">
        <f>COUNTIF(P203:P214,TRUE)&gt;0</f>
        <v>1</v>
      </c>
      <c r="Q202" s="181" t="b">
        <f>COUNTIF(Q203:Q214,TRUE)&gt;0</f>
        <v>0</v>
      </c>
      <c r="R202" s="181" t="b">
        <f>COUNTIF(R203:R214,TRUE)&gt;0</f>
        <v>1</v>
      </c>
      <c r="S202" s="181" t="b">
        <f>COUNTIF(S203:S214,TRUE)&gt;0</f>
        <v>0</v>
      </c>
      <c r="T202" s="181" t="b">
        <f>COUNTIF(T203:T214,TRUE)&gt;0</f>
        <v>0</v>
      </c>
      <c r="U202" s="249"/>
    </row>
    <row r="203" spans="1:21" s="8" customFormat="1" ht="11.25" x14ac:dyDescent="0.2">
      <c r="A203" s="152">
        <v>10002297</v>
      </c>
      <c r="B203" s="10" t="s">
        <v>1526</v>
      </c>
      <c r="C203" s="12" t="s">
        <v>1527</v>
      </c>
      <c r="D203" s="11" t="s">
        <v>643</v>
      </c>
      <c r="E203" s="12" t="s">
        <v>769</v>
      </c>
      <c r="F203" s="13">
        <v>1</v>
      </c>
      <c r="G203" s="22">
        <f>Overview!$B$17</f>
        <v>14</v>
      </c>
      <c r="H203" s="23">
        <f t="shared" ref="H203:H214" si="49">G203-I203</f>
        <v>14</v>
      </c>
      <c r="I203" s="23">
        <f>Overview!$E$17</f>
        <v>0</v>
      </c>
      <c r="J203" s="52">
        <f t="shared" ref="J203:J214" si="50">I203/F203</f>
        <v>0</v>
      </c>
      <c r="K203" s="53">
        <f>Overview!$H$17</f>
        <v>0</v>
      </c>
      <c r="L203" s="54" t="e">
        <f t="shared" ref="L203:L214" si="51">(K203-J203)/K203</f>
        <v>#DIV/0!</v>
      </c>
      <c r="M203" s="179"/>
      <c r="N203" s="179" t="s">
        <v>1406</v>
      </c>
      <c r="O203" s="141">
        <f t="shared" ref="O203:O214" si="52">I203</f>
        <v>0</v>
      </c>
      <c r="P203" s="181" t="b">
        <f>COUNTIF('Facility Data'!$A$1:$A$1500,"*"&amp;A203&amp;"*")&gt;0</f>
        <v>0</v>
      </c>
      <c r="Q203" s="181" t="b">
        <f>COUNTIF('Account Data'!$A$1:$A$1000,"*"&amp;A203&amp;"*")&gt;0</f>
        <v>0</v>
      </c>
      <c r="R203" s="182" t="b">
        <f t="shared" ref="R203:R214" si="53">IF(OR(P203=TRUE,T203=TRUE),TRUE,FALSE)</f>
        <v>0</v>
      </c>
      <c r="S203" s="182" t="b">
        <f t="shared" ref="S203:S214" si="54">IF(OR(Q203=TRUE,T203=TRUE),TRUE,FALSE)</f>
        <v>0</v>
      </c>
      <c r="T203" s="181" t="b">
        <f>COUNTIF('New Items'!$A$1:$A$175,A203)&gt;0</f>
        <v>0</v>
      </c>
      <c r="U203" s="181" t="b">
        <f>COUNTIF(Discontinued!$A$1:$A$150,A203)&gt;0</f>
        <v>0</v>
      </c>
    </row>
    <row r="204" spans="1:21" s="8" customFormat="1" ht="11.25" x14ac:dyDescent="0.2">
      <c r="A204" s="152">
        <v>10000227</v>
      </c>
      <c r="B204" s="10" t="s">
        <v>1528</v>
      </c>
      <c r="C204" s="12" t="s">
        <v>1529</v>
      </c>
      <c r="D204" s="11" t="s">
        <v>645</v>
      </c>
      <c r="E204" s="12" t="s">
        <v>769</v>
      </c>
      <c r="F204" s="13">
        <v>1</v>
      </c>
      <c r="G204" s="22">
        <f>Overview!$B$17</f>
        <v>14</v>
      </c>
      <c r="H204" s="23">
        <f t="shared" si="49"/>
        <v>14</v>
      </c>
      <c r="I204" s="23">
        <f>Overview!$E$17</f>
        <v>0</v>
      </c>
      <c r="J204" s="52">
        <f t="shared" si="50"/>
        <v>0</v>
      </c>
      <c r="K204" s="53">
        <f>Overview!$H$17</f>
        <v>0</v>
      </c>
      <c r="L204" s="54" t="e">
        <f t="shared" si="51"/>
        <v>#DIV/0!</v>
      </c>
      <c r="M204" s="179" t="s">
        <v>4406</v>
      </c>
      <c r="N204" s="179" t="s">
        <v>1406</v>
      </c>
      <c r="O204" s="141">
        <f t="shared" si="52"/>
        <v>0</v>
      </c>
      <c r="P204" s="181" t="b">
        <f>COUNTIF('Facility Data'!$A$1:$A$1500,"*"&amp;A204&amp;"*")&gt;0</f>
        <v>1</v>
      </c>
      <c r="Q204" s="181" t="b">
        <f>COUNTIF('Account Data'!$A$1:$A$1000,"*"&amp;A204&amp;"*")&gt;0</f>
        <v>0</v>
      </c>
      <c r="R204" s="182" t="b">
        <f t="shared" si="53"/>
        <v>1</v>
      </c>
      <c r="S204" s="182" t="b">
        <f t="shared" si="54"/>
        <v>0</v>
      </c>
      <c r="T204" s="181" t="b">
        <f>COUNTIF('New Items'!$A$1:$A$175,A204)&gt;0</f>
        <v>0</v>
      </c>
      <c r="U204" s="181" t="b">
        <f>COUNTIF(Discontinued!$A$1:$A$150,A204)&gt;0</f>
        <v>0</v>
      </c>
    </row>
    <row r="205" spans="1:21" s="8" customFormat="1" ht="11.25" x14ac:dyDescent="0.2">
      <c r="A205" s="152">
        <v>10000226</v>
      </c>
      <c r="B205" s="10" t="s">
        <v>1538</v>
      </c>
      <c r="C205" s="12" t="s">
        <v>1539</v>
      </c>
      <c r="D205" s="11" t="s">
        <v>640</v>
      </c>
      <c r="E205" s="12" t="s">
        <v>769</v>
      </c>
      <c r="F205" s="13">
        <v>1</v>
      </c>
      <c r="G205" s="22">
        <f>Overview!$B$17</f>
        <v>14</v>
      </c>
      <c r="H205" s="23">
        <f t="shared" si="49"/>
        <v>14</v>
      </c>
      <c r="I205" s="23">
        <f>Overview!$E$17</f>
        <v>0</v>
      </c>
      <c r="J205" s="52">
        <f t="shared" si="50"/>
        <v>0</v>
      </c>
      <c r="K205" s="53">
        <f>Overview!$H$17</f>
        <v>0</v>
      </c>
      <c r="L205" s="54" t="e">
        <f t="shared" si="51"/>
        <v>#DIV/0!</v>
      </c>
      <c r="M205" s="179"/>
      <c r="N205" s="179" t="s">
        <v>1406</v>
      </c>
      <c r="O205" s="141">
        <f t="shared" si="52"/>
        <v>0</v>
      </c>
      <c r="P205" s="181" t="b">
        <f>COUNTIF('Facility Data'!$A$1:$A$1500,"*"&amp;A205&amp;"*")&gt;0</f>
        <v>1</v>
      </c>
      <c r="Q205" s="181" t="b">
        <f>COUNTIF('Account Data'!$A$1:$A$1000,"*"&amp;A205&amp;"*")&gt;0</f>
        <v>0</v>
      </c>
      <c r="R205" s="182" t="b">
        <f t="shared" si="53"/>
        <v>1</v>
      </c>
      <c r="S205" s="182" t="b">
        <f t="shared" si="54"/>
        <v>0</v>
      </c>
      <c r="T205" s="181" t="b">
        <f>COUNTIF('New Items'!$A$1:$A$175,A205)&gt;0</f>
        <v>0</v>
      </c>
      <c r="U205" s="181" t="b">
        <f>COUNTIF(Discontinued!$A$1:$A$150,A205)&gt;0</f>
        <v>0</v>
      </c>
    </row>
    <row r="206" spans="1:21" s="8" customFormat="1" ht="11.25" x14ac:dyDescent="0.2">
      <c r="A206" s="152">
        <v>10036798</v>
      </c>
      <c r="B206" s="10" t="s">
        <v>1532</v>
      </c>
      <c r="C206" s="12" t="s">
        <v>1533</v>
      </c>
      <c r="D206" s="11" t="s">
        <v>652</v>
      </c>
      <c r="E206" s="12" t="s">
        <v>769</v>
      </c>
      <c r="F206" s="13">
        <v>1</v>
      </c>
      <c r="G206" s="22">
        <f>Overview!$B$17</f>
        <v>14</v>
      </c>
      <c r="H206" s="23">
        <f t="shared" si="49"/>
        <v>14</v>
      </c>
      <c r="I206" s="23">
        <f>Overview!$E$17</f>
        <v>0</v>
      </c>
      <c r="J206" s="52">
        <f t="shared" si="50"/>
        <v>0</v>
      </c>
      <c r="K206" s="53">
        <f>Overview!$H$17</f>
        <v>0</v>
      </c>
      <c r="L206" s="54" t="e">
        <f t="shared" si="51"/>
        <v>#DIV/0!</v>
      </c>
      <c r="M206" s="179"/>
      <c r="N206" s="179" t="s">
        <v>1406</v>
      </c>
      <c r="O206" s="141">
        <f t="shared" si="52"/>
        <v>0</v>
      </c>
      <c r="P206" s="181" t="b">
        <f>COUNTIF('Facility Data'!$A$1:$A$1500,"*"&amp;A206&amp;"*")&gt;0</f>
        <v>1</v>
      </c>
      <c r="Q206" s="181" t="b">
        <f>COUNTIF('Account Data'!$A$1:$A$1000,"*"&amp;A206&amp;"*")&gt;0</f>
        <v>0</v>
      </c>
      <c r="R206" s="182" t="b">
        <f t="shared" si="53"/>
        <v>1</v>
      </c>
      <c r="S206" s="182" t="b">
        <f t="shared" si="54"/>
        <v>0</v>
      </c>
      <c r="T206" s="181" t="b">
        <f>COUNTIF('New Items'!$A$1:$A$175,A206)&gt;0</f>
        <v>0</v>
      </c>
      <c r="U206" s="181" t="b">
        <f>COUNTIF(Discontinued!$A$1:$A$150,A206)&gt;0</f>
        <v>0</v>
      </c>
    </row>
    <row r="207" spans="1:21" s="8" customFormat="1" ht="11.25" x14ac:dyDescent="0.2">
      <c r="A207" s="152">
        <v>10000223</v>
      </c>
      <c r="B207" s="10" t="s">
        <v>1524</v>
      </c>
      <c r="C207" s="12" t="s">
        <v>1525</v>
      </c>
      <c r="D207" s="11" t="s">
        <v>631</v>
      </c>
      <c r="E207" s="12" t="s">
        <v>769</v>
      </c>
      <c r="F207" s="13">
        <v>1</v>
      </c>
      <c r="G207" s="22">
        <f>Overview!$B$17</f>
        <v>14</v>
      </c>
      <c r="H207" s="23">
        <f t="shared" si="49"/>
        <v>14</v>
      </c>
      <c r="I207" s="23">
        <f>Overview!$E$17</f>
        <v>0</v>
      </c>
      <c r="J207" s="52">
        <f t="shared" si="50"/>
        <v>0</v>
      </c>
      <c r="K207" s="53">
        <f>Overview!$H$17</f>
        <v>0</v>
      </c>
      <c r="L207" s="54" t="e">
        <f t="shared" si="51"/>
        <v>#DIV/0!</v>
      </c>
      <c r="M207" s="179" t="s">
        <v>951</v>
      </c>
      <c r="N207" s="179" t="s">
        <v>1406</v>
      </c>
      <c r="O207" s="141">
        <f t="shared" si="52"/>
        <v>0</v>
      </c>
      <c r="P207" s="181" t="b">
        <f>COUNTIF('Facility Data'!$A$1:$A$1500,"*"&amp;A207&amp;"*")&gt;0</f>
        <v>0</v>
      </c>
      <c r="Q207" s="181" t="b">
        <f>COUNTIF('Account Data'!$A$1:$A$1000,"*"&amp;A207&amp;"*")&gt;0</f>
        <v>0</v>
      </c>
      <c r="R207" s="182" t="b">
        <f t="shared" si="53"/>
        <v>0</v>
      </c>
      <c r="S207" s="182" t="b">
        <f t="shared" si="54"/>
        <v>0</v>
      </c>
      <c r="T207" s="181" t="b">
        <f>COUNTIF('New Items'!$A$1:$A$175,A207)&gt;0</f>
        <v>0</v>
      </c>
      <c r="U207" s="181" t="b">
        <f>COUNTIF(Discontinued!$A$1:$A$150,A207)&gt;0</f>
        <v>0</v>
      </c>
    </row>
    <row r="208" spans="1:21" s="8" customFormat="1" ht="11.25" x14ac:dyDescent="0.2">
      <c r="A208" s="152">
        <v>10000222</v>
      </c>
      <c r="B208" s="10" t="s">
        <v>1522</v>
      </c>
      <c r="C208" s="12" t="s">
        <v>1523</v>
      </c>
      <c r="D208" s="11" t="s">
        <v>629</v>
      </c>
      <c r="E208" s="12" t="s">
        <v>769</v>
      </c>
      <c r="F208" s="13">
        <v>1</v>
      </c>
      <c r="G208" s="22">
        <f>Overview!$B$17</f>
        <v>14</v>
      </c>
      <c r="H208" s="23">
        <f t="shared" si="49"/>
        <v>14</v>
      </c>
      <c r="I208" s="23">
        <f>Overview!$E$17</f>
        <v>0</v>
      </c>
      <c r="J208" s="52">
        <f t="shared" si="50"/>
        <v>0</v>
      </c>
      <c r="K208" s="53">
        <f>Overview!$H$17</f>
        <v>0</v>
      </c>
      <c r="L208" s="54" t="e">
        <f t="shared" si="51"/>
        <v>#DIV/0!</v>
      </c>
      <c r="M208" s="179" t="s">
        <v>951</v>
      </c>
      <c r="N208" s="179" t="s">
        <v>1406</v>
      </c>
      <c r="O208" s="141">
        <f t="shared" si="52"/>
        <v>0</v>
      </c>
      <c r="P208" s="181" t="b">
        <f>COUNTIF('Facility Data'!$A$1:$A$1500,"*"&amp;A208&amp;"*")&gt;0</f>
        <v>0</v>
      </c>
      <c r="Q208" s="181" t="b">
        <f>COUNTIF('Account Data'!$A$1:$A$1000,"*"&amp;A208&amp;"*")&gt;0</f>
        <v>0</v>
      </c>
      <c r="R208" s="182" t="b">
        <f t="shared" si="53"/>
        <v>0</v>
      </c>
      <c r="S208" s="182" t="b">
        <f t="shared" si="54"/>
        <v>0</v>
      </c>
      <c r="T208" s="181" t="b">
        <f>COUNTIF('New Items'!$A$1:$A$175,A208)&gt;0</f>
        <v>0</v>
      </c>
      <c r="U208" s="181" t="b">
        <f>COUNTIF(Discontinued!$A$1:$A$150,A208)&gt;0</f>
        <v>0</v>
      </c>
    </row>
    <row r="209" spans="1:21" s="8" customFormat="1" ht="11.25" x14ac:dyDescent="0.2">
      <c r="A209" s="152">
        <v>10133172</v>
      </c>
      <c r="B209" s="10" t="s">
        <v>4026</v>
      </c>
      <c r="C209" s="12" t="s">
        <v>4027</v>
      </c>
      <c r="D209" s="119" t="s">
        <v>3761</v>
      </c>
      <c r="E209" s="12" t="s">
        <v>769</v>
      </c>
      <c r="F209" s="13">
        <v>1</v>
      </c>
      <c r="G209" s="22">
        <f>Overview!$B$17</f>
        <v>14</v>
      </c>
      <c r="H209" s="23">
        <f>G209-I209</f>
        <v>14</v>
      </c>
      <c r="I209" s="23">
        <f>Overview!$E$17</f>
        <v>0</v>
      </c>
      <c r="J209" s="52">
        <f>I209/F209</f>
        <v>0</v>
      </c>
      <c r="K209" s="53">
        <f>Overview!$H$17</f>
        <v>0</v>
      </c>
      <c r="L209" s="54" t="e">
        <f>(K209-J209)/K209</f>
        <v>#DIV/0!</v>
      </c>
      <c r="M209" s="179" t="s">
        <v>951</v>
      </c>
      <c r="N209" s="179" t="s">
        <v>1406</v>
      </c>
      <c r="O209" s="141">
        <f>I209</f>
        <v>0</v>
      </c>
      <c r="P209" s="181" t="b">
        <f>COUNTIF('Facility Data'!$A$1:$A$1500,"*"&amp;A209&amp;"*")&gt;0</f>
        <v>0</v>
      </c>
      <c r="Q209" s="181" t="b">
        <f>COUNTIF('Account Data'!$A$1:$A$1000,"*"&amp;A209&amp;"*")&gt;0</f>
        <v>0</v>
      </c>
      <c r="R209" s="182" t="b">
        <f t="shared" si="53"/>
        <v>0</v>
      </c>
      <c r="S209" s="182" t="b">
        <f>IF(OR(Q209=TRUE,T209=TRUE),TRUE,FALSE)</f>
        <v>0</v>
      </c>
      <c r="T209" s="181" t="b">
        <f>COUNTIF('New Items'!$A$1:$A$175,A209)&gt;0</f>
        <v>0</v>
      </c>
      <c r="U209" s="181" t="b">
        <f>COUNTIF(Discontinued!$A$1:$A$150,A209)&gt;0</f>
        <v>0</v>
      </c>
    </row>
    <row r="210" spans="1:21" s="8" customFormat="1" ht="11.25" x14ac:dyDescent="0.2">
      <c r="A210" s="152">
        <v>10000032</v>
      </c>
      <c r="B210" s="10" t="s">
        <v>1536</v>
      </c>
      <c r="C210" s="12" t="s">
        <v>1537</v>
      </c>
      <c r="D210" s="11" t="s">
        <v>655</v>
      </c>
      <c r="E210" s="12" t="s">
        <v>769</v>
      </c>
      <c r="F210" s="13">
        <v>1</v>
      </c>
      <c r="G210" s="22">
        <f>Overview!$B$17</f>
        <v>14</v>
      </c>
      <c r="H210" s="23">
        <f t="shared" si="49"/>
        <v>14</v>
      </c>
      <c r="I210" s="23">
        <f>Overview!$E$17</f>
        <v>0</v>
      </c>
      <c r="J210" s="52">
        <f t="shared" si="50"/>
        <v>0</v>
      </c>
      <c r="K210" s="53">
        <f>Overview!$H$17</f>
        <v>0</v>
      </c>
      <c r="L210" s="54" t="e">
        <f t="shared" si="51"/>
        <v>#DIV/0!</v>
      </c>
      <c r="M210" s="179"/>
      <c r="N210" s="179" t="s">
        <v>1406</v>
      </c>
      <c r="O210" s="141">
        <f t="shared" si="52"/>
        <v>0</v>
      </c>
      <c r="P210" s="181" t="b">
        <f>COUNTIF('Facility Data'!$A$1:$A$1500,"*"&amp;A210&amp;"*")&gt;0</f>
        <v>1</v>
      </c>
      <c r="Q210" s="181" t="b">
        <f>COUNTIF('Account Data'!$A$1:$A$1000,"*"&amp;A210&amp;"*")&gt;0</f>
        <v>0</v>
      </c>
      <c r="R210" s="182" t="b">
        <f t="shared" si="53"/>
        <v>1</v>
      </c>
      <c r="S210" s="182" t="b">
        <f t="shared" si="54"/>
        <v>0</v>
      </c>
      <c r="T210" s="181" t="b">
        <f>COUNTIF('New Items'!$A$1:$A$175,A210)&gt;0</f>
        <v>0</v>
      </c>
      <c r="U210" s="181" t="b">
        <f>COUNTIF(Discontinued!$A$1:$A$150,A210)&gt;0</f>
        <v>0</v>
      </c>
    </row>
    <row r="211" spans="1:21" s="8" customFormat="1" ht="11.25" x14ac:dyDescent="0.2">
      <c r="A211" s="152">
        <v>10000225</v>
      </c>
      <c r="B211" s="10" t="s">
        <v>3807</v>
      </c>
      <c r="C211" s="12" t="s">
        <v>3808</v>
      </c>
      <c r="D211" s="11" t="s">
        <v>660</v>
      </c>
      <c r="E211" s="12" t="s">
        <v>769</v>
      </c>
      <c r="F211" s="13">
        <v>1</v>
      </c>
      <c r="G211" s="22">
        <f>Overview!$B$17</f>
        <v>14</v>
      </c>
      <c r="H211" s="23">
        <f>G211-I211</f>
        <v>14</v>
      </c>
      <c r="I211" s="23">
        <f>Overview!$E$17</f>
        <v>0</v>
      </c>
      <c r="J211" s="52">
        <f>I211/F211</f>
        <v>0</v>
      </c>
      <c r="K211" s="53">
        <f>Overview!$H$17</f>
        <v>0</v>
      </c>
      <c r="L211" s="54" t="e">
        <f>(K211-J211)/K211</f>
        <v>#DIV/0!</v>
      </c>
      <c r="M211" s="179"/>
      <c r="N211" s="179" t="s">
        <v>1406</v>
      </c>
      <c r="O211" s="141">
        <f>I211</f>
        <v>0</v>
      </c>
      <c r="P211" s="181" t="b">
        <f>COUNTIF('Facility Data'!$A$1:$A$1500,"*"&amp;A211&amp;"*")&gt;0</f>
        <v>1</v>
      </c>
      <c r="Q211" s="181" t="b">
        <f>COUNTIF('Account Data'!$A$1:$A$1000,"*"&amp;A211&amp;"*")&gt;0</f>
        <v>0</v>
      </c>
      <c r="R211" s="182" t="b">
        <f t="shared" si="53"/>
        <v>1</v>
      </c>
      <c r="S211" s="182" t="b">
        <f>IF(OR(Q211=TRUE,T211=TRUE),TRUE,FALSE)</f>
        <v>0</v>
      </c>
      <c r="T211" s="181" t="b">
        <f>COUNTIF('New Items'!$A$1:$A$175,A211)&gt;0</f>
        <v>0</v>
      </c>
      <c r="U211" s="181" t="b">
        <f>COUNTIF(Discontinued!$A$1:$A$150,A211)&gt;0</f>
        <v>0</v>
      </c>
    </row>
    <row r="212" spans="1:21" s="8" customFormat="1" ht="11.25" x14ac:dyDescent="0.2">
      <c r="A212" s="152">
        <v>10000051</v>
      </c>
      <c r="B212" s="10" t="s">
        <v>1534</v>
      </c>
      <c r="C212" s="12" t="s">
        <v>1535</v>
      </c>
      <c r="D212" s="11" t="s">
        <v>636</v>
      </c>
      <c r="E212" s="12" t="s">
        <v>769</v>
      </c>
      <c r="F212" s="13">
        <v>1</v>
      </c>
      <c r="G212" s="22">
        <f>Overview!$B$17</f>
        <v>14</v>
      </c>
      <c r="H212" s="23">
        <f t="shared" si="49"/>
        <v>14</v>
      </c>
      <c r="I212" s="23">
        <f>Overview!$E$17</f>
        <v>0</v>
      </c>
      <c r="J212" s="52">
        <f t="shared" si="50"/>
        <v>0</v>
      </c>
      <c r="K212" s="53">
        <f>Overview!$H$17</f>
        <v>0</v>
      </c>
      <c r="L212" s="54" t="e">
        <f t="shared" si="51"/>
        <v>#DIV/0!</v>
      </c>
      <c r="M212" s="179" t="s">
        <v>4370</v>
      </c>
      <c r="N212" s="179" t="s">
        <v>1406</v>
      </c>
      <c r="O212" s="141">
        <f t="shared" si="52"/>
        <v>0</v>
      </c>
      <c r="P212" s="181" t="b">
        <f>COUNTIF('Facility Data'!$A$1:$A$1500,"*"&amp;A212&amp;"*")&gt;0</f>
        <v>1</v>
      </c>
      <c r="Q212" s="181" t="b">
        <f>COUNTIF('Account Data'!$A$1:$A$1000,"*"&amp;A212&amp;"*")&gt;0</f>
        <v>0</v>
      </c>
      <c r="R212" s="182" t="b">
        <f t="shared" si="53"/>
        <v>1</v>
      </c>
      <c r="S212" s="182" t="b">
        <f t="shared" si="54"/>
        <v>0</v>
      </c>
      <c r="T212" s="181" t="b">
        <f>COUNTIF('New Items'!$A$1:$A$175,A212)&gt;0</f>
        <v>0</v>
      </c>
      <c r="U212" s="181" t="b">
        <f>COUNTIF(Discontinued!$A$1:$A$150,A212)&gt;0</f>
        <v>0</v>
      </c>
    </row>
    <row r="213" spans="1:21" s="8" customFormat="1" ht="11.25" x14ac:dyDescent="0.2">
      <c r="A213" s="152">
        <v>10000228</v>
      </c>
      <c r="B213" s="10" t="s">
        <v>1530</v>
      </c>
      <c r="C213" s="12" t="s">
        <v>1531</v>
      </c>
      <c r="D213" s="11" t="s">
        <v>650</v>
      </c>
      <c r="E213" s="12" t="s">
        <v>769</v>
      </c>
      <c r="F213" s="13">
        <v>1</v>
      </c>
      <c r="G213" s="22">
        <f>Overview!$B$17</f>
        <v>14</v>
      </c>
      <c r="H213" s="23">
        <f t="shared" si="49"/>
        <v>14</v>
      </c>
      <c r="I213" s="23">
        <f>Overview!$E$17</f>
        <v>0</v>
      </c>
      <c r="J213" s="52">
        <f t="shared" si="50"/>
        <v>0</v>
      </c>
      <c r="K213" s="53">
        <f>Overview!$H$17</f>
        <v>0</v>
      </c>
      <c r="L213" s="54" t="e">
        <f t="shared" si="51"/>
        <v>#DIV/0!</v>
      </c>
      <c r="M213" s="179" t="s">
        <v>4369</v>
      </c>
      <c r="N213" s="179" t="s">
        <v>1406</v>
      </c>
      <c r="O213" s="141">
        <f t="shared" si="52"/>
        <v>0</v>
      </c>
      <c r="P213" s="181" t="b">
        <f>COUNTIF('Facility Data'!$A$1:$A$1500,"*"&amp;A213&amp;"*")&gt;0</f>
        <v>1</v>
      </c>
      <c r="Q213" s="181" t="b">
        <f>COUNTIF('Account Data'!$A$1:$A$1000,"*"&amp;A213&amp;"*")&gt;0</f>
        <v>0</v>
      </c>
      <c r="R213" s="182" t="b">
        <f t="shared" si="53"/>
        <v>1</v>
      </c>
      <c r="S213" s="182" t="b">
        <f t="shared" si="54"/>
        <v>0</v>
      </c>
      <c r="T213" s="181" t="b">
        <f>COUNTIF('New Items'!$A$1:$A$175,A213)&gt;0</f>
        <v>0</v>
      </c>
      <c r="U213" s="181" t="b">
        <f>COUNTIF(Discontinued!$A$1:$A$150,A213)&gt;0</f>
        <v>0</v>
      </c>
    </row>
    <row r="214" spans="1:21" s="8" customFormat="1" ht="12" thickBot="1" x14ac:dyDescent="0.25">
      <c r="A214" s="152">
        <v>10001719</v>
      </c>
      <c r="B214" s="10" t="s">
        <v>1540</v>
      </c>
      <c r="C214" s="12" t="s">
        <v>1541</v>
      </c>
      <c r="D214" s="11" t="s">
        <v>4116</v>
      </c>
      <c r="E214" s="12" t="s">
        <v>769</v>
      </c>
      <c r="F214" s="13">
        <v>1</v>
      </c>
      <c r="G214" s="22">
        <f>Overview!$B$17</f>
        <v>14</v>
      </c>
      <c r="H214" s="23">
        <f t="shared" si="49"/>
        <v>14</v>
      </c>
      <c r="I214" s="23">
        <f>Overview!$E$17</f>
        <v>0</v>
      </c>
      <c r="J214" s="52">
        <f t="shared" si="50"/>
        <v>0</v>
      </c>
      <c r="K214" s="53">
        <f>Overview!$H$17</f>
        <v>0</v>
      </c>
      <c r="L214" s="54" t="e">
        <f t="shared" si="51"/>
        <v>#DIV/0!</v>
      </c>
      <c r="M214" s="179" t="s">
        <v>953</v>
      </c>
      <c r="N214" s="179" t="s">
        <v>1406</v>
      </c>
      <c r="O214" s="141">
        <f t="shared" si="52"/>
        <v>0</v>
      </c>
      <c r="P214" s="181" t="b">
        <f>COUNTIF('Facility Data'!$A$1:$A$1500,"*"&amp;A214&amp;"*")&gt;0</f>
        <v>0</v>
      </c>
      <c r="Q214" s="181" t="b">
        <f>COUNTIF('Account Data'!$A$1:$A$1000,"*"&amp;A214&amp;"*")&gt;0</f>
        <v>0</v>
      </c>
      <c r="R214" s="182" t="b">
        <f t="shared" si="53"/>
        <v>0</v>
      </c>
      <c r="S214" s="182" t="b">
        <f t="shared" si="54"/>
        <v>0</v>
      </c>
      <c r="T214" s="181" t="b">
        <f>COUNTIF('New Items'!$A$1:$A$175,A214)&gt;0</f>
        <v>0</v>
      </c>
      <c r="U214" s="181" t="b">
        <f>COUNTIF(Discontinued!$A$1:$A$150,A214)&gt;0</f>
        <v>0</v>
      </c>
    </row>
    <row r="215" spans="1:21" s="8" customFormat="1" ht="13.5" thickBot="1" x14ac:dyDescent="0.25">
      <c r="A215" s="300" t="s">
        <v>1397</v>
      </c>
      <c r="B215" s="301"/>
      <c r="C215" s="301"/>
      <c r="D215" s="301"/>
      <c r="E215" s="301"/>
      <c r="F215" s="301"/>
      <c r="G215" s="301"/>
      <c r="H215" s="301"/>
      <c r="I215" s="301"/>
      <c r="J215" s="301"/>
      <c r="K215" s="301"/>
      <c r="L215" s="302"/>
      <c r="M215" s="179"/>
      <c r="N215" s="179" t="s">
        <v>1398</v>
      </c>
      <c r="O215" s="141">
        <f>AVERAGE(O216:O222)</f>
        <v>0</v>
      </c>
      <c r="P215" s="181" t="b">
        <f>COUNTIF(P216:P222,TRUE)&gt;0</f>
        <v>1</v>
      </c>
      <c r="Q215" s="181" t="b">
        <f>COUNTIF(Q216:Q222,TRUE)&gt;0</f>
        <v>0</v>
      </c>
      <c r="R215" s="181" t="b">
        <f>COUNTIF(R216:R222,TRUE)&gt;0</f>
        <v>1</v>
      </c>
      <c r="S215" s="181" t="b">
        <f>COUNTIF(S216:S222,TRUE)&gt;0</f>
        <v>0</v>
      </c>
      <c r="T215" s="181" t="b">
        <f>COUNTIF(T216:T222,TRUE)&gt;0</f>
        <v>0</v>
      </c>
      <c r="U215" s="249"/>
    </row>
    <row r="216" spans="1:21" s="8" customFormat="1" ht="11.25" x14ac:dyDescent="0.2">
      <c r="A216" s="152">
        <v>10001614</v>
      </c>
      <c r="B216" s="10" t="s">
        <v>1515</v>
      </c>
      <c r="C216" s="12" t="s">
        <v>1516</v>
      </c>
      <c r="D216" s="11" t="s">
        <v>643</v>
      </c>
      <c r="E216" s="12" t="s">
        <v>769</v>
      </c>
      <c r="F216" s="13">
        <v>1</v>
      </c>
      <c r="G216" s="22">
        <f>Overview!$B$18</f>
        <v>21</v>
      </c>
      <c r="H216" s="23">
        <f t="shared" ref="H216:H222" si="55">G216-I216</f>
        <v>21</v>
      </c>
      <c r="I216" s="23">
        <f>Overview!$E$18</f>
        <v>0</v>
      </c>
      <c r="J216" s="52">
        <f t="shared" ref="J216:J222" si="56">I216/F216</f>
        <v>0</v>
      </c>
      <c r="K216" s="53">
        <f>Overview!$H$18</f>
        <v>0</v>
      </c>
      <c r="L216" s="54" t="e">
        <f t="shared" ref="L216:L222" si="57">(K216-J216)/K216</f>
        <v>#DIV/0!</v>
      </c>
      <c r="M216" s="179"/>
      <c r="N216" s="179" t="s">
        <v>1398</v>
      </c>
      <c r="O216" s="141">
        <f t="shared" ref="O216:O222" si="58">I216</f>
        <v>0</v>
      </c>
      <c r="P216" s="181" t="b">
        <f>COUNTIF('Facility Data'!$A$1:$A$1500,"*"&amp;A216&amp;"*")&gt;0</f>
        <v>0</v>
      </c>
      <c r="Q216" s="181" t="b">
        <f>COUNTIF('Account Data'!$A$1:$A$1000,"*"&amp;A216&amp;"*")&gt;0</f>
        <v>0</v>
      </c>
      <c r="R216" s="182" t="b">
        <f t="shared" ref="R216:R222" si="59">IF(OR(P216=TRUE,T216=TRUE),TRUE,FALSE)</f>
        <v>0</v>
      </c>
      <c r="S216" s="182" t="b">
        <f t="shared" ref="S216:S222" si="60">IF(OR(Q216=TRUE,T216=TRUE),TRUE,FALSE)</f>
        <v>0</v>
      </c>
      <c r="T216" s="181" t="b">
        <f>COUNTIF('New Items'!$A$1:$A$175,A216)&gt;0</f>
        <v>0</v>
      </c>
      <c r="U216" s="181" t="b">
        <f>COUNTIF(Discontinued!$A$1:$A$150,A216)&gt;0</f>
        <v>0</v>
      </c>
    </row>
    <row r="217" spans="1:21" s="8" customFormat="1" ht="11.25" x14ac:dyDescent="0.2">
      <c r="A217" s="152">
        <v>10097659</v>
      </c>
      <c r="B217" s="10" t="s">
        <v>1403</v>
      </c>
      <c r="C217" s="12" t="s">
        <v>1404</v>
      </c>
      <c r="D217" s="11" t="s">
        <v>640</v>
      </c>
      <c r="E217" s="12" t="s">
        <v>769</v>
      </c>
      <c r="F217" s="13">
        <v>1</v>
      </c>
      <c r="G217" s="22">
        <f>Overview!$B$18</f>
        <v>21</v>
      </c>
      <c r="H217" s="23">
        <f t="shared" si="55"/>
        <v>21</v>
      </c>
      <c r="I217" s="23">
        <f>Overview!$E$18</f>
        <v>0</v>
      </c>
      <c r="J217" s="52">
        <f t="shared" si="56"/>
        <v>0</v>
      </c>
      <c r="K217" s="53">
        <f>Overview!$H$18</f>
        <v>0</v>
      </c>
      <c r="L217" s="54" t="e">
        <f t="shared" si="57"/>
        <v>#DIV/0!</v>
      </c>
      <c r="M217" s="179"/>
      <c r="N217" s="179" t="s">
        <v>1398</v>
      </c>
      <c r="O217" s="141">
        <f t="shared" si="58"/>
        <v>0</v>
      </c>
      <c r="P217" s="181" t="b">
        <f>COUNTIF('Facility Data'!$A$1:$A$1500,"*"&amp;A217&amp;"*")&gt;0</f>
        <v>1</v>
      </c>
      <c r="Q217" s="181" t="b">
        <f>COUNTIF('Account Data'!$A$1:$A$1000,"*"&amp;A217&amp;"*")&gt;0</f>
        <v>0</v>
      </c>
      <c r="R217" s="182" t="b">
        <f t="shared" si="59"/>
        <v>1</v>
      </c>
      <c r="S217" s="182" t="b">
        <f t="shared" si="60"/>
        <v>0</v>
      </c>
      <c r="T217" s="181" t="b">
        <f>COUNTIF('New Items'!$A$1:$A$175,A217)&gt;0</f>
        <v>0</v>
      </c>
      <c r="U217" s="181" t="b">
        <f>COUNTIF(Discontinued!$A$1:$A$150,A217)&gt;0</f>
        <v>0</v>
      </c>
    </row>
    <row r="218" spans="1:21" s="8" customFormat="1" ht="11.25" x14ac:dyDescent="0.2">
      <c r="A218" s="152">
        <v>10056875</v>
      </c>
      <c r="B218" s="10" t="s">
        <v>1607</v>
      </c>
      <c r="C218" s="12" t="s">
        <v>1608</v>
      </c>
      <c r="D218" s="11" t="s">
        <v>652</v>
      </c>
      <c r="E218" s="12" t="s">
        <v>769</v>
      </c>
      <c r="F218" s="13">
        <v>1</v>
      </c>
      <c r="G218" s="22">
        <f>Overview!$B$18</f>
        <v>21</v>
      </c>
      <c r="H218" s="23">
        <f t="shared" si="55"/>
        <v>21</v>
      </c>
      <c r="I218" s="23">
        <f>Overview!$E$18</f>
        <v>0</v>
      </c>
      <c r="J218" s="52">
        <f t="shared" si="56"/>
        <v>0</v>
      </c>
      <c r="K218" s="53">
        <f>Overview!$H$18</f>
        <v>0</v>
      </c>
      <c r="L218" s="54" t="e">
        <f t="shared" si="57"/>
        <v>#DIV/0!</v>
      </c>
      <c r="M218" s="179"/>
      <c r="N218" s="179" t="s">
        <v>1398</v>
      </c>
      <c r="O218" s="141">
        <f t="shared" si="58"/>
        <v>0</v>
      </c>
      <c r="P218" s="181" t="b">
        <f>COUNTIF('Facility Data'!$A$1:$A$1500,"*"&amp;A218&amp;"*")&gt;0</f>
        <v>0</v>
      </c>
      <c r="Q218" s="181" t="b">
        <f>COUNTIF('Account Data'!$A$1:$A$1000,"*"&amp;A218&amp;"*")&gt;0</f>
        <v>0</v>
      </c>
      <c r="R218" s="182" t="b">
        <f t="shared" si="59"/>
        <v>0</v>
      </c>
      <c r="S218" s="182" t="b">
        <f t="shared" si="60"/>
        <v>0</v>
      </c>
      <c r="T218" s="181" t="b">
        <f>COUNTIF('New Items'!$A$1:$A$175,A218)&gt;0</f>
        <v>0</v>
      </c>
      <c r="U218" s="181" t="b">
        <f>COUNTIF(Discontinued!$A$1:$A$150,A218)&gt;0</f>
        <v>0</v>
      </c>
    </row>
    <row r="219" spans="1:21" s="8" customFormat="1" ht="11.25" x14ac:dyDescent="0.2">
      <c r="A219" s="152">
        <v>10001616</v>
      </c>
      <c r="B219" s="10" t="s">
        <v>1401</v>
      </c>
      <c r="C219" s="12" t="s">
        <v>1402</v>
      </c>
      <c r="D219" s="11" t="s">
        <v>631</v>
      </c>
      <c r="E219" s="12" t="s">
        <v>769</v>
      </c>
      <c r="F219" s="13">
        <v>1</v>
      </c>
      <c r="G219" s="22">
        <f>Overview!$B$18</f>
        <v>21</v>
      </c>
      <c r="H219" s="23">
        <f t="shared" si="55"/>
        <v>21</v>
      </c>
      <c r="I219" s="23">
        <f>Overview!$E$18</f>
        <v>0</v>
      </c>
      <c r="J219" s="52">
        <f t="shared" si="56"/>
        <v>0</v>
      </c>
      <c r="K219" s="53">
        <f>Overview!$H$18</f>
        <v>0</v>
      </c>
      <c r="L219" s="54" t="e">
        <f t="shared" si="57"/>
        <v>#DIV/0!</v>
      </c>
      <c r="M219" s="179" t="s">
        <v>951</v>
      </c>
      <c r="N219" s="179" t="s">
        <v>1398</v>
      </c>
      <c r="O219" s="141">
        <f t="shared" si="58"/>
        <v>0</v>
      </c>
      <c r="P219" s="181" t="b">
        <f>COUNTIF('Facility Data'!$A$1:$A$1500,"*"&amp;A219&amp;"*")&gt;0</f>
        <v>0</v>
      </c>
      <c r="Q219" s="181" t="b">
        <f>COUNTIF('Account Data'!$A$1:$A$1000,"*"&amp;A219&amp;"*")&gt;0</f>
        <v>0</v>
      </c>
      <c r="R219" s="182" t="b">
        <f t="shared" si="59"/>
        <v>0</v>
      </c>
      <c r="S219" s="182" t="b">
        <f t="shared" si="60"/>
        <v>0</v>
      </c>
      <c r="T219" s="181" t="b">
        <f>COUNTIF('New Items'!$A$1:$A$175,A219)&gt;0</f>
        <v>0</v>
      </c>
      <c r="U219" s="181" t="b">
        <f>COUNTIF(Discontinued!$A$1:$A$150,A219)&gt;0</f>
        <v>0</v>
      </c>
    </row>
    <row r="220" spans="1:21" s="8" customFormat="1" ht="11.25" x14ac:dyDescent="0.2">
      <c r="A220" s="152">
        <v>10001615</v>
      </c>
      <c r="B220" s="10" t="s">
        <v>1399</v>
      </c>
      <c r="C220" s="12" t="s">
        <v>1400</v>
      </c>
      <c r="D220" s="11" t="s">
        <v>629</v>
      </c>
      <c r="E220" s="12" t="s">
        <v>769</v>
      </c>
      <c r="F220" s="13">
        <v>1</v>
      </c>
      <c r="G220" s="22">
        <f>Overview!$B$18</f>
        <v>21</v>
      </c>
      <c r="H220" s="23">
        <f t="shared" si="55"/>
        <v>21</v>
      </c>
      <c r="I220" s="23">
        <f>Overview!$E$18</f>
        <v>0</v>
      </c>
      <c r="J220" s="52">
        <f t="shared" si="56"/>
        <v>0</v>
      </c>
      <c r="K220" s="53">
        <f>Overview!$H$18</f>
        <v>0</v>
      </c>
      <c r="L220" s="54" t="e">
        <f t="shared" si="57"/>
        <v>#DIV/0!</v>
      </c>
      <c r="M220" s="179" t="s">
        <v>951</v>
      </c>
      <c r="N220" s="179" t="s">
        <v>1398</v>
      </c>
      <c r="O220" s="141">
        <f t="shared" si="58"/>
        <v>0</v>
      </c>
      <c r="P220" s="181" t="b">
        <f>COUNTIF('Facility Data'!$A$1:$A$1500,"*"&amp;A220&amp;"*")&gt;0</f>
        <v>0</v>
      </c>
      <c r="Q220" s="181" t="b">
        <f>COUNTIF('Account Data'!$A$1:$A$1000,"*"&amp;A220&amp;"*")&gt;0</f>
        <v>0</v>
      </c>
      <c r="R220" s="182" t="b">
        <f t="shared" si="59"/>
        <v>0</v>
      </c>
      <c r="S220" s="182" t="b">
        <f t="shared" si="60"/>
        <v>0</v>
      </c>
      <c r="T220" s="181" t="b">
        <f>COUNTIF('New Items'!$A$1:$A$175,A220)&gt;0</f>
        <v>0</v>
      </c>
      <c r="U220" s="181" t="b">
        <f>COUNTIF(Discontinued!$A$1:$A$150,A220)&gt;0</f>
        <v>0</v>
      </c>
    </row>
    <row r="221" spans="1:21" s="8" customFormat="1" ht="11.25" x14ac:dyDescent="0.2">
      <c r="A221" s="152">
        <v>10002746</v>
      </c>
      <c r="B221" s="10" t="s">
        <v>1714</v>
      </c>
      <c r="C221" s="12" t="s">
        <v>1715</v>
      </c>
      <c r="D221" s="11" t="s">
        <v>636</v>
      </c>
      <c r="E221" s="12" t="s">
        <v>769</v>
      </c>
      <c r="F221" s="13">
        <v>1</v>
      </c>
      <c r="G221" s="22">
        <f>Overview!$B$18</f>
        <v>21</v>
      </c>
      <c r="H221" s="23">
        <f t="shared" si="55"/>
        <v>21</v>
      </c>
      <c r="I221" s="23">
        <f>Overview!$E$18</f>
        <v>0</v>
      </c>
      <c r="J221" s="52">
        <f t="shared" si="56"/>
        <v>0</v>
      </c>
      <c r="K221" s="53">
        <f>Overview!$H$18</f>
        <v>0</v>
      </c>
      <c r="L221" s="54" t="e">
        <f t="shared" si="57"/>
        <v>#DIV/0!</v>
      </c>
      <c r="M221" s="179" t="s">
        <v>4370</v>
      </c>
      <c r="N221" s="179" t="s">
        <v>1398</v>
      </c>
      <c r="O221" s="141">
        <f t="shared" si="58"/>
        <v>0</v>
      </c>
      <c r="P221" s="181" t="b">
        <f>COUNTIF('Facility Data'!$A$1:$A$1500,"*"&amp;A221&amp;"*")&gt;0</f>
        <v>0</v>
      </c>
      <c r="Q221" s="181" t="b">
        <f>COUNTIF('Account Data'!$A$1:$A$1000,"*"&amp;A221&amp;"*")&gt;0</f>
        <v>0</v>
      </c>
      <c r="R221" s="182" t="b">
        <f t="shared" si="59"/>
        <v>0</v>
      </c>
      <c r="S221" s="182" t="b">
        <f t="shared" si="60"/>
        <v>0</v>
      </c>
      <c r="T221" s="181" t="b">
        <f>COUNTIF('New Items'!$A$1:$A$175,A221)&gt;0</f>
        <v>0</v>
      </c>
      <c r="U221" s="181" t="b">
        <f>COUNTIF(Discontinued!$A$1:$A$150,A221)&gt;0</f>
        <v>0</v>
      </c>
    </row>
    <row r="222" spans="1:21" s="8" customFormat="1" ht="12" thickBot="1" x14ac:dyDescent="0.25">
      <c r="A222" s="152">
        <v>10001617</v>
      </c>
      <c r="B222" s="10" t="s">
        <v>1712</v>
      </c>
      <c r="C222" s="12" t="s">
        <v>1713</v>
      </c>
      <c r="D222" s="11" t="s">
        <v>650</v>
      </c>
      <c r="E222" s="12" t="s">
        <v>769</v>
      </c>
      <c r="F222" s="13">
        <v>1</v>
      </c>
      <c r="G222" s="22">
        <f>Overview!$B$18</f>
        <v>21</v>
      </c>
      <c r="H222" s="23">
        <f t="shared" si="55"/>
        <v>21</v>
      </c>
      <c r="I222" s="23">
        <f>Overview!$E$18</f>
        <v>0</v>
      </c>
      <c r="J222" s="52">
        <f t="shared" si="56"/>
        <v>0</v>
      </c>
      <c r="K222" s="53">
        <f>Overview!$H$18</f>
        <v>0</v>
      </c>
      <c r="L222" s="54" t="e">
        <f t="shared" si="57"/>
        <v>#DIV/0!</v>
      </c>
      <c r="M222" s="179" t="s">
        <v>4369</v>
      </c>
      <c r="N222" s="179" t="s">
        <v>1398</v>
      </c>
      <c r="O222" s="141">
        <f t="shared" si="58"/>
        <v>0</v>
      </c>
      <c r="P222" s="181" t="b">
        <f>COUNTIF('Facility Data'!$A$1:$A$1500,"*"&amp;A222&amp;"*")&gt;0</f>
        <v>0</v>
      </c>
      <c r="Q222" s="181" t="b">
        <f>COUNTIF('Account Data'!$A$1:$A$1000,"*"&amp;A222&amp;"*")&gt;0</f>
        <v>0</v>
      </c>
      <c r="R222" s="182" t="b">
        <f t="shared" si="59"/>
        <v>0</v>
      </c>
      <c r="S222" s="182" t="b">
        <f t="shared" si="60"/>
        <v>0</v>
      </c>
      <c r="T222" s="181" t="b">
        <f>COUNTIF('New Items'!$A$1:$A$175,A222)&gt;0</f>
        <v>0</v>
      </c>
      <c r="U222" s="181" t="b">
        <f>COUNTIF(Discontinued!$A$1:$A$150,A222)&gt;0</f>
        <v>0</v>
      </c>
    </row>
    <row r="223" spans="1:21" s="8" customFormat="1" ht="13.5" thickBot="1" x14ac:dyDescent="0.25">
      <c r="A223" s="300" t="s">
        <v>287</v>
      </c>
      <c r="B223" s="301"/>
      <c r="C223" s="301"/>
      <c r="D223" s="301"/>
      <c r="E223" s="301"/>
      <c r="F223" s="301"/>
      <c r="G223" s="301"/>
      <c r="H223" s="301"/>
      <c r="I223" s="301"/>
      <c r="J223" s="301"/>
      <c r="K223" s="301"/>
      <c r="L223" s="302"/>
      <c r="M223" s="179"/>
      <c r="N223" s="179" t="s">
        <v>3138</v>
      </c>
      <c r="O223" s="141">
        <f>AVERAGE(O224:O243)</f>
        <v>0</v>
      </c>
      <c r="P223" s="181" t="b">
        <f>COUNTIF(P224:P243,TRUE)&gt;0</f>
        <v>1</v>
      </c>
      <c r="Q223" s="181" t="b">
        <f>COUNTIF(Q224:Q243,TRUE)&gt;0</f>
        <v>1</v>
      </c>
      <c r="R223" s="181" t="b">
        <f>COUNTIF(R224:R243,TRUE)&gt;0</f>
        <v>1</v>
      </c>
      <c r="S223" s="181" t="b">
        <f>COUNTIF(S224:S243,TRUE)&gt;0</f>
        <v>1</v>
      </c>
      <c r="T223" s="181" t="b">
        <f>COUNTIF(T224:T243,TRUE)&gt;0</f>
        <v>0</v>
      </c>
      <c r="U223" s="249"/>
    </row>
    <row r="224" spans="1:21" s="8" customFormat="1" ht="11.25" x14ac:dyDescent="0.2">
      <c r="A224" s="152">
        <v>10002282</v>
      </c>
      <c r="B224" s="10" t="s">
        <v>292</v>
      </c>
      <c r="C224" s="12" t="s">
        <v>293</v>
      </c>
      <c r="D224" s="11" t="s">
        <v>643</v>
      </c>
      <c r="E224" s="12" t="s">
        <v>769</v>
      </c>
      <c r="F224" s="13">
        <v>3</v>
      </c>
      <c r="G224" s="22">
        <f>Overview!$B$20</f>
        <v>18</v>
      </c>
      <c r="H224" s="114">
        <f t="shared" ref="H224:H243" si="61">G224-I224</f>
        <v>18</v>
      </c>
      <c r="I224" s="114">
        <f>Overview!$E$20</f>
        <v>0</v>
      </c>
      <c r="J224" s="115">
        <f t="shared" ref="J224:J243" si="62">I224/F224</f>
        <v>0</v>
      </c>
      <c r="K224" s="116">
        <f>Overview!$H$20</f>
        <v>0</v>
      </c>
      <c r="L224" s="117" t="e">
        <f t="shared" ref="L224:L243" si="63">(K224-J224)/K224</f>
        <v>#DIV/0!</v>
      </c>
      <c r="M224" s="179"/>
      <c r="N224" s="179" t="s">
        <v>3138</v>
      </c>
      <c r="O224" s="141">
        <f t="shared" ref="O224:O243" si="64">I224</f>
        <v>0</v>
      </c>
      <c r="P224" s="181" t="b">
        <f>COUNTIF('Facility Data'!$A$1:$A$1500,"*"&amp;A224&amp;"*")&gt;0</f>
        <v>1</v>
      </c>
      <c r="Q224" s="181" t="b">
        <f>COUNTIF('Account Data'!$A$1:$A$1000,"*"&amp;A224&amp;"*")&gt;0</f>
        <v>1</v>
      </c>
      <c r="R224" s="182" t="b">
        <f t="shared" ref="R224:R243" si="65">IF(OR(P224=TRUE,T224=TRUE),TRUE,FALSE)</f>
        <v>1</v>
      </c>
      <c r="S224" s="182" t="b">
        <f t="shared" ref="S224:S243" si="66">IF(OR(Q224=TRUE,T224=TRUE),TRUE,FALSE)</f>
        <v>1</v>
      </c>
      <c r="T224" s="181" t="b">
        <f>COUNTIF('New Items'!$A$1:$A$175,A224)&gt;0</f>
        <v>0</v>
      </c>
      <c r="U224" s="181" t="b">
        <f>COUNTIF(Discontinued!$A$1:$A$150,A224)&gt;0</f>
        <v>0</v>
      </c>
    </row>
    <row r="225" spans="1:21" s="8" customFormat="1" ht="11.25" x14ac:dyDescent="0.2">
      <c r="A225" s="152">
        <v>10120327</v>
      </c>
      <c r="B225" s="10" t="s">
        <v>2859</v>
      </c>
      <c r="C225" s="12" t="s">
        <v>293</v>
      </c>
      <c r="D225" s="11" t="s">
        <v>2861</v>
      </c>
      <c r="E225" s="12" t="s">
        <v>769</v>
      </c>
      <c r="F225" s="13">
        <v>3</v>
      </c>
      <c r="G225" s="22">
        <f>Overview!$B$20</f>
        <v>18</v>
      </c>
      <c r="H225" s="114">
        <f t="shared" si="61"/>
        <v>18</v>
      </c>
      <c r="I225" s="114">
        <f>Overview!$E$20</f>
        <v>0</v>
      </c>
      <c r="J225" s="115">
        <f t="shared" si="62"/>
        <v>0</v>
      </c>
      <c r="K225" s="116">
        <f>Overview!$H$20</f>
        <v>0</v>
      </c>
      <c r="L225" s="117" t="e">
        <f t="shared" si="63"/>
        <v>#DIV/0!</v>
      </c>
      <c r="M225" s="179" t="s">
        <v>1000</v>
      </c>
      <c r="N225" s="179" t="s">
        <v>3138</v>
      </c>
      <c r="O225" s="141">
        <f t="shared" si="64"/>
        <v>0</v>
      </c>
      <c r="P225" s="181" t="b">
        <f>COUNTIF('Facility Data'!$A$1:$A$1500,"*"&amp;A225&amp;"*")&gt;0</f>
        <v>0</v>
      </c>
      <c r="Q225" s="181" t="b">
        <f>COUNTIF('Account Data'!$A$1:$A$1000,"*"&amp;A225&amp;"*")&gt;0</f>
        <v>0</v>
      </c>
      <c r="R225" s="182" t="b">
        <f t="shared" si="65"/>
        <v>0</v>
      </c>
      <c r="S225" s="182" t="b">
        <f t="shared" si="66"/>
        <v>0</v>
      </c>
      <c r="T225" s="181" t="b">
        <f>COUNTIF('New Items'!$A$1:$A$175,A225)&gt;0</f>
        <v>0</v>
      </c>
      <c r="U225" s="181" t="b">
        <f>COUNTIF(Discontinued!$A$1:$A$150,A225)&gt;0</f>
        <v>0</v>
      </c>
    </row>
    <row r="226" spans="1:21" s="8" customFormat="1" ht="11.25" x14ac:dyDescent="0.2">
      <c r="A226" s="152">
        <v>10002283</v>
      </c>
      <c r="B226" s="10" t="s">
        <v>4765</v>
      </c>
      <c r="C226" s="12" t="s">
        <v>295</v>
      </c>
      <c r="D226" s="11" t="s">
        <v>4733</v>
      </c>
      <c r="E226" s="12" t="s">
        <v>769</v>
      </c>
      <c r="F226" s="13">
        <v>3</v>
      </c>
      <c r="G226" s="22">
        <f>Overview!$B$20</f>
        <v>18</v>
      </c>
      <c r="H226" s="114">
        <f>G226-I226</f>
        <v>18</v>
      </c>
      <c r="I226" s="114">
        <f>Overview!$E$20</f>
        <v>0</v>
      </c>
      <c r="J226" s="115">
        <f>I226/F226</f>
        <v>0</v>
      </c>
      <c r="K226" s="116">
        <f>Overview!$H$20</f>
        <v>0</v>
      </c>
      <c r="L226" s="117" t="e">
        <f>(K226-J226)/K226</f>
        <v>#DIV/0!</v>
      </c>
      <c r="M226" s="179"/>
      <c r="N226" s="179" t="s">
        <v>3138</v>
      </c>
      <c r="O226" s="141">
        <f>I226</f>
        <v>0</v>
      </c>
      <c r="P226" s="181" t="b">
        <f>COUNTIF('Facility Data'!$A$1:$A$1500,"*"&amp;A226&amp;"*")&gt;0</f>
        <v>1</v>
      </c>
      <c r="Q226" s="181" t="b">
        <f>COUNTIF('Account Data'!$A$1:$A$1000,"*"&amp;A226&amp;"*")&gt;0</f>
        <v>1</v>
      </c>
      <c r="R226" s="182" t="b">
        <f>IF(OR(P226=TRUE,T226=TRUE),TRUE,FALSE)</f>
        <v>1</v>
      </c>
      <c r="S226" s="182" t="b">
        <f>IF(OR(Q226=TRUE,T226=TRUE),TRUE,FALSE)</f>
        <v>1</v>
      </c>
      <c r="T226" s="181" t="b">
        <f>COUNTIF('New Items'!$A$1:$A$175,A226)&gt;0</f>
        <v>0</v>
      </c>
      <c r="U226" s="181" t="b">
        <f>COUNTIF(Discontinued!$A$1:$A$150,A226)&gt;0</f>
        <v>0</v>
      </c>
    </row>
    <row r="227" spans="1:21" s="8" customFormat="1" ht="11.25" x14ac:dyDescent="0.2">
      <c r="A227" s="152">
        <v>10120323</v>
      </c>
      <c r="B227" s="10" t="s">
        <v>4793</v>
      </c>
      <c r="C227" s="12" t="s">
        <v>295</v>
      </c>
      <c r="D227" s="11" t="s">
        <v>4794</v>
      </c>
      <c r="E227" s="12" t="s">
        <v>769</v>
      </c>
      <c r="F227" s="13">
        <v>3</v>
      </c>
      <c r="G227" s="22">
        <f>Overview!$B$20</f>
        <v>18</v>
      </c>
      <c r="H227" s="114">
        <f>G227-I227</f>
        <v>18</v>
      </c>
      <c r="I227" s="114">
        <f>Overview!$E$20</f>
        <v>0</v>
      </c>
      <c r="J227" s="115">
        <f>I227/F227</f>
        <v>0</v>
      </c>
      <c r="K227" s="116">
        <f>Overview!$H$20</f>
        <v>0</v>
      </c>
      <c r="L227" s="117" t="e">
        <f>(K227-J227)/K227</f>
        <v>#DIV/0!</v>
      </c>
      <c r="M227" s="179" t="s">
        <v>1000</v>
      </c>
      <c r="N227" s="179" t="s">
        <v>3138</v>
      </c>
      <c r="O227" s="141">
        <f>I227</f>
        <v>0</v>
      </c>
      <c r="P227" s="181" t="b">
        <f>COUNTIF('Facility Data'!$A$1:$A$1500,"*"&amp;A227&amp;"*")&gt;0</f>
        <v>0</v>
      </c>
      <c r="Q227" s="181" t="b">
        <f>COUNTIF('Account Data'!$A$1:$A$1000,"*"&amp;A227&amp;"*")&gt;0</f>
        <v>0</v>
      </c>
      <c r="R227" s="182" t="b">
        <f>IF(OR(P227=TRUE,T227=TRUE),TRUE,FALSE)</f>
        <v>0</v>
      </c>
      <c r="S227" s="182" t="b">
        <f>IF(OR(Q227=TRUE,T227=TRUE),TRUE,FALSE)</f>
        <v>0</v>
      </c>
      <c r="T227" s="181" t="b">
        <f>COUNTIF('New Items'!$A$1:$A$175,A227)&gt;0</f>
        <v>0</v>
      </c>
      <c r="U227" s="181" t="b">
        <f>COUNTIF(Discontinued!$A$1:$A$150,A227)&gt;0</f>
        <v>0</v>
      </c>
    </row>
    <row r="228" spans="1:21" s="8" customFormat="1" ht="11.25" x14ac:dyDescent="0.2">
      <c r="A228" s="152">
        <v>10002281</v>
      </c>
      <c r="B228" s="10" t="s">
        <v>296</v>
      </c>
      <c r="C228" s="12" t="s">
        <v>297</v>
      </c>
      <c r="D228" s="11" t="s">
        <v>645</v>
      </c>
      <c r="E228" s="12" t="s">
        <v>769</v>
      </c>
      <c r="F228" s="13">
        <v>3</v>
      </c>
      <c r="G228" s="22">
        <f>Overview!$B$20</f>
        <v>18</v>
      </c>
      <c r="H228" s="114">
        <f t="shared" si="61"/>
        <v>18</v>
      </c>
      <c r="I228" s="114">
        <f>Overview!$E$20</f>
        <v>0</v>
      </c>
      <c r="J228" s="115">
        <f t="shared" si="62"/>
        <v>0</v>
      </c>
      <c r="K228" s="116">
        <f>Overview!$H$20</f>
        <v>0</v>
      </c>
      <c r="L228" s="117" t="e">
        <f t="shared" si="63"/>
        <v>#DIV/0!</v>
      </c>
      <c r="M228" s="179" t="s">
        <v>4406</v>
      </c>
      <c r="N228" s="179" t="s">
        <v>3138</v>
      </c>
      <c r="O228" s="141">
        <f t="shared" si="64"/>
        <v>0</v>
      </c>
      <c r="P228" s="181" t="b">
        <f>COUNTIF('Facility Data'!$A$1:$A$1500,"*"&amp;A228&amp;"*")&gt;0</f>
        <v>1</v>
      </c>
      <c r="Q228" s="181" t="b">
        <f>COUNTIF('Account Data'!$A$1:$A$1000,"*"&amp;A228&amp;"*")&gt;0</f>
        <v>0</v>
      </c>
      <c r="R228" s="182" t="b">
        <f t="shared" si="65"/>
        <v>1</v>
      </c>
      <c r="S228" s="182" t="b">
        <f t="shared" si="66"/>
        <v>0</v>
      </c>
      <c r="T228" s="181" t="b">
        <f>COUNTIF('New Items'!$A$1:$A$175,A228)&gt;0</f>
        <v>0</v>
      </c>
      <c r="U228" s="181" t="b">
        <f>COUNTIF(Discontinued!$A$1:$A$150,A228)&gt;0</f>
        <v>0</v>
      </c>
    </row>
    <row r="229" spans="1:21" s="8" customFormat="1" ht="11.25" x14ac:dyDescent="0.2">
      <c r="A229" s="152">
        <v>10089655</v>
      </c>
      <c r="B229" s="10" t="s">
        <v>4766</v>
      </c>
      <c r="C229" s="12" t="s">
        <v>299</v>
      </c>
      <c r="D229" s="11" t="s">
        <v>4735</v>
      </c>
      <c r="E229" s="12" t="s">
        <v>769</v>
      </c>
      <c r="F229" s="13">
        <v>3</v>
      </c>
      <c r="G229" s="22">
        <f>Overview!$B$20</f>
        <v>18</v>
      </c>
      <c r="H229" s="114">
        <f>G229-I229</f>
        <v>18</v>
      </c>
      <c r="I229" s="114">
        <f>Overview!$E$20</f>
        <v>0</v>
      </c>
      <c r="J229" s="115">
        <f>I229/F229</f>
        <v>0</v>
      </c>
      <c r="K229" s="116">
        <f>Overview!$H$20</f>
        <v>0</v>
      </c>
      <c r="L229" s="117" t="e">
        <f>(K229-J229)/K229</f>
        <v>#DIV/0!</v>
      </c>
      <c r="M229" s="179" t="s">
        <v>4406</v>
      </c>
      <c r="N229" s="179" t="s">
        <v>3138</v>
      </c>
      <c r="O229" s="141">
        <f>I229</f>
        <v>0</v>
      </c>
      <c r="P229" s="181" t="b">
        <f>COUNTIF('Facility Data'!$A$1:$A$1500,"*"&amp;A229&amp;"*")&gt;0</f>
        <v>0</v>
      </c>
      <c r="Q229" s="181" t="b">
        <f>COUNTIF('Account Data'!$A$1:$A$1000,"*"&amp;A229&amp;"*")&gt;0</f>
        <v>0</v>
      </c>
      <c r="R229" s="182" t="b">
        <f>IF(OR(P229=TRUE,T229=TRUE),TRUE,FALSE)</f>
        <v>0</v>
      </c>
      <c r="S229" s="182" t="b">
        <f>IF(OR(Q229=TRUE,T229=TRUE),TRUE,FALSE)</f>
        <v>0</v>
      </c>
      <c r="T229" s="181" t="b">
        <f>COUNTIF('New Items'!$A$1:$A$175,A229)&gt;0</f>
        <v>0</v>
      </c>
      <c r="U229" s="181" t="b">
        <f>COUNTIF(Discontinued!$A$1:$A$150,A229)&gt;0</f>
        <v>0</v>
      </c>
    </row>
    <row r="230" spans="1:21" s="8" customFormat="1" ht="11.25" x14ac:dyDescent="0.2">
      <c r="A230" s="152">
        <v>10002284</v>
      </c>
      <c r="B230" s="10" t="s">
        <v>1437</v>
      </c>
      <c r="C230" s="12" t="s">
        <v>1438</v>
      </c>
      <c r="D230" s="11" t="s">
        <v>640</v>
      </c>
      <c r="E230" s="12" t="s">
        <v>769</v>
      </c>
      <c r="F230" s="13">
        <v>3</v>
      </c>
      <c r="G230" s="22">
        <f>Overview!$B$20</f>
        <v>18</v>
      </c>
      <c r="H230" s="114">
        <f t="shared" si="61"/>
        <v>18</v>
      </c>
      <c r="I230" s="114">
        <f>Overview!$E$20</f>
        <v>0</v>
      </c>
      <c r="J230" s="115">
        <f t="shared" si="62"/>
        <v>0</v>
      </c>
      <c r="K230" s="116">
        <f>Overview!$H$20</f>
        <v>0</v>
      </c>
      <c r="L230" s="117" t="e">
        <f t="shared" si="63"/>
        <v>#DIV/0!</v>
      </c>
      <c r="M230" s="179"/>
      <c r="N230" s="179" t="s">
        <v>3138</v>
      </c>
      <c r="O230" s="141">
        <f t="shared" si="64"/>
        <v>0</v>
      </c>
      <c r="P230" s="181" t="b">
        <f>COUNTIF('Facility Data'!$A$1:$A$1500,"*"&amp;A230&amp;"*")&gt;0</f>
        <v>1</v>
      </c>
      <c r="Q230" s="181" t="b">
        <f>COUNTIF('Account Data'!$A$1:$A$1000,"*"&amp;A230&amp;"*")&gt;0</f>
        <v>0</v>
      </c>
      <c r="R230" s="182" t="b">
        <f t="shared" si="65"/>
        <v>1</v>
      </c>
      <c r="S230" s="182" t="b">
        <f t="shared" si="66"/>
        <v>0</v>
      </c>
      <c r="T230" s="181" t="b">
        <f>COUNTIF('New Items'!$A$1:$A$175,A230)&gt;0</f>
        <v>0</v>
      </c>
      <c r="U230" s="181" t="b">
        <f>COUNTIF(Discontinued!$A$1:$A$150,A230)&gt;0</f>
        <v>0</v>
      </c>
    </row>
    <row r="231" spans="1:21" s="8" customFormat="1" ht="11.25" x14ac:dyDescent="0.2">
      <c r="A231" s="152">
        <v>10045978</v>
      </c>
      <c r="B231" s="10" t="s">
        <v>302</v>
      </c>
      <c r="C231" s="12" t="s">
        <v>303</v>
      </c>
      <c r="D231" s="11" t="s">
        <v>652</v>
      </c>
      <c r="E231" s="12" t="s">
        <v>769</v>
      </c>
      <c r="F231" s="13">
        <v>3</v>
      </c>
      <c r="G231" s="22">
        <f>Overview!$B$20</f>
        <v>18</v>
      </c>
      <c r="H231" s="114">
        <f t="shared" si="61"/>
        <v>18</v>
      </c>
      <c r="I231" s="114">
        <f>Overview!$E$20</f>
        <v>0</v>
      </c>
      <c r="J231" s="115">
        <f t="shared" si="62"/>
        <v>0</v>
      </c>
      <c r="K231" s="116">
        <f>Overview!$H$20</f>
        <v>0</v>
      </c>
      <c r="L231" s="117" t="e">
        <f t="shared" si="63"/>
        <v>#DIV/0!</v>
      </c>
      <c r="M231" s="179"/>
      <c r="N231" s="179" t="s">
        <v>3138</v>
      </c>
      <c r="O231" s="141">
        <f t="shared" si="64"/>
        <v>0</v>
      </c>
      <c r="P231" s="181" t="b">
        <f>COUNTIF('Facility Data'!$A$1:$A$1500,"*"&amp;A231&amp;"*")&gt;0</f>
        <v>1</v>
      </c>
      <c r="Q231" s="181" t="b">
        <f>COUNTIF('Account Data'!$A$1:$A$1000,"*"&amp;A231&amp;"*")&gt;0</f>
        <v>1</v>
      </c>
      <c r="R231" s="182" t="b">
        <f t="shared" si="65"/>
        <v>1</v>
      </c>
      <c r="S231" s="182" t="b">
        <f t="shared" si="66"/>
        <v>1</v>
      </c>
      <c r="T231" s="181" t="b">
        <f>COUNTIF('New Items'!$A$1:$A$175,A231)&gt;0</f>
        <v>0</v>
      </c>
      <c r="U231" s="181" t="b">
        <f>COUNTIF(Discontinued!$A$1:$A$150,A231)&gt;0</f>
        <v>0</v>
      </c>
    </row>
    <row r="232" spans="1:21" s="8" customFormat="1" ht="11.25" x14ac:dyDescent="0.2">
      <c r="A232" s="152">
        <v>10120326</v>
      </c>
      <c r="B232" s="10" t="s">
        <v>2929</v>
      </c>
      <c r="C232" s="12" t="s">
        <v>303</v>
      </c>
      <c r="D232" s="11" t="s">
        <v>2930</v>
      </c>
      <c r="E232" s="12" t="s">
        <v>769</v>
      </c>
      <c r="F232" s="13">
        <v>3</v>
      </c>
      <c r="G232" s="22">
        <f>Overview!$B$20</f>
        <v>18</v>
      </c>
      <c r="H232" s="114">
        <f t="shared" si="61"/>
        <v>18</v>
      </c>
      <c r="I232" s="114">
        <f>Overview!$E$20</f>
        <v>0</v>
      </c>
      <c r="J232" s="115">
        <f t="shared" si="62"/>
        <v>0</v>
      </c>
      <c r="K232" s="116">
        <f>Overview!$H$20</f>
        <v>0</v>
      </c>
      <c r="L232" s="117" t="e">
        <f t="shared" si="63"/>
        <v>#DIV/0!</v>
      </c>
      <c r="M232" s="179" t="s">
        <v>1000</v>
      </c>
      <c r="N232" s="179" t="s">
        <v>3138</v>
      </c>
      <c r="O232" s="141">
        <f t="shared" si="64"/>
        <v>0</v>
      </c>
      <c r="P232" s="181" t="b">
        <f>COUNTIF('Facility Data'!$A$1:$A$1500,"*"&amp;A232&amp;"*")&gt;0</f>
        <v>0</v>
      </c>
      <c r="Q232" s="181" t="b">
        <f>COUNTIF('Account Data'!$A$1:$A$1000,"*"&amp;A232&amp;"*")&gt;0</f>
        <v>0</v>
      </c>
      <c r="R232" s="182" t="b">
        <f t="shared" si="65"/>
        <v>0</v>
      </c>
      <c r="S232" s="182" t="b">
        <f t="shared" si="66"/>
        <v>0</v>
      </c>
      <c r="T232" s="181" t="b">
        <f>COUNTIF('New Items'!$A$1:$A$175,A232)&gt;0</f>
        <v>0</v>
      </c>
      <c r="U232" s="181" t="b">
        <f>COUNTIF(Discontinued!$A$1:$A$150,A232)&gt;0</f>
        <v>0</v>
      </c>
    </row>
    <row r="233" spans="1:21" s="8" customFormat="1" ht="11.25" x14ac:dyDescent="0.2">
      <c r="A233" s="152">
        <v>10083872</v>
      </c>
      <c r="B233" s="10" t="s">
        <v>4767</v>
      </c>
      <c r="C233" s="12" t="s">
        <v>2686</v>
      </c>
      <c r="D233" s="11" t="s">
        <v>4737</v>
      </c>
      <c r="E233" s="12" t="s">
        <v>769</v>
      </c>
      <c r="F233" s="13">
        <v>3</v>
      </c>
      <c r="G233" s="22">
        <f>Overview!$B$20</f>
        <v>18</v>
      </c>
      <c r="H233" s="114">
        <f t="shared" si="61"/>
        <v>18</v>
      </c>
      <c r="I233" s="114">
        <f>Overview!$E$20</f>
        <v>0</v>
      </c>
      <c r="J233" s="115">
        <f t="shared" si="62"/>
        <v>0</v>
      </c>
      <c r="K233" s="116">
        <f>Overview!$H$20</f>
        <v>0</v>
      </c>
      <c r="L233" s="117" t="e">
        <f t="shared" si="63"/>
        <v>#DIV/0!</v>
      </c>
      <c r="M233" s="179"/>
      <c r="N233" s="179" t="s">
        <v>3138</v>
      </c>
      <c r="O233" s="141">
        <f t="shared" si="64"/>
        <v>0</v>
      </c>
      <c r="P233" s="181" t="b">
        <f>COUNTIF('Facility Data'!$A$1:$A$1500,"*"&amp;A233&amp;"*")&gt;0</f>
        <v>0</v>
      </c>
      <c r="Q233" s="181" t="b">
        <f>COUNTIF('Account Data'!$A$1:$A$1000,"*"&amp;A233&amp;"*")&gt;0</f>
        <v>0</v>
      </c>
      <c r="R233" s="182" t="b">
        <f t="shared" si="65"/>
        <v>0</v>
      </c>
      <c r="S233" s="182" t="b">
        <f t="shared" si="66"/>
        <v>0</v>
      </c>
      <c r="T233" s="181" t="b">
        <f>COUNTIF('New Items'!$A$1:$A$175,A233)&gt;0</f>
        <v>0</v>
      </c>
      <c r="U233" s="181" t="b">
        <f>COUNTIF(Discontinued!$A$1:$A$150,A233)&gt;0</f>
        <v>0</v>
      </c>
    </row>
    <row r="234" spans="1:21" s="8" customFormat="1" ht="11.25" x14ac:dyDescent="0.2">
      <c r="A234" s="152">
        <v>10002280</v>
      </c>
      <c r="B234" s="10" t="s">
        <v>290</v>
      </c>
      <c r="C234" s="12" t="s">
        <v>291</v>
      </c>
      <c r="D234" s="11" t="s">
        <v>631</v>
      </c>
      <c r="E234" s="12" t="s">
        <v>769</v>
      </c>
      <c r="F234" s="13">
        <v>3</v>
      </c>
      <c r="G234" s="22">
        <f>Overview!$B$20</f>
        <v>18</v>
      </c>
      <c r="H234" s="114">
        <f t="shared" si="61"/>
        <v>18</v>
      </c>
      <c r="I234" s="114">
        <f>Overview!$E$20</f>
        <v>0</v>
      </c>
      <c r="J234" s="115">
        <f t="shared" si="62"/>
        <v>0</v>
      </c>
      <c r="K234" s="116">
        <f>Overview!$H$20</f>
        <v>0</v>
      </c>
      <c r="L234" s="117" t="e">
        <f t="shared" si="63"/>
        <v>#DIV/0!</v>
      </c>
      <c r="M234" s="179" t="s">
        <v>951</v>
      </c>
      <c r="N234" s="179" t="s">
        <v>3138</v>
      </c>
      <c r="O234" s="141">
        <f t="shared" si="64"/>
        <v>0</v>
      </c>
      <c r="P234" s="181" t="b">
        <f>COUNTIF('Facility Data'!$A$1:$A$1500,"*"&amp;A234&amp;"*")&gt;0</f>
        <v>0</v>
      </c>
      <c r="Q234" s="181" t="b">
        <f>COUNTIF('Account Data'!$A$1:$A$1000,"*"&amp;A234&amp;"*")&gt;0</f>
        <v>1</v>
      </c>
      <c r="R234" s="182" t="b">
        <f t="shared" si="65"/>
        <v>0</v>
      </c>
      <c r="S234" s="182" t="b">
        <f t="shared" si="66"/>
        <v>1</v>
      </c>
      <c r="T234" s="181" t="b">
        <f>COUNTIF('New Items'!$A$1:$A$175,A234)&gt;0</f>
        <v>0</v>
      </c>
      <c r="U234" s="181" t="b">
        <f>COUNTIF(Discontinued!$A$1:$A$150,A234)&gt;0</f>
        <v>0</v>
      </c>
    </row>
    <row r="235" spans="1:21" s="8" customFormat="1" ht="11.25" x14ac:dyDescent="0.2">
      <c r="A235" s="152">
        <v>10120324</v>
      </c>
      <c r="B235" s="10" t="s">
        <v>2950</v>
      </c>
      <c r="C235" s="12" t="s">
        <v>291</v>
      </c>
      <c r="D235" s="11" t="s">
        <v>2952</v>
      </c>
      <c r="E235" s="12" t="s">
        <v>769</v>
      </c>
      <c r="F235" s="13">
        <v>3</v>
      </c>
      <c r="G235" s="22">
        <f>Overview!$B$20</f>
        <v>18</v>
      </c>
      <c r="H235" s="114">
        <f t="shared" si="61"/>
        <v>18</v>
      </c>
      <c r="I235" s="114">
        <f>Overview!$E$20</f>
        <v>0</v>
      </c>
      <c r="J235" s="115">
        <f t="shared" si="62"/>
        <v>0</v>
      </c>
      <c r="K235" s="116">
        <f>Overview!$H$20</f>
        <v>0</v>
      </c>
      <c r="L235" s="117" t="e">
        <f t="shared" si="63"/>
        <v>#DIV/0!</v>
      </c>
      <c r="M235" s="179" t="s">
        <v>3393</v>
      </c>
      <c r="N235" s="179" t="s">
        <v>3138</v>
      </c>
      <c r="O235" s="141">
        <f t="shared" si="64"/>
        <v>0</v>
      </c>
      <c r="P235" s="181" t="b">
        <f>COUNTIF('Facility Data'!$A$1:$A$1500,"*"&amp;A235&amp;"*")&gt;0</f>
        <v>0</v>
      </c>
      <c r="Q235" s="181" t="b">
        <f>COUNTIF('Account Data'!$A$1:$A$1000,"*"&amp;A235&amp;"*")&gt;0</f>
        <v>0</v>
      </c>
      <c r="R235" s="182" t="b">
        <f t="shared" si="65"/>
        <v>0</v>
      </c>
      <c r="S235" s="182" t="b">
        <f t="shared" si="66"/>
        <v>0</v>
      </c>
      <c r="T235" s="181" t="b">
        <f>COUNTIF('New Items'!$A$1:$A$175,A235)&gt;0</f>
        <v>0</v>
      </c>
      <c r="U235" s="181" t="b">
        <f>COUNTIF(Discontinued!$A$1:$A$150,A235)&gt;0</f>
        <v>0</v>
      </c>
    </row>
    <row r="236" spans="1:21" s="8" customFormat="1" ht="11.25" x14ac:dyDescent="0.2">
      <c r="A236" s="152">
        <v>10000690</v>
      </c>
      <c r="B236" s="10" t="s">
        <v>2956</v>
      </c>
      <c r="C236" s="12" t="s">
        <v>2957</v>
      </c>
      <c r="D236" s="11" t="s">
        <v>2958</v>
      </c>
      <c r="E236" s="12" t="s">
        <v>769</v>
      </c>
      <c r="F236" s="13">
        <v>3</v>
      </c>
      <c r="G236" s="22">
        <f>Overview!$B$20</f>
        <v>18</v>
      </c>
      <c r="H236" s="114">
        <f t="shared" si="61"/>
        <v>18</v>
      </c>
      <c r="I236" s="114">
        <f>Overview!$E$20</f>
        <v>0</v>
      </c>
      <c r="J236" s="115">
        <f t="shared" si="62"/>
        <v>0</v>
      </c>
      <c r="K236" s="116">
        <f>Overview!$H$20</f>
        <v>0</v>
      </c>
      <c r="L236" s="117" t="e">
        <f t="shared" si="63"/>
        <v>#DIV/0!</v>
      </c>
      <c r="M236" s="179" t="s">
        <v>951</v>
      </c>
      <c r="N236" s="179" t="s">
        <v>3138</v>
      </c>
      <c r="O236" s="141">
        <f t="shared" si="64"/>
        <v>0</v>
      </c>
      <c r="P236" s="181" t="b">
        <f>COUNTIF('Facility Data'!$A$1:$A$1500,"*"&amp;A236&amp;"*")&gt;0</f>
        <v>0</v>
      </c>
      <c r="Q236" s="181" t="b">
        <f>COUNTIF('Account Data'!$A$1:$A$1000,"*"&amp;A236&amp;"*")&gt;0</f>
        <v>0</v>
      </c>
      <c r="R236" s="182" t="b">
        <f t="shared" si="65"/>
        <v>0</v>
      </c>
      <c r="S236" s="182" t="b">
        <f t="shared" si="66"/>
        <v>0</v>
      </c>
      <c r="T236" s="181" t="b">
        <f>COUNTIF('New Items'!$A$1:$A$175,A236)&gt;0</f>
        <v>0</v>
      </c>
      <c r="U236" s="181" t="b">
        <f>COUNTIF(Discontinued!$A$1:$A$150,A236)&gt;0</f>
        <v>0</v>
      </c>
    </row>
    <row r="237" spans="1:21" s="8" customFormat="1" ht="11.25" x14ac:dyDescent="0.2">
      <c r="A237" s="152">
        <v>10002278</v>
      </c>
      <c r="B237" s="10" t="s">
        <v>288</v>
      </c>
      <c r="C237" s="12" t="s">
        <v>289</v>
      </c>
      <c r="D237" s="11" t="s">
        <v>629</v>
      </c>
      <c r="E237" s="12" t="s">
        <v>769</v>
      </c>
      <c r="F237" s="13">
        <v>3</v>
      </c>
      <c r="G237" s="22">
        <f>Overview!$B$20</f>
        <v>18</v>
      </c>
      <c r="H237" s="114">
        <f t="shared" si="61"/>
        <v>18</v>
      </c>
      <c r="I237" s="114">
        <f>Overview!$E$20</f>
        <v>0</v>
      </c>
      <c r="J237" s="115">
        <f t="shared" si="62"/>
        <v>0</v>
      </c>
      <c r="K237" s="116">
        <f>Overview!$H$20</f>
        <v>0</v>
      </c>
      <c r="L237" s="117" t="e">
        <f t="shared" si="63"/>
        <v>#DIV/0!</v>
      </c>
      <c r="M237" s="179" t="s">
        <v>951</v>
      </c>
      <c r="N237" s="179" t="s">
        <v>3138</v>
      </c>
      <c r="O237" s="141">
        <f t="shared" si="64"/>
        <v>0</v>
      </c>
      <c r="P237" s="181" t="b">
        <f>COUNTIF('Facility Data'!$A$1:$A$1500,"*"&amp;A237&amp;"*")&gt;0</f>
        <v>0</v>
      </c>
      <c r="Q237" s="181" t="b">
        <f>COUNTIF('Account Data'!$A$1:$A$1000,"*"&amp;A237&amp;"*")&gt;0</f>
        <v>1</v>
      </c>
      <c r="R237" s="182" t="b">
        <f t="shared" si="65"/>
        <v>0</v>
      </c>
      <c r="S237" s="182" t="b">
        <f t="shared" si="66"/>
        <v>1</v>
      </c>
      <c r="T237" s="181" t="b">
        <f>COUNTIF('New Items'!$A$1:$A$175,A237)&gt;0</f>
        <v>0</v>
      </c>
      <c r="U237" s="181" t="b">
        <f>COUNTIF(Discontinued!$A$1:$A$150,A237)&gt;0</f>
        <v>0</v>
      </c>
    </row>
    <row r="238" spans="1:21" s="8" customFormat="1" ht="11.25" x14ac:dyDescent="0.2">
      <c r="A238" s="152">
        <v>10120325</v>
      </c>
      <c r="B238" s="10" t="s">
        <v>2949</v>
      </c>
      <c r="C238" s="12" t="s">
        <v>289</v>
      </c>
      <c r="D238" s="11" t="s">
        <v>2951</v>
      </c>
      <c r="E238" s="12" t="s">
        <v>769</v>
      </c>
      <c r="F238" s="13">
        <v>3</v>
      </c>
      <c r="G238" s="22">
        <f>Overview!$B$20</f>
        <v>18</v>
      </c>
      <c r="H238" s="114">
        <f t="shared" si="61"/>
        <v>18</v>
      </c>
      <c r="I238" s="114">
        <f>Overview!$E$20</f>
        <v>0</v>
      </c>
      <c r="J238" s="115">
        <f t="shared" si="62"/>
        <v>0</v>
      </c>
      <c r="K238" s="116">
        <f>Overview!$H$20</f>
        <v>0</v>
      </c>
      <c r="L238" s="117" t="e">
        <f t="shared" si="63"/>
        <v>#DIV/0!</v>
      </c>
      <c r="M238" s="179" t="s">
        <v>3393</v>
      </c>
      <c r="N238" s="179" t="s">
        <v>3138</v>
      </c>
      <c r="O238" s="141">
        <f t="shared" si="64"/>
        <v>0</v>
      </c>
      <c r="P238" s="181" t="b">
        <f>COUNTIF('Facility Data'!$A$1:$A$1500,"*"&amp;A238&amp;"*")&gt;0</f>
        <v>0</v>
      </c>
      <c r="Q238" s="181" t="b">
        <f>COUNTIF('Account Data'!$A$1:$A$1000,"*"&amp;A238&amp;"*")&gt;0</f>
        <v>0</v>
      </c>
      <c r="R238" s="182" t="b">
        <f t="shared" si="65"/>
        <v>0</v>
      </c>
      <c r="S238" s="182" t="b">
        <f t="shared" si="66"/>
        <v>0</v>
      </c>
      <c r="T238" s="181" t="b">
        <f>COUNTIF('New Items'!$A$1:$A$175,A238)&gt;0</f>
        <v>0</v>
      </c>
      <c r="U238" s="181" t="b">
        <f>COUNTIF(Discontinued!$A$1:$A$150,A238)&gt;0</f>
        <v>0</v>
      </c>
    </row>
    <row r="239" spans="1:21" s="8" customFormat="1" ht="11.25" x14ac:dyDescent="0.2">
      <c r="A239" s="152">
        <v>10000689</v>
      </c>
      <c r="B239" s="10" t="s">
        <v>2953</v>
      </c>
      <c r="C239" s="12" t="s">
        <v>2954</v>
      </c>
      <c r="D239" s="11" t="s">
        <v>2955</v>
      </c>
      <c r="E239" s="12" t="s">
        <v>769</v>
      </c>
      <c r="F239" s="13">
        <v>3</v>
      </c>
      <c r="G239" s="22">
        <f>Overview!$B$20</f>
        <v>18</v>
      </c>
      <c r="H239" s="114">
        <f t="shared" si="61"/>
        <v>18</v>
      </c>
      <c r="I239" s="114">
        <f>Overview!$E$20</f>
        <v>0</v>
      </c>
      <c r="J239" s="115">
        <f t="shared" si="62"/>
        <v>0</v>
      </c>
      <c r="K239" s="116">
        <f>Overview!$H$20</f>
        <v>0</v>
      </c>
      <c r="L239" s="117" t="e">
        <f t="shared" si="63"/>
        <v>#DIV/0!</v>
      </c>
      <c r="M239" s="179" t="s">
        <v>951</v>
      </c>
      <c r="N239" s="179" t="s">
        <v>3138</v>
      </c>
      <c r="O239" s="141">
        <f t="shared" si="64"/>
        <v>0</v>
      </c>
      <c r="P239" s="181" t="b">
        <f>COUNTIF('Facility Data'!$A$1:$A$1500,"*"&amp;A239&amp;"*")&gt;0</f>
        <v>0</v>
      </c>
      <c r="Q239" s="181" t="b">
        <f>COUNTIF('Account Data'!$A$1:$A$1000,"*"&amp;A239&amp;"*")&gt;0</f>
        <v>0</v>
      </c>
      <c r="R239" s="182" t="b">
        <f t="shared" si="65"/>
        <v>0</v>
      </c>
      <c r="S239" s="182" t="b">
        <f t="shared" si="66"/>
        <v>0</v>
      </c>
      <c r="T239" s="181" t="b">
        <f>COUNTIF('New Items'!$A$1:$A$175,A239)&gt;0</f>
        <v>0</v>
      </c>
      <c r="U239" s="181" t="b">
        <f>COUNTIF(Discontinued!$A$1:$A$150,A239)&gt;0</f>
        <v>0</v>
      </c>
    </row>
    <row r="240" spans="1:21" s="8" customFormat="1" ht="11.25" x14ac:dyDescent="0.2">
      <c r="A240" s="152">
        <v>10028020</v>
      </c>
      <c r="B240" s="10" t="s">
        <v>304</v>
      </c>
      <c r="C240" s="12" t="s">
        <v>305</v>
      </c>
      <c r="D240" s="11" t="s">
        <v>636</v>
      </c>
      <c r="E240" s="12" t="s">
        <v>769</v>
      </c>
      <c r="F240" s="13">
        <v>3</v>
      </c>
      <c r="G240" s="22">
        <f>Overview!$B$20</f>
        <v>18</v>
      </c>
      <c r="H240" s="114">
        <f t="shared" si="61"/>
        <v>18</v>
      </c>
      <c r="I240" s="114">
        <f>Overview!$E$20</f>
        <v>0</v>
      </c>
      <c r="J240" s="115">
        <f t="shared" si="62"/>
        <v>0</v>
      </c>
      <c r="K240" s="116">
        <f>Overview!$H$20</f>
        <v>0</v>
      </c>
      <c r="L240" s="117" t="e">
        <f t="shared" si="63"/>
        <v>#DIV/0!</v>
      </c>
      <c r="M240" s="179" t="s">
        <v>4370</v>
      </c>
      <c r="N240" s="179" t="s">
        <v>3138</v>
      </c>
      <c r="O240" s="141">
        <f t="shared" si="64"/>
        <v>0</v>
      </c>
      <c r="P240" s="181" t="b">
        <f>COUNTIF('Facility Data'!$A$1:$A$1500,"*"&amp;A240&amp;"*")&gt;0</f>
        <v>1</v>
      </c>
      <c r="Q240" s="181" t="b">
        <f>COUNTIF('Account Data'!$A$1:$A$1000,"*"&amp;A240&amp;"*")&gt;0</f>
        <v>1</v>
      </c>
      <c r="R240" s="182" t="b">
        <f t="shared" si="65"/>
        <v>1</v>
      </c>
      <c r="S240" s="182" t="b">
        <f t="shared" si="66"/>
        <v>1</v>
      </c>
      <c r="T240" s="181" t="b">
        <f>COUNTIF('New Items'!$A$1:$A$175,A240)&gt;0</f>
        <v>0</v>
      </c>
      <c r="U240" s="181" t="b">
        <f>COUNTIF(Discontinued!$A$1:$A$150,A240)&gt;0</f>
        <v>0</v>
      </c>
    </row>
    <row r="241" spans="1:21" s="8" customFormat="1" ht="11.25" x14ac:dyDescent="0.2">
      <c r="A241" s="152">
        <v>10002285</v>
      </c>
      <c r="B241" s="10" t="s">
        <v>300</v>
      </c>
      <c r="C241" s="12" t="s">
        <v>301</v>
      </c>
      <c r="D241" s="11" t="s">
        <v>650</v>
      </c>
      <c r="E241" s="12" t="s">
        <v>769</v>
      </c>
      <c r="F241" s="13">
        <v>3</v>
      </c>
      <c r="G241" s="22">
        <f>Overview!$B$20</f>
        <v>18</v>
      </c>
      <c r="H241" s="114">
        <f t="shared" ref="H241" si="67">G241-I241</f>
        <v>18</v>
      </c>
      <c r="I241" s="114">
        <f>Overview!$E$20</f>
        <v>0</v>
      </c>
      <c r="J241" s="115">
        <f t="shared" ref="J241" si="68">I241/F241</f>
        <v>0</v>
      </c>
      <c r="K241" s="116">
        <f>Overview!$H$20</f>
        <v>0</v>
      </c>
      <c r="L241" s="117" t="e">
        <f t="shared" ref="L241" si="69">(K241-J241)/K241</f>
        <v>#DIV/0!</v>
      </c>
      <c r="M241" s="179" t="s">
        <v>4369</v>
      </c>
      <c r="N241" s="179" t="s">
        <v>3138</v>
      </c>
      <c r="O241" s="141">
        <f t="shared" ref="O241" si="70">I241</f>
        <v>0</v>
      </c>
      <c r="P241" s="181" t="b">
        <f>COUNTIF('Facility Data'!$A$1:$A$1500,"*"&amp;A241&amp;"*")&gt;0</f>
        <v>1</v>
      </c>
      <c r="Q241" s="181" t="b">
        <f>COUNTIF('Account Data'!$A$1:$A$1000,"*"&amp;A241&amp;"*")&gt;0</f>
        <v>1</v>
      </c>
      <c r="R241" s="182" t="b">
        <f t="shared" ref="R241" si="71">IF(OR(P241=TRUE,T241=TRUE),TRUE,FALSE)</f>
        <v>1</v>
      </c>
      <c r="S241" s="182" t="b">
        <f t="shared" ref="S241" si="72">IF(OR(Q241=TRUE,T241=TRUE),TRUE,FALSE)</f>
        <v>1</v>
      </c>
      <c r="T241" s="181" t="b">
        <f>COUNTIF('New Items'!$A$1:$A$175,A241)&gt;0</f>
        <v>0</v>
      </c>
      <c r="U241" s="181" t="b">
        <f>COUNTIF(Discontinued!$A$1:$A$150,A241)&gt;0</f>
        <v>0</v>
      </c>
    </row>
    <row r="242" spans="1:21" s="8" customFormat="1" ht="11.25" x14ac:dyDescent="0.2">
      <c r="A242" s="152">
        <v>10032958</v>
      </c>
      <c r="B242" s="10" t="s">
        <v>2710</v>
      </c>
      <c r="C242" s="12" t="s">
        <v>2711</v>
      </c>
      <c r="D242" s="11" t="s">
        <v>4116</v>
      </c>
      <c r="E242" s="12" t="s">
        <v>769</v>
      </c>
      <c r="F242" s="13">
        <v>3</v>
      </c>
      <c r="G242" s="22">
        <f>Overview!$B$20</f>
        <v>18</v>
      </c>
      <c r="H242" s="114">
        <f t="shared" si="61"/>
        <v>18</v>
      </c>
      <c r="I242" s="114">
        <f>Overview!$E$20</f>
        <v>0</v>
      </c>
      <c r="J242" s="115">
        <f t="shared" si="62"/>
        <v>0</v>
      </c>
      <c r="K242" s="116">
        <f>Overview!$H$20</f>
        <v>0</v>
      </c>
      <c r="L242" s="117" t="e">
        <f t="shared" si="63"/>
        <v>#DIV/0!</v>
      </c>
      <c r="M242" s="179" t="s">
        <v>4369</v>
      </c>
      <c r="N242" s="179" t="s">
        <v>3138</v>
      </c>
      <c r="O242" s="141">
        <f t="shared" si="64"/>
        <v>0</v>
      </c>
      <c r="P242" s="181" t="b">
        <f>COUNTIF('Facility Data'!$A$1:$A$1500,"*"&amp;A242&amp;"*")&gt;0</f>
        <v>0</v>
      </c>
      <c r="Q242" s="181" t="b">
        <f>COUNTIF('Account Data'!$A$1:$A$1000,"*"&amp;A242&amp;"*")&gt;0</f>
        <v>0</v>
      </c>
      <c r="R242" s="182" t="b">
        <f t="shared" si="65"/>
        <v>0</v>
      </c>
      <c r="S242" s="182" t="b">
        <f t="shared" si="66"/>
        <v>0</v>
      </c>
      <c r="T242" s="181" t="b">
        <f>COUNTIF('New Items'!$A$1:$A$175,A242)&gt;0</f>
        <v>0</v>
      </c>
      <c r="U242" s="181" t="b">
        <f>COUNTIF(Discontinued!$A$1:$A$150,A242)&gt;0</f>
        <v>0</v>
      </c>
    </row>
    <row r="243" spans="1:21" s="8" customFormat="1" ht="12" thickBot="1" x14ac:dyDescent="0.25">
      <c r="A243" s="152">
        <v>10032959</v>
      </c>
      <c r="B243" s="10" t="s">
        <v>4795</v>
      </c>
      <c r="C243" s="12" t="s">
        <v>2713</v>
      </c>
      <c r="D243" s="11" t="s">
        <v>4780</v>
      </c>
      <c r="E243" s="12" t="s">
        <v>769</v>
      </c>
      <c r="F243" s="13">
        <v>3</v>
      </c>
      <c r="G243" s="22">
        <f>Overview!$B$20</f>
        <v>18</v>
      </c>
      <c r="H243" s="114">
        <f t="shared" si="61"/>
        <v>18</v>
      </c>
      <c r="I243" s="114">
        <f>Overview!$E$20</f>
        <v>0</v>
      </c>
      <c r="J243" s="115">
        <f t="shared" si="62"/>
        <v>0</v>
      </c>
      <c r="K243" s="116">
        <f>Overview!$H$20</f>
        <v>0</v>
      </c>
      <c r="L243" s="117" t="e">
        <f t="shared" si="63"/>
        <v>#DIV/0!</v>
      </c>
      <c r="M243" s="179" t="s">
        <v>953</v>
      </c>
      <c r="N243" s="179" t="s">
        <v>3138</v>
      </c>
      <c r="O243" s="141">
        <f t="shared" si="64"/>
        <v>0</v>
      </c>
      <c r="P243" s="181" t="b">
        <f>COUNTIF('Facility Data'!$A$1:$A$1500,"*"&amp;A243&amp;"*")&gt;0</f>
        <v>0</v>
      </c>
      <c r="Q243" s="181" t="b">
        <f>COUNTIF('Account Data'!$A$1:$A$1000,"*"&amp;A243&amp;"*")&gt;0</f>
        <v>0</v>
      </c>
      <c r="R243" s="182" t="b">
        <f t="shared" si="65"/>
        <v>0</v>
      </c>
      <c r="S243" s="182" t="b">
        <f t="shared" si="66"/>
        <v>0</v>
      </c>
      <c r="T243" s="181" t="b">
        <f>COUNTIF('New Items'!$A$1:$A$175,A243)&gt;0</f>
        <v>0</v>
      </c>
      <c r="U243" s="181" t="b">
        <f>COUNTIF(Discontinued!$A$1:$A$150,A243)&gt;0</f>
        <v>0</v>
      </c>
    </row>
    <row r="244" spans="1:21" s="8" customFormat="1" ht="13.5" thickBot="1" x14ac:dyDescent="0.25">
      <c r="A244" s="300" t="s">
        <v>333</v>
      </c>
      <c r="B244" s="301"/>
      <c r="C244" s="301"/>
      <c r="D244" s="301"/>
      <c r="E244" s="301"/>
      <c r="F244" s="301"/>
      <c r="G244" s="301"/>
      <c r="H244" s="301"/>
      <c r="I244" s="301"/>
      <c r="J244" s="301"/>
      <c r="K244" s="301"/>
      <c r="L244" s="302"/>
      <c r="M244" s="179"/>
      <c r="N244" s="179" t="s">
        <v>3126</v>
      </c>
      <c r="O244" s="141">
        <f>AVERAGE(O245:O246)</f>
        <v>0</v>
      </c>
      <c r="P244" s="181" t="b">
        <f>COUNTIF(P245:P246,TRUE)&gt;0</f>
        <v>1</v>
      </c>
      <c r="Q244" s="181" t="b">
        <f>COUNTIF(Q245:Q246,TRUE)&gt;0</f>
        <v>1</v>
      </c>
      <c r="R244" s="181" t="b">
        <f>COUNTIF(R245:R246,TRUE)&gt;0</f>
        <v>1</v>
      </c>
      <c r="S244" s="181" t="b">
        <f>COUNTIF(S245:S246,TRUE)&gt;0</f>
        <v>1</v>
      </c>
      <c r="T244" s="181" t="b">
        <f>COUNTIF(T245:T246,TRUE)&gt;0</f>
        <v>0</v>
      </c>
      <c r="U244" s="249"/>
    </row>
    <row r="245" spans="1:21" s="8" customFormat="1" ht="11.25" x14ac:dyDescent="0.2">
      <c r="A245" s="154">
        <v>20026451</v>
      </c>
      <c r="B245" s="10" t="s">
        <v>3279</v>
      </c>
      <c r="C245" s="12" t="s">
        <v>334</v>
      </c>
      <c r="D245" s="11" t="s">
        <v>643</v>
      </c>
      <c r="E245" s="12" t="s">
        <v>775</v>
      </c>
      <c r="F245" s="13">
        <v>12</v>
      </c>
      <c r="G245" s="22">
        <f>Overview!$B$34</f>
        <v>13</v>
      </c>
      <c r="H245" s="114">
        <f>G245-I245</f>
        <v>13</v>
      </c>
      <c r="I245" s="114">
        <f>Overview!$E$34</f>
        <v>0</v>
      </c>
      <c r="J245" s="115">
        <f>I245/F245</f>
        <v>0</v>
      </c>
      <c r="K245" s="116">
        <f>Overview!$H$34</f>
        <v>0</v>
      </c>
      <c r="L245" s="117" t="e">
        <f>(K245-J245)/K245</f>
        <v>#DIV/0!</v>
      </c>
      <c r="M245" s="179"/>
      <c r="N245" s="179" t="s">
        <v>3126</v>
      </c>
      <c r="O245" s="141">
        <f>I245</f>
        <v>0</v>
      </c>
      <c r="P245" s="181" t="b">
        <f>COUNTIF('Facility Data'!$A$1:$A$1500,"*"&amp;A245&amp;"*")&gt;0</f>
        <v>1</v>
      </c>
      <c r="Q245" s="181" t="b">
        <f>COUNTIF('Account Data'!$A$1:$A$1000,"*"&amp;A245&amp;"*")&gt;0</f>
        <v>1</v>
      </c>
      <c r="R245" s="182" t="b">
        <f>IF(OR(P245=TRUE,T245=TRUE),TRUE,FALSE)</f>
        <v>1</v>
      </c>
      <c r="S245" s="182" t="b">
        <f>IF(OR(Q245=TRUE,T245=TRUE),TRUE,FALSE)</f>
        <v>1</v>
      </c>
      <c r="T245" s="181" t="b">
        <f>COUNTIF('New Items'!$A$1:$A$175,A245)&gt;0</f>
        <v>0</v>
      </c>
      <c r="U245" s="181" t="b">
        <f>COUNTIF(Discontinued!$A$1:$A$150,A245)&gt;0</f>
        <v>0</v>
      </c>
    </row>
    <row r="246" spans="1:21" s="8" customFormat="1" ht="12" thickBot="1" x14ac:dyDescent="0.25">
      <c r="A246" s="154">
        <v>20026453</v>
      </c>
      <c r="B246" s="10" t="s">
        <v>3280</v>
      </c>
      <c r="C246" s="12" t="s">
        <v>335</v>
      </c>
      <c r="D246" s="11" t="s">
        <v>636</v>
      </c>
      <c r="E246" s="12" t="s">
        <v>775</v>
      </c>
      <c r="F246" s="13">
        <v>12</v>
      </c>
      <c r="G246" s="22">
        <f>Overview!$B$34</f>
        <v>13</v>
      </c>
      <c r="H246" s="114">
        <f>G246-I246</f>
        <v>13</v>
      </c>
      <c r="I246" s="114">
        <f>Overview!$E$34</f>
        <v>0</v>
      </c>
      <c r="J246" s="115">
        <f>I246/F246</f>
        <v>0</v>
      </c>
      <c r="K246" s="116">
        <f>Overview!$H$34</f>
        <v>0</v>
      </c>
      <c r="L246" s="117" t="e">
        <f>(K246-J246)/K246</f>
        <v>#DIV/0!</v>
      </c>
      <c r="M246" s="179"/>
      <c r="N246" s="179" t="s">
        <v>3126</v>
      </c>
      <c r="O246" s="141">
        <f>I246</f>
        <v>0</v>
      </c>
      <c r="P246" s="181" t="b">
        <f>COUNTIF('Facility Data'!$A$1:$A$1500,"*"&amp;A246&amp;"*")&gt;0</f>
        <v>1</v>
      </c>
      <c r="Q246" s="181" t="b">
        <f>COUNTIF('Account Data'!$A$1:$A$1000,"*"&amp;A246&amp;"*")&gt;0</f>
        <v>1</v>
      </c>
      <c r="R246" s="182" t="b">
        <f>IF(OR(P246=TRUE,T246=TRUE),TRUE,FALSE)</f>
        <v>1</v>
      </c>
      <c r="S246" s="182" t="b">
        <f>IF(OR(Q246=TRUE,T246=TRUE),TRUE,FALSE)</f>
        <v>1</v>
      </c>
      <c r="T246" s="181" t="b">
        <f>COUNTIF('New Items'!$A$1:$A$175,A246)&gt;0</f>
        <v>0</v>
      </c>
      <c r="U246" s="181" t="b">
        <f>COUNTIF(Discontinued!$A$1:$A$150,A246)&gt;0</f>
        <v>0</v>
      </c>
    </row>
    <row r="247" spans="1:21" s="8" customFormat="1" ht="13.5" thickBot="1" x14ac:dyDescent="0.25">
      <c r="A247" s="300" t="s">
        <v>2768</v>
      </c>
      <c r="B247" s="301"/>
      <c r="C247" s="301"/>
      <c r="D247" s="301"/>
      <c r="E247" s="301"/>
      <c r="F247" s="301"/>
      <c r="G247" s="301"/>
      <c r="H247" s="301"/>
      <c r="I247" s="301"/>
      <c r="J247" s="301"/>
      <c r="K247" s="301"/>
      <c r="L247" s="302"/>
      <c r="M247" s="179"/>
      <c r="N247" s="179" t="s">
        <v>3132</v>
      </c>
      <c r="O247" s="141">
        <f>AVERAGE(O248:O259)</f>
        <v>0</v>
      </c>
      <c r="P247" s="181" t="b">
        <f>COUNTIF(P248:P259,TRUE)&gt;0</f>
        <v>1</v>
      </c>
      <c r="Q247" s="181" t="b">
        <f>COUNTIF(Q248:Q259,TRUE)&gt;0</f>
        <v>0</v>
      </c>
      <c r="R247" s="181" t="b">
        <f>COUNTIF(R248:R259,TRUE)&gt;0</f>
        <v>1</v>
      </c>
      <c r="S247" s="181" t="b">
        <f>COUNTIF(S248:S259,TRUE)&gt;0</f>
        <v>0</v>
      </c>
      <c r="T247" s="181" t="b">
        <f>COUNTIF(T248:T259,TRUE)&gt;0</f>
        <v>0</v>
      </c>
      <c r="U247" s="249"/>
    </row>
    <row r="248" spans="1:21" s="8" customFormat="1" ht="11.25" x14ac:dyDescent="0.2">
      <c r="A248" s="152">
        <v>10000007</v>
      </c>
      <c r="B248" s="10" t="s">
        <v>2772</v>
      </c>
      <c r="C248" s="12" t="s">
        <v>2773</v>
      </c>
      <c r="D248" s="11" t="s">
        <v>643</v>
      </c>
      <c r="E248" s="12" t="s">
        <v>769</v>
      </c>
      <c r="F248" s="13">
        <v>24</v>
      </c>
      <c r="G248" s="98">
        <f>Overview!$B$35</f>
        <v>26</v>
      </c>
      <c r="H248" s="99">
        <f t="shared" ref="H248:H259" si="73">G248-I248</f>
        <v>26</v>
      </c>
      <c r="I248" s="99">
        <f>Overview!$E$35</f>
        <v>0</v>
      </c>
      <c r="J248" s="100">
        <f t="shared" ref="J248:J259" si="74">I248/F248</f>
        <v>0</v>
      </c>
      <c r="K248" s="101">
        <f>Overview!$H$35</f>
        <v>0</v>
      </c>
      <c r="L248" s="102" t="e">
        <f t="shared" ref="L248:L259" si="75">(K248-J248)/K248</f>
        <v>#DIV/0!</v>
      </c>
      <c r="M248" s="179"/>
      <c r="N248" s="179" t="s">
        <v>3132</v>
      </c>
      <c r="O248" s="141">
        <f t="shared" ref="O248:O259" si="76">I248</f>
        <v>0</v>
      </c>
      <c r="P248" s="181" t="b">
        <f>COUNTIF('Facility Data'!$A$1:$A$1500,"*"&amp;A248&amp;"*")&gt;0</f>
        <v>0</v>
      </c>
      <c r="Q248" s="181" t="b">
        <f>COUNTIF('Account Data'!$A$1:$A$1000,"*"&amp;A248&amp;"*")&gt;0</f>
        <v>0</v>
      </c>
      <c r="R248" s="182" t="b">
        <f t="shared" ref="R248:R259" si="77">IF(OR(P248=TRUE,T248=TRUE),TRUE,FALSE)</f>
        <v>0</v>
      </c>
      <c r="S248" s="182" t="b">
        <f t="shared" ref="S248:S259" si="78">IF(OR(Q248=TRUE,T248=TRUE),TRUE,FALSE)</f>
        <v>0</v>
      </c>
      <c r="T248" s="181" t="b">
        <f>COUNTIF('New Items'!$A$1:$A$175,A248)&gt;0</f>
        <v>0</v>
      </c>
      <c r="U248" s="181" t="b">
        <f>COUNTIF(Discontinued!$A$1:$A$150,A248)&gt;0</f>
        <v>0</v>
      </c>
    </row>
    <row r="249" spans="1:21" s="8" customFormat="1" ht="11.25" x14ac:dyDescent="0.2">
      <c r="A249" s="152">
        <v>10000011</v>
      </c>
      <c r="B249" s="10" t="s">
        <v>2774</v>
      </c>
      <c r="C249" s="12" t="s">
        <v>2775</v>
      </c>
      <c r="D249" s="11" t="s">
        <v>645</v>
      </c>
      <c r="E249" s="12" t="s">
        <v>769</v>
      </c>
      <c r="F249" s="13">
        <v>24</v>
      </c>
      <c r="G249" s="98">
        <f>Overview!$B$35</f>
        <v>26</v>
      </c>
      <c r="H249" s="99">
        <f t="shared" si="73"/>
        <v>26</v>
      </c>
      <c r="I249" s="99">
        <f>Overview!$E$35</f>
        <v>0</v>
      </c>
      <c r="J249" s="100">
        <f t="shared" si="74"/>
        <v>0</v>
      </c>
      <c r="K249" s="101">
        <f>Overview!$H$35</f>
        <v>0</v>
      </c>
      <c r="L249" s="102" t="e">
        <f t="shared" si="75"/>
        <v>#DIV/0!</v>
      </c>
      <c r="M249" s="179" t="s">
        <v>4406</v>
      </c>
      <c r="N249" s="179" t="s">
        <v>3132</v>
      </c>
      <c r="O249" s="141">
        <f t="shared" si="76"/>
        <v>0</v>
      </c>
      <c r="P249" s="181" t="b">
        <f>COUNTIF('Facility Data'!$A$1:$A$1500,"*"&amp;A249&amp;"*")&gt;0</f>
        <v>1</v>
      </c>
      <c r="Q249" s="181" t="b">
        <f>COUNTIF('Account Data'!$A$1:$A$1000,"*"&amp;A249&amp;"*")&gt;0</f>
        <v>0</v>
      </c>
      <c r="R249" s="182" t="b">
        <f t="shared" si="77"/>
        <v>1</v>
      </c>
      <c r="S249" s="182" t="b">
        <f t="shared" si="78"/>
        <v>0</v>
      </c>
      <c r="T249" s="181" t="b">
        <f>COUNTIF('New Items'!$A$1:$A$175,A249)&gt;0</f>
        <v>0</v>
      </c>
      <c r="U249" s="181" t="b">
        <f>COUNTIF(Discontinued!$A$1:$A$150,A249)&gt;0</f>
        <v>0</v>
      </c>
    </row>
    <row r="250" spans="1:21" s="8" customFormat="1" ht="11.25" x14ac:dyDescent="0.2">
      <c r="A250" s="152">
        <v>10000009</v>
      </c>
      <c r="B250" s="10" t="s">
        <v>2781</v>
      </c>
      <c r="C250" s="12" t="s">
        <v>2782</v>
      </c>
      <c r="D250" s="11" t="s">
        <v>640</v>
      </c>
      <c r="E250" s="12" t="s">
        <v>769</v>
      </c>
      <c r="F250" s="13">
        <v>24</v>
      </c>
      <c r="G250" s="98">
        <f>Overview!$B$35</f>
        <v>26</v>
      </c>
      <c r="H250" s="99">
        <f t="shared" si="73"/>
        <v>26</v>
      </c>
      <c r="I250" s="99">
        <f>Overview!$E$35</f>
        <v>0</v>
      </c>
      <c r="J250" s="100">
        <f t="shared" si="74"/>
        <v>0</v>
      </c>
      <c r="K250" s="101">
        <f>Overview!$H$35</f>
        <v>0</v>
      </c>
      <c r="L250" s="102" t="e">
        <f t="shared" si="75"/>
        <v>#DIV/0!</v>
      </c>
      <c r="M250" s="179"/>
      <c r="N250" s="179" t="s">
        <v>3132</v>
      </c>
      <c r="O250" s="141">
        <f t="shared" si="76"/>
        <v>0</v>
      </c>
      <c r="P250" s="181" t="b">
        <f>COUNTIF('Facility Data'!$A$1:$A$1500,"*"&amp;A250&amp;"*")&gt;0</f>
        <v>1</v>
      </c>
      <c r="Q250" s="181" t="b">
        <f>COUNTIF('Account Data'!$A$1:$A$1000,"*"&amp;A250&amp;"*")&gt;0</f>
        <v>0</v>
      </c>
      <c r="R250" s="182" t="b">
        <f t="shared" si="77"/>
        <v>1</v>
      </c>
      <c r="S250" s="182" t="b">
        <f t="shared" si="78"/>
        <v>0</v>
      </c>
      <c r="T250" s="181" t="b">
        <f>COUNTIF('New Items'!$A$1:$A$175,A250)&gt;0</f>
        <v>0</v>
      </c>
      <c r="U250" s="181" t="b">
        <f>COUNTIF(Discontinued!$A$1:$A$150,A250)&gt;0</f>
        <v>0</v>
      </c>
    </row>
    <row r="251" spans="1:21" s="8" customFormat="1" ht="11.25" x14ac:dyDescent="0.2">
      <c r="A251" s="152">
        <v>10120971</v>
      </c>
      <c r="B251" s="10" t="s">
        <v>2783</v>
      </c>
      <c r="C251" s="12" t="s">
        <v>2784</v>
      </c>
      <c r="D251" s="11" t="s">
        <v>2793</v>
      </c>
      <c r="E251" s="12" t="s">
        <v>769</v>
      </c>
      <c r="F251" s="13">
        <v>24</v>
      </c>
      <c r="G251" s="98">
        <f>Overview!$B$35</f>
        <v>26</v>
      </c>
      <c r="H251" s="99">
        <f t="shared" si="73"/>
        <v>26</v>
      </c>
      <c r="I251" s="99">
        <f>Overview!$E$35</f>
        <v>0</v>
      </c>
      <c r="J251" s="100">
        <f t="shared" si="74"/>
        <v>0</v>
      </c>
      <c r="K251" s="101">
        <f>Overview!$H$35</f>
        <v>0</v>
      </c>
      <c r="L251" s="102" t="e">
        <f t="shared" si="75"/>
        <v>#DIV/0!</v>
      </c>
      <c r="M251" s="179"/>
      <c r="N251" s="179" t="s">
        <v>3132</v>
      </c>
      <c r="O251" s="141">
        <f t="shared" si="76"/>
        <v>0</v>
      </c>
      <c r="P251" s="181" t="b">
        <f>COUNTIF('Facility Data'!$A$1:$A$1500,"*"&amp;A251&amp;"*")&gt;0</f>
        <v>1</v>
      </c>
      <c r="Q251" s="181" t="b">
        <f>COUNTIF('Account Data'!$A$1:$A$1000,"*"&amp;A251&amp;"*")&gt;0</f>
        <v>0</v>
      </c>
      <c r="R251" s="182" t="b">
        <f t="shared" si="77"/>
        <v>1</v>
      </c>
      <c r="S251" s="182" t="b">
        <f t="shared" si="78"/>
        <v>0</v>
      </c>
      <c r="T251" s="181" t="b">
        <f>COUNTIF('New Items'!$A$1:$A$175,A251)&gt;0</f>
        <v>0</v>
      </c>
      <c r="U251" s="181" t="b">
        <f>COUNTIF(Discontinued!$A$1:$A$150,A251)&gt;0</f>
        <v>0</v>
      </c>
    </row>
    <row r="252" spans="1:21" s="8" customFormat="1" ht="11.25" x14ac:dyDescent="0.2">
      <c r="A252" s="152">
        <v>10000005</v>
      </c>
      <c r="B252" s="10" t="s">
        <v>2769</v>
      </c>
      <c r="C252" s="12" t="s">
        <v>2770</v>
      </c>
      <c r="D252" s="11" t="s">
        <v>629</v>
      </c>
      <c r="E252" s="12" t="s">
        <v>769</v>
      </c>
      <c r="F252" s="13">
        <v>24</v>
      </c>
      <c r="G252" s="98">
        <f>Overview!$B$35</f>
        <v>26</v>
      </c>
      <c r="H252" s="99">
        <f t="shared" si="73"/>
        <v>26</v>
      </c>
      <c r="I252" s="99">
        <f>Overview!$E$35</f>
        <v>0</v>
      </c>
      <c r="J252" s="100">
        <f t="shared" si="74"/>
        <v>0</v>
      </c>
      <c r="K252" s="101">
        <f>Overview!$H$35</f>
        <v>0</v>
      </c>
      <c r="L252" s="102" t="e">
        <f t="shared" si="75"/>
        <v>#DIV/0!</v>
      </c>
      <c r="M252" s="179" t="s">
        <v>951</v>
      </c>
      <c r="N252" s="179" t="s">
        <v>3132</v>
      </c>
      <c r="O252" s="141">
        <f t="shared" si="76"/>
        <v>0</v>
      </c>
      <c r="P252" s="181" t="b">
        <f>COUNTIF('Facility Data'!$A$1:$A$1500,"*"&amp;A252&amp;"*")&gt;0</f>
        <v>0</v>
      </c>
      <c r="Q252" s="181" t="b">
        <f>COUNTIF('Account Data'!$A$1:$A$1000,"*"&amp;A252&amp;"*")&gt;0</f>
        <v>0</v>
      </c>
      <c r="R252" s="182" t="b">
        <f t="shared" si="77"/>
        <v>0</v>
      </c>
      <c r="S252" s="182" t="b">
        <f t="shared" si="78"/>
        <v>0</v>
      </c>
      <c r="T252" s="181" t="b">
        <f>COUNTIF('New Items'!$A$1:$A$175,A252)&gt;0</f>
        <v>0</v>
      </c>
      <c r="U252" s="181" t="b">
        <f>COUNTIF(Discontinued!$A$1:$A$150,A252)&gt;0</f>
        <v>0</v>
      </c>
    </row>
    <row r="253" spans="1:21" s="8" customFormat="1" ht="11.25" x14ac:dyDescent="0.2">
      <c r="A253" s="152">
        <v>10085268</v>
      </c>
      <c r="B253" s="10" t="s">
        <v>3012</v>
      </c>
      <c r="C253" s="12" t="s">
        <v>3013</v>
      </c>
      <c r="D253" s="11" t="s">
        <v>3011</v>
      </c>
      <c r="E253" s="12" t="s">
        <v>769</v>
      </c>
      <c r="F253" s="13">
        <v>24</v>
      </c>
      <c r="G253" s="98">
        <f>Overview!$B$35</f>
        <v>26</v>
      </c>
      <c r="H253" s="99">
        <f t="shared" si="73"/>
        <v>26</v>
      </c>
      <c r="I253" s="99">
        <f>Overview!$E$35</f>
        <v>0</v>
      </c>
      <c r="J253" s="100">
        <f t="shared" si="74"/>
        <v>0</v>
      </c>
      <c r="K253" s="101">
        <f>Overview!$H$35</f>
        <v>0</v>
      </c>
      <c r="L253" s="102" t="e">
        <f t="shared" si="75"/>
        <v>#DIV/0!</v>
      </c>
      <c r="M253" s="179" t="s">
        <v>951</v>
      </c>
      <c r="N253" s="179" t="s">
        <v>3132</v>
      </c>
      <c r="O253" s="141">
        <f t="shared" si="76"/>
        <v>0</v>
      </c>
      <c r="P253" s="181" t="b">
        <f>COUNTIF('Facility Data'!$A$1:$A$1500,"*"&amp;A253&amp;"*")&gt;0</f>
        <v>0</v>
      </c>
      <c r="Q253" s="181" t="b">
        <f>COUNTIF('Account Data'!$A$1:$A$1000,"*"&amp;A253&amp;"*")&gt;0</f>
        <v>0</v>
      </c>
      <c r="R253" s="182" t="b">
        <f t="shared" si="77"/>
        <v>0</v>
      </c>
      <c r="S253" s="182" t="b">
        <f t="shared" si="78"/>
        <v>0</v>
      </c>
      <c r="T253" s="181" t="b">
        <f>COUNTIF('New Items'!$A$1:$A$175,A253)&gt;0</f>
        <v>0</v>
      </c>
      <c r="U253" s="181" t="b">
        <f>COUNTIF(Discontinued!$A$1:$A$150,A253)&gt;0</f>
        <v>0</v>
      </c>
    </row>
    <row r="254" spans="1:21" s="8" customFormat="1" ht="11.25" x14ac:dyDescent="0.2">
      <c r="A254" s="152">
        <v>10002242</v>
      </c>
      <c r="B254" s="10" t="s">
        <v>2787</v>
      </c>
      <c r="C254" s="12" t="s">
        <v>2788</v>
      </c>
      <c r="D254" s="11" t="s">
        <v>1596</v>
      </c>
      <c r="E254" s="12" t="s">
        <v>769</v>
      </c>
      <c r="F254" s="13">
        <v>24</v>
      </c>
      <c r="G254" s="98">
        <f>Overview!$B$35</f>
        <v>26</v>
      </c>
      <c r="H254" s="99">
        <f t="shared" si="73"/>
        <v>26</v>
      </c>
      <c r="I254" s="99">
        <f>Overview!$E$35</f>
        <v>0</v>
      </c>
      <c r="J254" s="100">
        <f t="shared" si="74"/>
        <v>0</v>
      </c>
      <c r="K254" s="101">
        <f>Overview!$H$35</f>
        <v>0</v>
      </c>
      <c r="L254" s="102" t="e">
        <f t="shared" si="75"/>
        <v>#DIV/0!</v>
      </c>
      <c r="M254" s="179" t="s">
        <v>930</v>
      </c>
      <c r="N254" s="179" t="s">
        <v>3132</v>
      </c>
      <c r="O254" s="141">
        <f t="shared" si="76"/>
        <v>0</v>
      </c>
      <c r="P254" s="181" t="b">
        <f>COUNTIF('Facility Data'!$A$1:$A$1500,"*"&amp;A254&amp;"*")&gt;0</f>
        <v>0</v>
      </c>
      <c r="Q254" s="181" t="b">
        <f>COUNTIF('Account Data'!$A$1:$A$1000,"*"&amp;A254&amp;"*")&gt;0</f>
        <v>0</v>
      </c>
      <c r="R254" s="182" t="b">
        <f t="shared" si="77"/>
        <v>0</v>
      </c>
      <c r="S254" s="182" t="b">
        <f t="shared" si="78"/>
        <v>0</v>
      </c>
      <c r="T254" s="181" t="b">
        <f>COUNTIF('New Items'!$A$1:$A$175,A254)&gt;0</f>
        <v>0</v>
      </c>
      <c r="U254" s="181" t="b">
        <f>COUNTIF(Discontinued!$A$1:$A$150,A254)&gt;0</f>
        <v>0</v>
      </c>
    </row>
    <row r="255" spans="1:21" s="8" customFormat="1" ht="11.25" x14ac:dyDescent="0.2">
      <c r="A255" s="152">
        <v>10002243</v>
      </c>
      <c r="B255" s="10" t="s">
        <v>2789</v>
      </c>
      <c r="C255" s="12" t="s">
        <v>2790</v>
      </c>
      <c r="D255" s="11" t="s">
        <v>1597</v>
      </c>
      <c r="E255" s="12" t="s">
        <v>769</v>
      </c>
      <c r="F255" s="13">
        <v>24</v>
      </c>
      <c r="G255" s="98">
        <f>Overview!$B$35</f>
        <v>26</v>
      </c>
      <c r="H255" s="99">
        <f t="shared" si="73"/>
        <v>26</v>
      </c>
      <c r="I255" s="99">
        <f>Overview!$E$35</f>
        <v>0</v>
      </c>
      <c r="J255" s="100">
        <f t="shared" si="74"/>
        <v>0</v>
      </c>
      <c r="K255" s="101">
        <f>Overview!$H$35</f>
        <v>0</v>
      </c>
      <c r="L255" s="102" t="e">
        <f t="shared" si="75"/>
        <v>#DIV/0!</v>
      </c>
      <c r="M255" s="179" t="s">
        <v>930</v>
      </c>
      <c r="N255" s="179" t="s">
        <v>3132</v>
      </c>
      <c r="O255" s="141">
        <f t="shared" si="76"/>
        <v>0</v>
      </c>
      <c r="P255" s="181" t="b">
        <f>COUNTIF('Facility Data'!$A$1:$A$1500,"*"&amp;A255&amp;"*")&gt;0</f>
        <v>0</v>
      </c>
      <c r="Q255" s="181" t="b">
        <f>COUNTIF('Account Data'!$A$1:$A$1000,"*"&amp;A255&amp;"*")&gt;0</f>
        <v>0</v>
      </c>
      <c r="R255" s="182" t="b">
        <f t="shared" si="77"/>
        <v>0</v>
      </c>
      <c r="S255" s="182" t="b">
        <f t="shared" si="78"/>
        <v>0</v>
      </c>
      <c r="T255" s="181" t="b">
        <f>COUNTIF('New Items'!$A$1:$A$175,A255)&gt;0</f>
        <v>0</v>
      </c>
      <c r="U255" s="181" t="b">
        <f>COUNTIF(Discontinued!$A$1:$A$150,A255)&gt;0</f>
        <v>0</v>
      </c>
    </row>
    <row r="256" spans="1:21" s="8" customFormat="1" ht="11.25" x14ac:dyDescent="0.2">
      <c r="A256" s="152">
        <v>10001390</v>
      </c>
      <c r="B256" s="10" t="s">
        <v>2785</v>
      </c>
      <c r="C256" s="12" t="s">
        <v>2786</v>
      </c>
      <c r="D256" s="11" t="s">
        <v>639</v>
      </c>
      <c r="E256" s="12" t="s">
        <v>769</v>
      </c>
      <c r="F256" s="13">
        <v>24</v>
      </c>
      <c r="G256" s="98">
        <f>Overview!$B$35</f>
        <v>26</v>
      </c>
      <c r="H256" s="99">
        <f t="shared" si="73"/>
        <v>26</v>
      </c>
      <c r="I256" s="99">
        <f>Overview!$E$35</f>
        <v>0</v>
      </c>
      <c r="J256" s="100">
        <f t="shared" si="74"/>
        <v>0</v>
      </c>
      <c r="K256" s="101">
        <f>Overview!$H$35</f>
        <v>0</v>
      </c>
      <c r="L256" s="102" t="e">
        <f t="shared" si="75"/>
        <v>#DIV/0!</v>
      </c>
      <c r="M256" s="179" t="s">
        <v>930</v>
      </c>
      <c r="N256" s="179" t="s">
        <v>3132</v>
      </c>
      <c r="O256" s="141">
        <f t="shared" si="76"/>
        <v>0</v>
      </c>
      <c r="P256" s="181" t="b">
        <f>COUNTIF('Facility Data'!$A$1:$A$1500,"*"&amp;A256&amp;"*")&gt;0</f>
        <v>0</v>
      </c>
      <c r="Q256" s="181" t="b">
        <f>COUNTIF('Account Data'!$A$1:$A$1000,"*"&amp;A256&amp;"*")&gt;0</f>
        <v>0</v>
      </c>
      <c r="R256" s="182" t="b">
        <f t="shared" si="77"/>
        <v>0</v>
      </c>
      <c r="S256" s="182" t="b">
        <f t="shared" si="78"/>
        <v>0</v>
      </c>
      <c r="T256" s="181" t="b">
        <f>COUNTIF('New Items'!$A$1:$A$175,A256)&gt;0</f>
        <v>0</v>
      </c>
      <c r="U256" s="181" t="b">
        <f>COUNTIF(Discontinued!$A$1:$A$150,A256)&gt;0</f>
        <v>0</v>
      </c>
    </row>
    <row r="257" spans="1:21" s="8" customFormat="1" ht="11.25" x14ac:dyDescent="0.2">
      <c r="A257" s="152">
        <v>10000008</v>
      </c>
      <c r="B257" s="10" t="s">
        <v>2791</v>
      </c>
      <c r="C257" s="12" t="s">
        <v>2792</v>
      </c>
      <c r="D257" s="11" t="s">
        <v>660</v>
      </c>
      <c r="E257" s="12" t="s">
        <v>769</v>
      </c>
      <c r="F257" s="13">
        <v>24</v>
      </c>
      <c r="G257" s="98">
        <f>Overview!$B$35</f>
        <v>26</v>
      </c>
      <c r="H257" s="99">
        <f t="shared" si="73"/>
        <v>26</v>
      </c>
      <c r="I257" s="99">
        <f>Overview!$E$35</f>
        <v>0</v>
      </c>
      <c r="J257" s="100">
        <f t="shared" si="74"/>
        <v>0</v>
      </c>
      <c r="K257" s="101">
        <f>Overview!$H$35</f>
        <v>0</v>
      </c>
      <c r="L257" s="102" t="e">
        <f t="shared" si="75"/>
        <v>#DIV/0!</v>
      </c>
      <c r="M257" s="179"/>
      <c r="N257" s="179" t="s">
        <v>3132</v>
      </c>
      <c r="O257" s="141">
        <f t="shared" si="76"/>
        <v>0</v>
      </c>
      <c r="P257" s="181" t="b">
        <f>COUNTIF('Facility Data'!$A$1:$A$1500,"*"&amp;A257&amp;"*")&gt;0</f>
        <v>0</v>
      </c>
      <c r="Q257" s="181" t="b">
        <f>COUNTIF('Account Data'!$A$1:$A$1000,"*"&amp;A257&amp;"*")&gt;0</f>
        <v>0</v>
      </c>
      <c r="R257" s="182" t="b">
        <f t="shared" si="77"/>
        <v>0</v>
      </c>
      <c r="S257" s="182" t="b">
        <f t="shared" si="78"/>
        <v>0</v>
      </c>
      <c r="T257" s="181" t="b">
        <f>COUNTIF('New Items'!$A$1:$A$175,A257)&gt;0</f>
        <v>0</v>
      </c>
      <c r="U257" s="181" t="b">
        <f>COUNTIF(Discontinued!$A$1:$A$150,A257)&gt;0</f>
        <v>0</v>
      </c>
    </row>
    <row r="258" spans="1:21" s="8" customFormat="1" ht="11.25" x14ac:dyDescent="0.2">
      <c r="A258" s="152">
        <v>10001389</v>
      </c>
      <c r="B258" s="10" t="s">
        <v>2777</v>
      </c>
      <c r="C258" s="12" t="s">
        <v>2778</v>
      </c>
      <c r="D258" s="11" t="s">
        <v>648</v>
      </c>
      <c r="E258" s="12" t="s">
        <v>769</v>
      </c>
      <c r="F258" s="13">
        <v>24</v>
      </c>
      <c r="G258" s="98">
        <f>Overview!$B$35</f>
        <v>26</v>
      </c>
      <c r="H258" s="99">
        <f t="shared" si="73"/>
        <v>26</v>
      </c>
      <c r="I258" s="99">
        <f>Overview!$E$35</f>
        <v>0</v>
      </c>
      <c r="J258" s="100">
        <f t="shared" si="74"/>
        <v>0</v>
      </c>
      <c r="K258" s="101">
        <f>Overview!$H$35</f>
        <v>0</v>
      </c>
      <c r="L258" s="102" t="e">
        <f t="shared" si="75"/>
        <v>#DIV/0!</v>
      </c>
      <c r="M258" s="179"/>
      <c r="N258" s="179" t="s">
        <v>3132</v>
      </c>
      <c r="O258" s="141">
        <f t="shared" si="76"/>
        <v>0</v>
      </c>
      <c r="P258" s="181" t="b">
        <f>COUNTIF('Facility Data'!$A$1:$A$1500,"*"&amp;A258&amp;"*")&gt;0</f>
        <v>0</v>
      </c>
      <c r="Q258" s="181" t="b">
        <f>COUNTIF('Account Data'!$A$1:$A$1000,"*"&amp;A258&amp;"*")&gt;0</f>
        <v>0</v>
      </c>
      <c r="R258" s="182" t="b">
        <f t="shared" si="77"/>
        <v>0</v>
      </c>
      <c r="S258" s="182" t="b">
        <f t="shared" si="78"/>
        <v>0</v>
      </c>
      <c r="T258" s="181" t="b">
        <f>COUNTIF('New Items'!$A$1:$A$175,A258)&gt;0</f>
        <v>0</v>
      </c>
      <c r="U258" s="181" t="b">
        <f>COUNTIF(Discontinued!$A$1:$A$150,A258)&gt;0</f>
        <v>0</v>
      </c>
    </row>
    <row r="259" spans="1:21" s="8" customFormat="1" ht="12" thickBot="1" x14ac:dyDescent="0.25">
      <c r="A259" s="152">
        <v>10000012</v>
      </c>
      <c r="B259" s="10" t="s">
        <v>2779</v>
      </c>
      <c r="C259" s="12" t="s">
        <v>2780</v>
      </c>
      <c r="D259" s="11" t="s">
        <v>650</v>
      </c>
      <c r="E259" s="12" t="s">
        <v>769</v>
      </c>
      <c r="F259" s="13">
        <v>24</v>
      </c>
      <c r="G259" s="98">
        <f>Overview!$B$35</f>
        <v>26</v>
      </c>
      <c r="H259" s="99">
        <f t="shared" si="73"/>
        <v>26</v>
      </c>
      <c r="I259" s="99">
        <f>Overview!$E$35</f>
        <v>0</v>
      </c>
      <c r="J259" s="100">
        <f t="shared" si="74"/>
        <v>0</v>
      </c>
      <c r="K259" s="101">
        <f>Overview!$H$35</f>
        <v>0</v>
      </c>
      <c r="L259" s="102" t="e">
        <f t="shared" si="75"/>
        <v>#DIV/0!</v>
      </c>
      <c r="M259" s="179" t="s">
        <v>4369</v>
      </c>
      <c r="N259" s="179" t="s">
        <v>3132</v>
      </c>
      <c r="O259" s="141">
        <f t="shared" si="76"/>
        <v>0</v>
      </c>
      <c r="P259" s="181" t="b">
        <f>COUNTIF('Facility Data'!$A$1:$A$1500,"*"&amp;A259&amp;"*")&gt;0</f>
        <v>1</v>
      </c>
      <c r="Q259" s="181" t="b">
        <f>COUNTIF('Account Data'!$A$1:$A$1000,"*"&amp;A259&amp;"*")&gt;0</f>
        <v>0</v>
      </c>
      <c r="R259" s="182" t="b">
        <f t="shared" si="77"/>
        <v>1</v>
      </c>
      <c r="S259" s="182" t="b">
        <f t="shared" si="78"/>
        <v>0</v>
      </c>
      <c r="T259" s="181" t="b">
        <f>COUNTIF('New Items'!$A$1:$A$175,A259)&gt;0</f>
        <v>0</v>
      </c>
      <c r="U259" s="181" t="b">
        <f>COUNTIF(Discontinued!$A$1:$A$150,A259)&gt;0</f>
        <v>0</v>
      </c>
    </row>
    <row r="260" spans="1:21" s="8" customFormat="1" ht="13.5" thickBot="1" x14ac:dyDescent="0.25">
      <c r="A260" s="300" t="s">
        <v>3014</v>
      </c>
      <c r="B260" s="301"/>
      <c r="C260" s="301"/>
      <c r="D260" s="301"/>
      <c r="E260" s="301"/>
      <c r="F260" s="301"/>
      <c r="G260" s="301"/>
      <c r="H260" s="301"/>
      <c r="I260" s="301"/>
      <c r="J260" s="301"/>
      <c r="K260" s="301"/>
      <c r="L260" s="302"/>
      <c r="M260" s="179"/>
      <c r="N260" s="179" t="s">
        <v>3133</v>
      </c>
      <c r="O260" s="141">
        <f>AVERAGE(O261:O264)</f>
        <v>0</v>
      </c>
      <c r="P260" s="181" t="b">
        <f>COUNTIF(P261:P264,TRUE)&gt;0</f>
        <v>0</v>
      </c>
      <c r="Q260" s="181" t="b">
        <f>COUNTIF(Q261:Q264,TRUE)&gt;0</f>
        <v>1</v>
      </c>
      <c r="R260" s="181" t="b">
        <f>COUNTIF(R261:R264,TRUE)&gt;0</f>
        <v>0</v>
      </c>
      <c r="S260" s="181" t="b">
        <f>COUNTIF(S261:S264,TRUE)&gt;0</f>
        <v>1</v>
      </c>
      <c r="T260" s="181" t="b">
        <f>COUNTIF(T261:T264,TRUE)&gt;0</f>
        <v>0</v>
      </c>
      <c r="U260" s="249"/>
    </row>
    <row r="261" spans="1:21" s="8" customFormat="1" ht="11.25" x14ac:dyDescent="0.2">
      <c r="A261" s="152">
        <v>10087178</v>
      </c>
      <c r="B261" s="10" t="s">
        <v>4119</v>
      </c>
      <c r="C261" s="12" t="s">
        <v>4120</v>
      </c>
      <c r="D261" s="11" t="s">
        <v>923</v>
      </c>
      <c r="E261" s="12" t="s">
        <v>769</v>
      </c>
      <c r="F261" s="13">
        <v>6</v>
      </c>
      <c r="G261" s="98">
        <f>Overview!$B$37</f>
        <v>26</v>
      </c>
      <c r="H261" s="99">
        <f>G261-I261</f>
        <v>26</v>
      </c>
      <c r="I261" s="99">
        <f>Overview!$E$37</f>
        <v>0</v>
      </c>
      <c r="J261" s="100">
        <f>I261/F261</f>
        <v>0</v>
      </c>
      <c r="K261" s="101">
        <f>Overview!$H$37</f>
        <v>0</v>
      </c>
      <c r="L261" s="102" t="e">
        <f>(K261-J261)/K261</f>
        <v>#DIV/0!</v>
      </c>
      <c r="M261" s="179" t="s">
        <v>921</v>
      </c>
      <c r="N261" s="179" t="s">
        <v>3133</v>
      </c>
      <c r="O261" s="141">
        <f>I261</f>
        <v>0</v>
      </c>
      <c r="P261" s="181" t="b">
        <f>COUNTIF('Facility Data'!$A$1:$A$1500,"*"&amp;A261&amp;"*")&gt;0</f>
        <v>0</v>
      </c>
      <c r="Q261" s="181" t="b">
        <f>COUNTIF('Account Data'!$A$1:$A$1000,"*"&amp;A261&amp;"*")&gt;0</f>
        <v>0</v>
      </c>
      <c r="R261" s="182" t="b">
        <f>IF(OR(P261=TRUE,T261=TRUE),TRUE,FALSE)</f>
        <v>0</v>
      </c>
      <c r="S261" s="182" t="b">
        <f>IF(OR(Q261=TRUE,T261=TRUE),TRUE,FALSE)</f>
        <v>0</v>
      </c>
      <c r="T261" s="181" t="b">
        <f>COUNTIF('New Items'!$A$1:$A$175,A261)&gt;0</f>
        <v>0</v>
      </c>
      <c r="U261" s="181" t="b">
        <f>COUNTIF(Discontinued!$A$1:$A$150,A261)&gt;0</f>
        <v>0</v>
      </c>
    </row>
    <row r="262" spans="1:21" s="8" customFormat="1" ht="11.25" x14ac:dyDescent="0.2">
      <c r="A262" s="152">
        <v>10087177</v>
      </c>
      <c r="B262" s="10" t="s">
        <v>3018</v>
      </c>
      <c r="C262" s="12" t="s">
        <v>3019</v>
      </c>
      <c r="D262" s="11" t="s">
        <v>922</v>
      </c>
      <c r="E262" s="12" t="s">
        <v>769</v>
      </c>
      <c r="F262" s="13">
        <v>6</v>
      </c>
      <c r="G262" s="98">
        <f>Overview!$B$37</f>
        <v>26</v>
      </c>
      <c r="H262" s="99">
        <f>G262-I262</f>
        <v>26</v>
      </c>
      <c r="I262" s="99">
        <f>Overview!$E$37</f>
        <v>0</v>
      </c>
      <c r="J262" s="100">
        <f>I262/F262</f>
        <v>0</v>
      </c>
      <c r="K262" s="101">
        <f>Overview!$H$37</f>
        <v>0</v>
      </c>
      <c r="L262" s="102" t="e">
        <f>(K262-J262)/K262</f>
        <v>#DIV/0!</v>
      </c>
      <c r="M262" s="179" t="s">
        <v>921</v>
      </c>
      <c r="N262" s="179" t="s">
        <v>3133</v>
      </c>
      <c r="O262" s="141">
        <f>I262</f>
        <v>0</v>
      </c>
      <c r="P262" s="181" t="b">
        <f>COUNTIF('Facility Data'!$A$1:$A$1500,"*"&amp;A262&amp;"*")&gt;0</f>
        <v>0</v>
      </c>
      <c r="Q262" s="181" t="b">
        <f>COUNTIF('Account Data'!$A$1:$A$1000,"*"&amp;A262&amp;"*")&gt;0</f>
        <v>0</v>
      </c>
      <c r="R262" s="182" t="b">
        <f>IF(OR(P262=TRUE,T262=TRUE),TRUE,FALSE)</f>
        <v>0</v>
      </c>
      <c r="S262" s="182" t="b">
        <f>IF(OR(Q262=TRUE,T262=TRUE),TRUE,FALSE)</f>
        <v>0</v>
      </c>
      <c r="T262" s="181" t="b">
        <f>COUNTIF('New Items'!$A$1:$A$175,A262)&gt;0</f>
        <v>0</v>
      </c>
      <c r="U262" s="181" t="b">
        <f>COUNTIF(Discontinued!$A$1:$A$150,A262)&gt;0</f>
        <v>0</v>
      </c>
    </row>
    <row r="263" spans="1:21" s="8" customFormat="1" ht="11.25" x14ac:dyDescent="0.2">
      <c r="A263" s="152">
        <v>10087179</v>
      </c>
      <c r="B263" s="10" t="s">
        <v>3791</v>
      </c>
      <c r="C263" s="12" t="s">
        <v>3792</v>
      </c>
      <c r="D263" s="11" t="s">
        <v>924</v>
      </c>
      <c r="E263" s="12" t="s">
        <v>769</v>
      </c>
      <c r="F263" s="13">
        <v>6</v>
      </c>
      <c r="G263" s="98">
        <f>Overview!$B$37</f>
        <v>26</v>
      </c>
      <c r="H263" s="99">
        <f>G263-I263</f>
        <v>26</v>
      </c>
      <c r="I263" s="99">
        <f>Overview!$E$37</f>
        <v>0</v>
      </c>
      <c r="J263" s="100">
        <f>I263/F263</f>
        <v>0</v>
      </c>
      <c r="K263" s="101">
        <f>Overview!$H$37</f>
        <v>0</v>
      </c>
      <c r="L263" s="102" t="e">
        <f>(K263-J263)/K263</f>
        <v>#DIV/0!</v>
      </c>
      <c r="M263" s="179" t="s">
        <v>951</v>
      </c>
      <c r="N263" s="179" t="s">
        <v>3133</v>
      </c>
      <c r="O263" s="141">
        <f>I263</f>
        <v>0</v>
      </c>
      <c r="P263" s="181" t="b">
        <f>COUNTIF('Facility Data'!$A$1:$A$1500,"*"&amp;A263&amp;"*")&gt;0</f>
        <v>0</v>
      </c>
      <c r="Q263" s="181" t="b">
        <f>COUNTIF('Account Data'!$A$1:$A$1000,"*"&amp;A263&amp;"*")&gt;0</f>
        <v>0</v>
      </c>
      <c r="R263" s="182" t="b">
        <f>IF(OR(P263=TRUE,T263=TRUE),TRUE,FALSE)</f>
        <v>0</v>
      </c>
      <c r="S263" s="182" t="b">
        <f>IF(OR(Q263=TRUE,T263=TRUE),TRUE,FALSE)</f>
        <v>0</v>
      </c>
      <c r="T263" s="181" t="b">
        <f>COUNTIF('New Items'!$A$1:$A$175,A263)&gt;0</f>
        <v>0</v>
      </c>
      <c r="U263" s="181" t="b">
        <f>COUNTIF(Discontinued!$A$1:$A$150,A263)&gt;0</f>
        <v>0</v>
      </c>
    </row>
    <row r="264" spans="1:21" s="8" customFormat="1" ht="12" thickBot="1" x14ac:dyDescent="0.25">
      <c r="A264" s="152">
        <v>10081780</v>
      </c>
      <c r="B264" s="10" t="s">
        <v>3015</v>
      </c>
      <c r="C264" s="12" t="s">
        <v>3016</v>
      </c>
      <c r="D264" s="11" t="s">
        <v>3011</v>
      </c>
      <c r="E264" s="12" t="s">
        <v>769</v>
      </c>
      <c r="F264" s="13">
        <v>6</v>
      </c>
      <c r="G264" s="98">
        <f>Overview!$B$37</f>
        <v>26</v>
      </c>
      <c r="H264" s="99">
        <f>G264-I264</f>
        <v>26</v>
      </c>
      <c r="I264" s="99">
        <f>Overview!$E$37</f>
        <v>0</v>
      </c>
      <c r="J264" s="100">
        <f>I264/F264</f>
        <v>0</v>
      </c>
      <c r="K264" s="101">
        <f>Overview!$H$37</f>
        <v>0</v>
      </c>
      <c r="L264" s="102" t="e">
        <f>(K264-J264)/K264</f>
        <v>#DIV/0!</v>
      </c>
      <c r="M264" s="179" t="s">
        <v>951</v>
      </c>
      <c r="N264" s="179" t="s">
        <v>3133</v>
      </c>
      <c r="O264" s="141">
        <f>I264</f>
        <v>0</v>
      </c>
      <c r="P264" s="181" t="b">
        <f>COUNTIF('Facility Data'!$A$1:$A$1500,"*"&amp;A264&amp;"*")&gt;0</f>
        <v>0</v>
      </c>
      <c r="Q264" s="181" t="b">
        <f>COUNTIF('Account Data'!$A$1:$A$1000,"*"&amp;A264&amp;"*")&gt;0</f>
        <v>1</v>
      </c>
      <c r="R264" s="182" t="b">
        <f>IF(OR(P264=TRUE,T264=TRUE),TRUE,FALSE)</f>
        <v>0</v>
      </c>
      <c r="S264" s="182" t="b">
        <f>IF(OR(Q264=TRUE,T264=TRUE),TRUE,FALSE)</f>
        <v>1</v>
      </c>
      <c r="T264" s="181" t="b">
        <f>COUNTIF('New Items'!$A$1:$A$175,A264)&gt;0</f>
        <v>0</v>
      </c>
      <c r="U264" s="181" t="b">
        <f>COUNTIF(Discontinued!$A$1:$A$150,A264)&gt;0</f>
        <v>0</v>
      </c>
    </row>
    <row r="265" spans="1:21" s="8" customFormat="1" ht="13.5" thickBot="1" x14ac:dyDescent="0.25">
      <c r="A265" s="300" t="s">
        <v>283</v>
      </c>
      <c r="B265" s="301"/>
      <c r="C265" s="301"/>
      <c r="D265" s="301"/>
      <c r="E265" s="301"/>
      <c r="F265" s="301"/>
      <c r="G265" s="301"/>
      <c r="H265" s="301"/>
      <c r="I265" s="301"/>
      <c r="J265" s="301"/>
      <c r="K265" s="301"/>
      <c r="L265" s="302"/>
      <c r="M265" s="179"/>
      <c r="N265" s="179" t="s">
        <v>966</v>
      </c>
      <c r="O265" s="141">
        <f>AVERAGE(O266:O274)</f>
        <v>0</v>
      </c>
      <c r="P265" s="181" t="b">
        <f>COUNTIF(P266:P274,TRUE)&gt;0</f>
        <v>1</v>
      </c>
      <c r="Q265" s="181" t="b">
        <f>COUNTIF(Q266:Q274,TRUE)&gt;0</f>
        <v>1</v>
      </c>
      <c r="R265" s="181" t="b">
        <f>COUNTIF(R266:R274,TRUE)&gt;0</f>
        <v>1</v>
      </c>
      <c r="S265" s="181" t="b">
        <f>COUNTIF(S266:S274,TRUE)&gt;0</f>
        <v>1</v>
      </c>
      <c r="T265" s="181" t="b">
        <f>COUNTIF(T266:T274,TRUE)&gt;0</f>
        <v>0</v>
      </c>
      <c r="U265" s="249"/>
    </row>
    <row r="266" spans="1:21" s="8" customFormat="1" ht="11.25" x14ac:dyDescent="0.2">
      <c r="A266" s="152">
        <v>10089301</v>
      </c>
      <c r="B266" s="10" t="s">
        <v>135</v>
      </c>
      <c r="C266" s="12" t="s">
        <v>136</v>
      </c>
      <c r="D266" s="11" t="s">
        <v>643</v>
      </c>
      <c r="E266" s="12" t="s">
        <v>772</v>
      </c>
      <c r="F266" s="13">
        <v>24</v>
      </c>
      <c r="G266" s="22">
        <f>Overview!$B$19</f>
        <v>30</v>
      </c>
      <c r="H266" s="23">
        <f t="shared" ref="H266:H274" si="79">G266-I266</f>
        <v>30</v>
      </c>
      <c r="I266" s="23">
        <f>Overview!$E$19</f>
        <v>0</v>
      </c>
      <c r="J266" s="52">
        <f t="shared" ref="J266:J274" si="80">I266/F266</f>
        <v>0</v>
      </c>
      <c r="K266" s="53">
        <f>Overview!$H$19</f>
        <v>0</v>
      </c>
      <c r="L266" s="54" t="e">
        <f t="shared" ref="L266:L274" si="81">(K266-J266)/K266</f>
        <v>#DIV/0!</v>
      </c>
      <c r="M266" s="179"/>
      <c r="N266" s="179" t="s">
        <v>966</v>
      </c>
      <c r="O266" s="141">
        <f t="shared" ref="O266:O274" si="82">I266</f>
        <v>0</v>
      </c>
      <c r="P266" s="181" t="b">
        <f>COUNTIF('Facility Data'!$A$1:$A$1500,"*"&amp;A266&amp;"*")&gt;0</f>
        <v>1</v>
      </c>
      <c r="Q266" s="181" t="b">
        <f>COUNTIF('Account Data'!$A$1:$A$1000,"*"&amp;A266&amp;"*")&gt;0</f>
        <v>1</v>
      </c>
      <c r="R266" s="182" t="b">
        <f t="shared" ref="R266:R274" si="83">IF(OR(P266=TRUE,T266=TRUE),TRUE,FALSE)</f>
        <v>1</v>
      </c>
      <c r="S266" s="182" t="b">
        <f t="shared" ref="S266:S274" si="84">IF(OR(Q266=TRUE,T266=TRUE),TRUE,FALSE)</f>
        <v>1</v>
      </c>
      <c r="T266" s="181" t="b">
        <f>COUNTIF('New Items'!$A$1:$A$175,A266)&gt;0</f>
        <v>0</v>
      </c>
      <c r="U266" s="181" t="b">
        <f>COUNTIF(Discontinued!$A$1:$A$150,A266)&gt;0</f>
        <v>0</v>
      </c>
    </row>
    <row r="267" spans="1:21" s="8" customFormat="1" ht="11.25" x14ac:dyDescent="0.2">
      <c r="A267" s="152">
        <v>10089269</v>
      </c>
      <c r="B267" s="10" t="s">
        <v>137</v>
      </c>
      <c r="C267" s="12" t="s">
        <v>138</v>
      </c>
      <c r="D267" s="11" t="s">
        <v>645</v>
      </c>
      <c r="E267" s="12" t="s">
        <v>772</v>
      </c>
      <c r="F267" s="13">
        <v>24</v>
      </c>
      <c r="G267" s="22">
        <f>Overview!$B$19</f>
        <v>30</v>
      </c>
      <c r="H267" s="23">
        <f t="shared" si="79"/>
        <v>30</v>
      </c>
      <c r="I267" s="23">
        <f>Overview!$E$19</f>
        <v>0</v>
      </c>
      <c r="J267" s="52">
        <f t="shared" si="80"/>
        <v>0</v>
      </c>
      <c r="K267" s="53">
        <f>Overview!$H$19</f>
        <v>0</v>
      </c>
      <c r="L267" s="54" t="e">
        <f t="shared" si="81"/>
        <v>#DIV/0!</v>
      </c>
      <c r="M267" s="179" t="s">
        <v>4406</v>
      </c>
      <c r="N267" s="179" t="s">
        <v>966</v>
      </c>
      <c r="O267" s="141">
        <f t="shared" si="82"/>
        <v>0</v>
      </c>
      <c r="P267" s="181" t="b">
        <f>COUNTIF('Facility Data'!$A$1:$A$1500,"*"&amp;A267&amp;"*")&gt;0</f>
        <v>1</v>
      </c>
      <c r="Q267" s="181" t="b">
        <f>COUNTIF('Account Data'!$A$1:$A$1000,"*"&amp;A267&amp;"*")&gt;0</f>
        <v>1</v>
      </c>
      <c r="R267" s="182" t="b">
        <f t="shared" si="83"/>
        <v>1</v>
      </c>
      <c r="S267" s="182" t="b">
        <f t="shared" si="84"/>
        <v>1</v>
      </c>
      <c r="T267" s="181" t="b">
        <f>COUNTIF('New Items'!$A$1:$A$175,A267)&gt;0</f>
        <v>0</v>
      </c>
      <c r="U267" s="181" t="b">
        <f>COUNTIF(Discontinued!$A$1:$A$150,A267)&gt;0</f>
        <v>0</v>
      </c>
    </row>
    <row r="268" spans="1:21" s="8" customFormat="1" ht="11.25" x14ac:dyDescent="0.2">
      <c r="A268" s="152">
        <v>10090161</v>
      </c>
      <c r="B268" s="10" t="s">
        <v>1288</v>
      </c>
      <c r="C268" s="12" t="s">
        <v>1289</v>
      </c>
      <c r="D268" s="11" t="s">
        <v>640</v>
      </c>
      <c r="E268" s="12" t="s">
        <v>772</v>
      </c>
      <c r="F268" s="13">
        <v>24</v>
      </c>
      <c r="G268" s="22">
        <f>Overview!$B$19</f>
        <v>30</v>
      </c>
      <c r="H268" s="23">
        <f t="shared" si="79"/>
        <v>30</v>
      </c>
      <c r="I268" s="23">
        <f>Overview!$E$19</f>
        <v>0</v>
      </c>
      <c r="J268" s="52">
        <f t="shared" si="80"/>
        <v>0</v>
      </c>
      <c r="K268" s="53">
        <f>Overview!$H$19</f>
        <v>0</v>
      </c>
      <c r="L268" s="54" t="e">
        <f t="shared" si="81"/>
        <v>#DIV/0!</v>
      </c>
      <c r="M268" s="179"/>
      <c r="N268" s="179" t="s">
        <v>966</v>
      </c>
      <c r="O268" s="141">
        <f t="shared" si="82"/>
        <v>0</v>
      </c>
      <c r="P268" s="181" t="b">
        <f>COUNTIF('Facility Data'!$A$1:$A$1500,"*"&amp;A268&amp;"*")&gt;0</f>
        <v>1</v>
      </c>
      <c r="Q268" s="181" t="b">
        <f>COUNTIF('Account Data'!$A$1:$A$1000,"*"&amp;A268&amp;"*")&gt;0</f>
        <v>0</v>
      </c>
      <c r="R268" s="182" t="b">
        <f t="shared" si="83"/>
        <v>1</v>
      </c>
      <c r="S268" s="182" t="b">
        <f t="shared" si="84"/>
        <v>0</v>
      </c>
      <c r="T268" s="181" t="b">
        <f>COUNTIF('New Items'!$A$1:$A$175,A268)&gt;0</f>
        <v>0</v>
      </c>
      <c r="U268" s="181" t="b">
        <f>COUNTIF(Discontinued!$A$1:$A$150,A268)&gt;0</f>
        <v>0</v>
      </c>
    </row>
    <row r="269" spans="1:21" s="8" customFormat="1" ht="11.25" x14ac:dyDescent="0.2">
      <c r="A269" s="152">
        <v>10089257</v>
      </c>
      <c r="B269" s="10" t="s">
        <v>141</v>
      </c>
      <c r="C269" s="12" t="s">
        <v>142</v>
      </c>
      <c r="D269" s="11" t="s">
        <v>652</v>
      </c>
      <c r="E269" s="12" t="s">
        <v>772</v>
      </c>
      <c r="F269" s="13">
        <v>24</v>
      </c>
      <c r="G269" s="22">
        <f>Overview!$B$19</f>
        <v>30</v>
      </c>
      <c r="H269" s="23">
        <f t="shared" si="79"/>
        <v>30</v>
      </c>
      <c r="I269" s="23">
        <f>Overview!$E$19</f>
        <v>0</v>
      </c>
      <c r="J269" s="52">
        <f t="shared" si="80"/>
        <v>0</v>
      </c>
      <c r="K269" s="53">
        <f>Overview!$H$19</f>
        <v>0</v>
      </c>
      <c r="L269" s="54" t="e">
        <f t="shared" si="81"/>
        <v>#DIV/0!</v>
      </c>
      <c r="M269" s="179"/>
      <c r="N269" s="179" t="s">
        <v>966</v>
      </c>
      <c r="O269" s="141">
        <f t="shared" si="82"/>
        <v>0</v>
      </c>
      <c r="P269" s="181" t="b">
        <f>COUNTIF('Facility Data'!$A$1:$A$1500,"*"&amp;A269&amp;"*")&gt;0</f>
        <v>0</v>
      </c>
      <c r="Q269" s="181" t="b">
        <f>COUNTIF('Account Data'!$A$1:$A$1000,"*"&amp;A269&amp;"*")&gt;0</f>
        <v>1</v>
      </c>
      <c r="R269" s="182" t="b">
        <f t="shared" si="83"/>
        <v>0</v>
      </c>
      <c r="S269" s="182" t="b">
        <f t="shared" si="84"/>
        <v>1</v>
      </c>
      <c r="T269" s="181" t="b">
        <f>COUNTIF('New Items'!$A$1:$A$175,A269)&gt;0</f>
        <v>0</v>
      </c>
      <c r="U269" s="181" t="b">
        <f>COUNTIF(Discontinued!$A$1:$A$150,A269)&gt;0</f>
        <v>0</v>
      </c>
    </row>
    <row r="270" spans="1:21" s="8" customFormat="1" ht="11.25" x14ac:dyDescent="0.2">
      <c r="A270" s="152">
        <v>10129363</v>
      </c>
      <c r="B270" s="10" t="s">
        <v>3764</v>
      </c>
      <c r="C270" s="12" t="s">
        <v>3766</v>
      </c>
      <c r="D270" s="119" t="s">
        <v>3762</v>
      </c>
      <c r="E270" s="12" t="s">
        <v>772</v>
      </c>
      <c r="F270" s="13">
        <v>24</v>
      </c>
      <c r="G270" s="22">
        <f>Overview!$B$19</f>
        <v>30</v>
      </c>
      <c r="H270" s="23">
        <f t="shared" si="79"/>
        <v>30</v>
      </c>
      <c r="I270" s="23">
        <f>Overview!$E$19</f>
        <v>0</v>
      </c>
      <c r="J270" s="52">
        <f t="shared" si="80"/>
        <v>0</v>
      </c>
      <c r="K270" s="53">
        <f>Overview!$H$19</f>
        <v>0</v>
      </c>
      <c r="L270" s="54" t="e">
        <f t="shared" si="81"/>
        <v>#DIV/0!</v>
      </c>
      <c r="M270" s="179" t="s">
        <v>951</v>
      </c>
      <c r="N270" s="179" t="s">
        <v>966</v>
      </c>
      <c r="O270" s="141">
        <f t="shared" si="82"/>
        <v>0</v>
      </c>
      <c r="P270" s="181" t="b">
        <f>COUNTIF('Facility Data'!$A$1:$A$1500,"*"&amp;A270&amp;"*")&gt;0</f>
        <v>0</v>
      </c>
      <c r="Q270" s="181" t="b">
        <f>COUNTIF('Account Data'!$A$1:$A$1000,"*"&amp;A270&amp;"*")&gt;0</f>
        <v>0</v>
      </c>
      <c r="R270" s="182" t="b">
        <f t="shared" si="83"/>
        <v>0</v>
      </c>
      <c r="S270" s="182" t="b">
        <f t="shared" si="84"/>
        <v>0</v>
      </c>
      <c r="T270" s="181" t="b">
        <f>COUNTIF('New Items'!$A$1:$A$175,A270)&gt;0</f>
        <v>0</v>
      </c>
      <c r="U270" s="181" t="b">
        <f>COUNTIF(Discontinued!$A$1:$A$150,A270)&gt;0</f>
        <v>0</v>
      </c>
    </row>
    <row r="271" spans="1:21" s="8" customFormat="1" ht="11.25" x14ac:dyDescent="0.2">
      <c r="A271" s="152">
        <v>10078568</v>
      </c>
      <c r="B271" s="10" t="s">
        <v>133</v>
      </c>
      <c r="C271" s="12" t="s">
        <v>134</v>
      </c>
      <c r="D271" s="11" t="s">
        <v>629</v>
      </c>
      <c r="E271" s="12" t="s">
        <v>772</v>
      </c>
      <c r="F271" s="13">
        <v>24</v>
      </c>
      <c r="G271" s="22">
        <f>Overview!$B$19</f>
        <v>30</v>
      </c>
      <c r="H271" s="23">
        <f t="shared" si="79"/>
        <v>30</v>
      </c>
      <c r="I271" s="23">
        <f>Overview!$E$19</f>
        <v>0</v>
      </c>
      <c r="J271" s="52">
        <f t="shared" si="80"/>
        <v>0</v>
      </c>
      <c r="K271" s="53">
        <f>Overview!$H$19</f>
        <v>0</v>
      </c>
      <c r="L271" s="54" t="e">
        <f t="shared" si="81"/>
        <v>#DIV/0!</v>
      </c>
      <c r="M271" s="179" t="s">
        <v>951</v>
      </c>
      <c r="N271" s="179" t="s">
        <v>966</v>
      </c>
      <c r="O271" s="141">
        <f t="shared" si="82"/>
        <v>0</v>
      </c>
      <c r="P271" s="181" t="b">
        <f>COUNTIF('Facility Data'!$A$1:$A$1500,"*"&amp;A271&amp;"*")&gt;0</f>
        <v>0</v>
      </c>
      <c r="Q271" s="181" t="b">
        <f>COUNTIF('Account Data'!$A$1:$A$1000,"*"&amp;A271&amp;"*")&gt;0</f>
        <v>1</v>
      </c>
      <c r="R271" s="182" t="b">
        <f t="shared" si="83"/>
        <v>0</v>
      </c>
      <c r="S271" s="182" t="b">
        <f t="shared" si="84"/>
        <v>1</v>
      </c>
      <c r="T271" s="181" t="b">
        <f>COUNTIF('New Items'!$A$1:$A$175,A271)&gt;0</f>
        <v>0</v>
      </c>
      <c r="U271" s="181" t="b">
        <f>COUNTIF(Discontinued!$A$1:$A$150,A271)&gt;0</f>
        <v>0</v>
      </c>
    </row>
    <row r="272" spans="1:21" s="8" customFormat="1" ht="11.25" x14ac:dyDescent="0.2">
      <c r="A272" s="152">
        <v>10086157</v>
      </c>
      <c r="B272" s="10" t="s">
        <v>2959</v>
      </c>
      <c r="C272" s="12" t="s">
        <v>134</v>
      </c>
      <c r="D272" s="11" t="s">
        <v>2960</v>
      </c>
      <c r="E272" s="12" t="s">
        <v>772</v>
      </c>
      <c r="F272" s="13">
        <v>24</v>
      </c>
      <c r="G272" s="22">
        <f>Overview!$B$19</f>
        <v>30</v>
      </c>
      <c r="H272" s="23">
        <f t="shared" si="79"/>
        <v>30</v>
      </c>
      <c r="I272" s="23">
        <f>Overview!$E$19</f>
        <v>0</v>
      </c>
      <c r="J272" s="52">
        <f t="shared" si="80"/>
        <v>0</v>
      </c>
      <c r="K272" s="53">
        <f>Overview!$H$19</f>
        <v>0</v>
      </c>
      <c r="L272" s="54" t="e">
        <f t="shared" si="81"/>
        <v>#DIV/0!</v>
      </c>
      <c r="M272" s="179" t="s">
        <v>951</v>
      </c>
      <c r="N272" s="179" t="s">
        <v>966</v>
      </c>
      <c r="O272" s="141">
        <f t="shared" si="82"/>
        <v>0</v>
      </c>
      <c r="P272" s="181" t="b">
        <f>COUNTIF('Facility Data'!$A$1:$A$1500,"*"&amp;A272&amp;"*")&gt;0</f>
        <v>0</v>
      </c>
      <c r="Q272" s="181" t="b">
        <f>COUNTIF('Account Data'!$A$1:$A$1000,"*"&amp;A272&amp;"*")&gt;0</f>
        <v>1</v>
      </c>
      <c r="R272" s="182" t="b">
        <f t="shared" si="83"/>
        <v>0</v>
      </c>
      <c r="S272" s="182" t="b">
        <f t="shared" si="84"/>
        <v>1</v>
      </c>
      <c r="T272" s="181" t="b">
        <f>COUNTIF('New Items'!$A$1:$A$175,A272)&gt;0</f>
        <v>0</v>
      </c>
      <c r="U272" s="181" t="b">
        <f>COUNTIF(Discontinued!$A$1:$A$150,A272)&gt;0</f>
        <v>0</v>
      </c>
    </row>
    <row r="273" spans="1:21" s="8" customFormat="1" ht="11.25" x14ac:dyDescent="0.2">
      <c r="A273" s="152">
        <v>10129364</v>
      </c>
      <c r="B273" s="10" t="s">
        <v>3763</v>
      </c>
      <c r="C273" s="12" t="s">
        <v>3765</v>
      </c>
      <c r="D273" s="119" t="s">
        <v>3761</v>
      </c>
      <c r="E273" s="12" t="s">
        <v>772</v>
      </c>
      <c r="F273" s="13">
        <v>24</v>
      </c>
      <c r="G273" s="22">
        <f>Overview!$B$19</f>
        <v>30</v>
      </c>
      <c r="H273" s="23">
        <f t="shared" si="79"/>
        <v>30</v>
      </c>
      <c r="I273" s="23">
        <f>Overview!$E$19</f>
        <v>0</v>
      </c>
      <c r="J273" s="52">
        <f t="shared" si="80"/>
        <v>0</v>
      </c>
      <c r="K273" s="53">
        <f>Overview!$H$19</f>
        <v>0</v>
      </c>
      <c r="L273" s="54" t="e">
        <f t="shared" si="81"/>
        <v>#DIV/0!</v>
      </c>
      <c r="M273" s="179" t="s">
        <v>951</v>
      </c>
      <c r="N273" s="179" t="s">
        <v>966</v>
      </c>
      <c r="O273" s="141">
        <f t="shared" si="82"/>
        <v>0</v>
      </c>
      <c r="P273" s="181" t="b">
        <f>COUNTIF('Facility Data'!$A$1:$A$1500,"*"&amp;A273&amp;"*")&gt;0</f>
        <v>0</v>
      </c>
      <c r="Q273" s="181" t="b">
        <f>COUNTIF('Account Data'!$A$1:$A$1000,"*"&amp;A273&amp;"*")&gt;0</f>
        <v>0</v>
      </c>
      <c r="R273" s="182" t="b">
        <f t="shared" si="83"/>
        <v>0</v>
      </c>
      <c r="S273" s="182" t="b">
        <f t="shared" si="84"/>
        <v>0</v>
      </c>
      <c r="T273" s="181" t="b">
        <f>COUNTIF('New Items'!$A$1:$A$175,A273)&gt;0</f>
        <v>0</v>
      </c>
      <c r="U273" s="181" t="b">
        <f>COUNTIF(Discontinued!$A$1:$A$150,A273)&gt;0</f>
        <v>0</v>
      </c>
    </row>
    <row r="274" spans="1:21" s="8" customFormat="1" ht="12" thickBot="1" x14ac:dyDescent="0.25">
      <c r="A274" s="152">
        <v>10086430</v>
      </c>
      <c r="B274" s="10" t="s">
        <v>139</v>
      </c>
      <c r="C274" s="12" t="s">
        <v>140</v>
      </c>
      <c r="D274" s="11" t="s">
        <v>650</v>
      </c>
      <c r="E274" s="12" t="s">
        <v>772</v>
      </c>
      <c r="F274" s="13">
        <v>24</v>
      </c>
      <c r="G274" s="22">
        <f>Overview!$B$19</f>
        <v>30</v>
      </c>
      <c r="H274" s="23">
        <f t="shared" si="79"/>
        <v>30</v>
      </c>
      <c r="I274" s="23">
        <f>Overview!$E$19</f>
        <v>0</v>
      </c>
      <c r="J274" s="52">
        <f t="shared" si="80"/>
        <v>0</v>
      </c>
      <c r="K274" s="53">
        <f>Overview!$H$19</f>
        <v>0</v>
      </c>
      <c r="L274" s="54" t="e">
        <f t="shared" si="81"/>
        <v>#DIV/0!</v>
      </c>
      <c r="M274" s="179" t="s">
        <v>4369</v>
      </c>
      <c r="N274" s="179" t="s">
        <v>966</v>
      </c>
      <c r="O274" s="141">
        <f t="shared" si="82"/>
        <v>0</v>
      </c>
      <c r="P274" s="181" t="b">
        <f>COUNTIF('Facility Data'!$A$1:$A$1500,"*"&amp;A274&amp;"*")&gt;0</f>
        <v>1</v>
      </c>
      <c r="Q274" s="181" t="b">
        <f>COUNTIF('Account Data'!$A$1:$A$1000,"*"&amp;A274&amp;"*")&gt;0</f>
        <v>1</v>
      </c>
      <c r="R274" s="182" t="b">
        <f t="shared" si="83"/>
        <v>1</v>
      </c>
      <c r="S274" s="182" t="b">
        <f t="shared" si="84"/>
        <v>1</v>
      </c>
      <c r="T274" s="181" t="b">
        <f>COUNTIF('New Items'!$A$1:$A$175,A274)&gt;0</f>
        <v>0</v>
      </c>
      <c r="U274" s="181" t="b">
        <f>COUNTIF(Discontinued!$A$1:$A$150,A274)&gt;0</f>
        <v>0</v>
      </c>
    </row>
    <row r="275" spans="1:21" s="8" customFormat="1" ht="13.5" thickBot="1" x14ac:dyDescent="0.25">
      <c r="A275" s="300" t="s">
        <v>306</v>
      </c>
      <c r="B275" s="301"/>
      <c r="C275" s="301"/>
      <c r="D275" s="301"/>
      <c r="E275" s="301"/>
      <c r="F275" s="301"/>
      <c r="G275" s="301"/>
      <c r="H275" s="301"/>
      <c r="I275" s="301"/>
      <c r="J275" s="301"/>
      <c r="K275" s="301"/>
      <c r="L275" s="302"/>
      <c r="M275" s="179"/>
      <c r="N275" s="179" t="s">
        <v>971</v>
      </c>
      <c r="O275" s="141">
        <f>AVERAGE(O276:O303)</f>
        <v>0</v>
      </c>
      <c r="P275" s="181" t="b">
        <f>COUNTIF(P276:P303,TRUE)&gt;0</f>
        <v>1</v>
      </c>
      <c r="Q275" s="181" t="b">
        <f>COUNTIF(Q276:Q303,TRUE)&gt;0</f>
        <v>1</v>
      </c>
      <c r="R275" s="181" t="b">
        <f>COUNTIF(R276:R303,TRUE)&gt;0</f>
        <v>1</v>
      </c>
      <c r="S275" s="181" t="b">
        <f>COUNTIF(S276:S303,TRUE)&gt;0</f>
        <v>1</v>
      </c>
      <c r="T275" s="181" t="b">
        <f>COUNTIF(T276:T303,TRUE)&gt;0</f>
        <v>0</v>
      </c>
      <c r="U275" s="249"/>
    </row>
    <row r="276" spans="1:21" s="8" customFormat="1" ht="11.25" x14ac:dyDescent="0.2">
      <c r="A276" s="152">
        <v>10001236</v>
      </c>
      <c r="B276" s="10" t="s">
        <v>311</v>
      </c>
      <c r="C276" s="12" t="s">
        <v>312</v>
      </c>
      <c r="D276" s="11" t="s">
        <v>643</v>
      </c>
      <c r="E276" s="12" t="s">
        <v>774</v>
      </c>
      <c r="F276" s="13">
        <v>4</v>
      </c>
      <c r="G276" s="22">
        <f>Overview!$B$21</f>
        <v>24</v>
      </c>
      <c r="H276" s="114">
        <f t="shared" ref="H276:H303" si="85">G276-I276</f>
        <v>24</v>
      </c>
      <c r="I276" s="114">
        <f>Overview!$E$21</f>
        <v>0</v>
      </c>
      <c r="J276" s="115">
        <f t="shared" ref="J276:J303" si="86">I276/F276</f>
        <v>0</v>
      </c>
      <c r="K276" s="116">
        <f>Overview!$H$21</f>
        <v>0</v>
      </c>
      <c r="L276" s="117" t="e">
        <f t="shared" ref="L276:L303" si="87">(K276-J276)/K276</f>
        <v>#DIV/0!</v>
      </c>
      <c r="M276" s="179"/>
      <c r="N276" s="179" t="s">
        <v>971</v>
      </c>
      <c r="O276" s="141">
        <f t="shared" ref="O276:O303" si="88">I276</f>
        <v>0</v>
      </c>
      <c r="P276" s="181" t="b">
        <f>COUNTIF('Facility Data'!$A$1:$A$1500,"*"&amp;A276&amp;"*")&gt;0</f>
        <v>1</v>
      </c>
      <c r="Q276" s="181" t="b">
        <f>COUNTIF('Account Data'!$A$1:$A$1000,"*"&amp;A276&amp;"*")&gt;0</f>
        <v>1</v>
      </c>
      <c r="R276" s="182" t="b">
        <f t="shared" ref="R276:R303" si="89">IF(OR(P276=TRUE,T276=TRUE),TRUE,FALSE)</f>
        <v>1</v>
      </c>
      <c r="S276" s="182" t="b">
        <f t="shared" ref="S276:S303" si="90">IF(OR(Q276=TRUE,T276=TRUE),TRUE,FALSE)</f>
        <v>1</v>
      </c>
      <c r="T276" s="181" t="b">
        <f>COUNTIF('New Items'!$A$1:$A$175,A276)&gt;0</f>
        <v>0</v>
      </c>
      <c r="U276" s="181" t="b">
        <f>COUNTIF(Discontinued!$A$1:$A$150,A276)&gt;0</f>
        <v>0</v>
      </c>
    </row>
    <row r="277" spans="1:21" s="8" customFormat="1" ht="11.25" x14ac:dyDescent="0.2">
      <c r="A277" s="152">
        <v>10001237</v>
      </c>
      <c r="B277" s="10" t="s">
        <v>4768</v>
      </c>
      <c r="C277" s="12" t="s">
        <v>314</v>
      </c>
      <c r="D277" s="11" t="s">
        <v>4733</v>
      </c>
      <c r="E277" s="12" t="s">
        <v>774</v>
      </c>
      <c r="F277" s="13">
        <v>4</v>
      </c>
      <c r="G277" s="22">
        <f>Overview!$B$21</f>
        <v>24</v>
      </c>
      <c r="H277" s="114">
        <f>G277-I277</f>
        <v>24</v>
      </c>
      <c r="I277" s="114">
        <f>Overview!$E$21</f>
        <v>0</v>
      </c>
      <c r="J277" s="115">
        <f>I277/F277</f>
        <v>0</v>
      </c>
      <c r="K277" s="116">
        <f>Overview!$H$21</f>
        <v>0</v>
      </c>
      <c r="L277" s="117" t="e">
        <f>(K277-J277)/K277</f>
        <v>#DIV/0!</v>
      </c>
      <c r="M277" s="179"/>
      <c r="N277" s="179" t="s">
        <v>971</v>
      </c>
      <c r="O277" s="141">
        <f>I277</f>
        <v>0</v>
      </c>
      <c r="P277" s="181" t="b">
        <f>COUNTIF('Facility Data'!$A$1:$A$1500,"*"&amp;A277&amp;"*")&gt;0</f>
        <v>1</v>
      </c>
      <c r="Q277" s="181" t="b">
        <f>COUNTIF('Account Data'!$A$1:$A$1000,"*"&amp;A277&amp;"*")&gt;0</f>
        <v>1</v>
      </c>
      <c r="R277" s="182" t="b">
        <f>IF(OR(P277=TRUE,T277=TRUE),TRUE,FALSE)</f>
        <v>1</v>
      </c>
      <c r="S277" s="182" t="b">
        <f>IF(OR(Q277=TRUE,T277=TRUE),TRUE,FALSE)</f>
        <v>1</v>
      </c>
      <c r="T277" s="181" t="b">
        <f>COUNTIF('New Items'!$A$1:$A$175,A277)&gt;0</f>
        <v>0</v>
      </c>
      <c r="U277" s="181" t="b">
        <f>COUNTIF(Discontinued!$A$1:$A$150,A277)&gt;0</f>
        <v>0</v>
      </c>
    </row>
    <row r="278" spans="1:21" s="8" customFormat="1" ht="11.25" x14ac:dyDescent="0.2">
      <c r="A278" s="152">
        <v>10001238</v>
      </c>
      <c r="B278" s="10" t="s">
        <v>319</v>
      </c>
      <c r="C278" s="12" t="s">
        <v>320</v>
      </c>
      <c r="D278" s="11" t="s">
        <v>646</v>
      </c>
      <c r="E278" s="12" t="s">
        <v>774</v>
      </c>
      <c r="F278" s="13">
        <v>4</v>
      </c>
      <c r="G278" s="22">
        <f>Overview!$B$21</f>
        <v>24</v>
      </c>
      <c r="H278" s="114">
        <f t="shared" si="85"/>
        <v>24</v>
      </c>
      <c r="I278" s="114">
        <f>Overview!$E$21</f>
        <v>0</v>
      </c>
      <c r="J278" s="115">
        <f t="shared" si="86"/>
        <v>0</v>
      </c>
      <c r="K278" s="116">
        <f>Overview!$H$21</f>
        <v>0</v>
      </c>
      <c r="L278" s="117" t="e">
        <f t="shared" si="87"/>
        <v>#DIV/0!</v>
      </c>
      <c r="M278" s="179" t="s">
        <v>4406</v>
      </c>
      <c r="N278" s="179" t="s">
        <v>971</v>
      </c>
      <c r="O278" s="141">
        <f t="shared" si="88"/>
        <v>0</v>
      </c>
      <c r="P278" s="181" t="b">
        <f>COUNTIF('Facility Data'!$A$1:$A$1500,"*"&amp;A278&amp;"*")&gt;0</f>
        <v>0</v>
      </c>
      <c r="Q278" s="181" t="b">
        <f>COUNTIF('Account Data'!$A$1:$A$1000,"*"&amp;A278&amp;"*")&gt;0</f>
        <v>0</v>
      </c>
      <c r="R278" s="182" t="b">
        <f t="shared" si="89"/>
        <v>0</v>
      </c>
      <c r="S278" s="182" t="b">
        <f t="shared" si="90"/>
        <v>0</v>
      </c>
      <c r="T278" s="181" t="b">
        <f>COUNTIF('New Items'!$A$1:$A$175,A278)&gt;0</f>
        <v>0</v>
      </c>
      <c r="U278" s="181" t="b">
        <f>COUNTIF(Discontinued!$A$1:$A$150,A278)&gt;0</f>
        <v>0</v>
      </c>
    </row>
    <row r="279" spans="1:21" s="8" customFormat="1" ht="11.25" x14ac:dyDescent="0.2">
      <c r="A279" s="152">
        <v>10001251</v>
      </c>
      <c r="B279" s="10" t="s">
        <v>315</v>
      </c>
      <c r="C279" s="12" t="s">
        <v>316</v>
      </c>
      <c r="D279" s="11" t="s">
        <v>645</v>
      </c>
      <c r="E279" s="12" t="s">
        <v>774</v>
      </c>
      <c r="F279" s="13">
        <v>4</v>
      </c>
      <c r="G279" s="22">
        <f>Overview!$B$21</f>
        <v>24</v>
      </c>
      <c r="H279" s="114">
        <f t="shared" si="85"/>
        <v>24</v>
      </c>
      <c r="I279" s="114">
        <f>Overview!$E$21</f>
        <v>0</v>
      </c>
      <c r="J279" s="115">
        <f t="shared" si="86"/>
        <v>0</v>
      </c>
      <c r="K279" s="116">
        <f>Overview!$H$21</f>
        <v>0</v>
      </c>
      <c r="L279" s="117" t="e">
        <f t="shared" si="87"/>
        <v>#DIV/0!</v>
      </c>
      <c r="M279" s="179" t="s">
        <v>4406</v>
      </c>
      <c r="N279" s="179" t="s">
        <v>971</v>
      </c>
      <c r="O279" s="141">
        <f t="shared" si="88"/>
        <v>0</v>
      </c>
      <c r="P279" s="181" t="b">
        <f>COUNTIF('Facility Data'!$A$1:$A$1500,"*"&amp;A279&amp;"*")&gt;0</f>
        <v>1</v>
      </c>
      <c r="Q279" s="181" t="b">
        <f>COUNTIF('Account Data'!$A$1:$A$1000,"*"&amp;A279&amp;"*")&gt;0</f>
        <v>1</v>
      </c>
      <c r="R279" s="182" t="b">
        <f t="shared" si="89"/>
        <v>1</v>
      </c>
      <c r="S279" s="182" t="b">
        <f t="shared" si="90"/>
        <v>1</v>
      </c>
      <c r="T279" s="181" t="b">
        <f>COUNTIF('New Items'!$A$1:$A$175,A279)&gt;0</f>
        <v>0</v>
      </c>
      <c r="U279" s="181" t="b">
        <f>COUNTIF(Discontinued!$A$1:$A$150,A279)&gt;0</f>
        <v>0</v>
      </c>
    </row>
    <row r="280" spans="1:21" s="8" customFormat="1" ht="11.25" x14ac:dyDescent="0.2">
      <c r="A280" s="152">
        <v>10001252</v>
      </c>
      <c r="B280" s="10" t="s">
        <v>4769</v>
      </c>
      <c r="C280" s="12" t="s">
        <v>318</v>
      </c>
      <c r="D280" s="11" t="s">
        <v>4735</v>
      </c>
      <c r="E280" s="12" t="s">
        <v>774</v>
      </c>
      <c r="F280" s="13">
        <v>4</v>
      </c>
      <c r="G280" s="22">
        <f>Overview!$B$21</f>
        <v>24</v>
      </c>
      <c r="H280" s="114">
        <f>G280-I280</f>
        <v>24</v>
      </c>
      <c r="I280" s="114">
        <f>Overview!$E$21</f>
        <v>0</v>
      </c>
      <c r="J280" s="115">
        <f>I280/F280</f>
        <v>0</v>
      </c>
      <c r="K280" s="116">
        <f>Overview!$H$21</f>
        <v>0</v>
      </c>
      <c r="L280" s="117" t="e">
        <f>(K280-J280)/K280</f>
        <v>#DIV/0!</v>
      </c>
      <c r="M280" s="179" t="s">
        <v>4406</v>
      </c>
      <c r="N280" s="179" t="s">
        <v>971</v>
      </c>
      <c r="O280" s="141">
        <f>I280</f>
        <v>0</v>
      </c>
      <c r="P280" s="181" t="b">
        <f>COUNTIF('Facility Data'!$A$1:$A$1500,"*"&amp;A280&amp;"*")&gt;0</f>
        <v>1</v>
      </c>
      <c r="Q280" s="181" t="b">
        <f>COUNTIF('Account Data'!$A$1:$A$1000,"*"&amp;A280&amp;"*")&gt;0</f>
        <v>1</v>
      </c>
      <c r="R280" s="182" t="b">
        <f>IF(OR(P280=TRUE,T280=TRUE),TRUE,FALSE)</f>
        <v>1</v>
      </c>
      <c r="S280" s="182" t="b">
        <f>IF(OR(Q280=TRUE,T280=TRUE),TRUE,FALSE)</f>
        <v>1</v>
      </c>
      <c r="T280" s="181" t="b">
        <f>COUNTIF('New Items'!$A$1:$A$175,A280)&gt;0</f>
        <v>0</v>
      </c>
      <c r="U280" s="181" t="b">
        <f>COUNTIF(Discontinued!$A$1:$A$150,A280)&gt;0</f>
        <v>0</v>
      </c>
    </row>
    <row r="281" spans="1:21" s="8" customFormat="1" ht="11.25" x14ac:dyDescent="0.2">
      <c r="A281" s="152">
        <v>10001255</v>
      </c>
      <c r="B281" s="231" t="s">
        <v>1318</v>
      </c>
      <c r="C281" s="118" t="s">
        <v>1319</v>
      </c>
      <c r="D281" s="119" t="s">
        <v>640</v>
      </c>
      <c r="E281" s="118" t="s">
        <v>774</v>
      </c>
      <c r="F281" s="120">
        <v>4</v>
      </c>
      <c r="G281" s="121">
        <f>Overview!$B$21</f>
        <v>24</v>
      </c>
      <c r="H281" s="114">
        <f t="shared" si="85"/>
        <v>24</v>
      </c>
      <c r="I281" s="114">
        <f>Overview!$E$21</f>
        <v>0</v>
      </c>
      <c r="J281" s="115">
        <f t="shared" si="86"/>
        <v>0</v>
      </c>
      <c r="K281" s="116">
        <f>Overview!$H$21</f>
        <v>0</v>
      </c>
      <c r="L281" s="117" t="e">
        <f t="shared" si="87"/>
        <v>#DIV/0!</v>
      </c>
      <c r="M281" s="179"/>
      <c r="N281" s="179" t="s">
        <v>971</v>
      </c>
      <c r="O281" s="141">
        <f t="shared" si="88"/>
        <v>0</v>
      </c>
      <c r="P281" s="181" t="b">
        <f>COUNTIF('Facility Data'!$A$1:$A$1500,"*"&amp;A281&amp;"*")&gt;0</f>
        <v>1</v>
      </c>
      <c r="Q281" s="181" t="b">
        <f>COUNTIF('Account Data'!$A$1:$A$1000,"*"&amp;A281&amp;"*")&gt;0</f>
        <v>0</v>
      </c>
      <c r="R281" s="182" t="b">
        <f t="shared" si="89"/>
        <v>1</v>
      </c>
      <c r="S281" s="182" t="b">
        <f t="shared" si="90"/>
        <v>0</v>
      </c>
      <c r="T281" s="181" t="b">
        <f>COUNTIF('New Items'!$A$1:$A$175,A281)&gt;0</f>
        <v>0</v>
      </c>
      <c r="U281" s="181" t="b">
        <f>COUNTIF(Discontinued!$A$1:$A$150,A281)&gt;0</f>
        <v>0</v>
      </c>
    </row>
    <row r="282" spans="1:21" s="8" customFormat="1" ht="11.25" x14ac:dyDescent="0.2">
      <c r="A282" s="152">
        <v>10000017</v>
      </c>
      <c r="B282" s="231" t="s">
        <v>1441</v>
      </c>
      <c r="C282" s="118" t="s">
        <v>1442</v>
      </c>
      <c r="D282" s="119" t="s">
        <v>662</v>
      </c>
      <c r="E282" s="118" t="s">
        <v>774</v>
      </c>
      <c r="F282" s="120">
        <v>4</v>
      </c>
      <c r="G282" s="121">
        <f>Overview!$B$21</f>
        <v>24</v>
      </c>
      <c r="H282" s="114">
        <f t="shared" si="85"/>
        <v>24</v>
      </c>
      <c r="I282" s="114">
        <f>Overview!$E$21</f>
        <v>0</v>
      </c>
      <c r="J282" s="115">
        <f t="shared" si="86"/>
        <v>0</v>
      </c>
      <c r="K282" s="116">
        <f>Overview!$H$21</f>
        <v>0</v>
      </c>
      <c r="L282" s="117" t="e">
        <f t="shared" si="87"/>
        <v>#DIV/0!</v>
      </c>
      <c r="M282" s="179"/>
      <c r="N282" s="179" t="s">
        <v>971</v>
      </c>
      <c r="O282" s="141">
        <f t="shared" si="88"/>
        <v>0</v>
      </c>
      <c r="P282" s="181" t="b">
        <f>COUNTIF('Facility Data'!$A$1:$A$1500,"*"&amp;A282&amp;"*")&gt;0</f>
        <v>1</v>
      </c>
      <c r="Q282" s="181" t="b">
        <f>COUNTIF('Account Data'!$A$1:$A$1000,"*"&amp;A282&amp;"*")&gt;0</f>
        <v>0</v>
      </c>
      <c r="R282" s="182" t="b">
        <f t="shared" si="89"/>
        <v>1</v>
      </c>
      <c r="S282" s="182" t="b">
        <f t="shared" si="90"/>
        <v>0</v>
      </c>
      <c r="T282" s="181" t="b">
        <f>COUNTIF('New Items'!$A$1:$A$175,A282)&gt;0</f>
        <v>0</v>
      </c>
      <c r="U282" s="181" t="b">
        <f>COUNTIF(Discontinued!$A$1:$A$150,A282)&gt;0</f>
        <v>0</v>
      </c>
    </row>
    <row r="283" spans="1:21" s="8" customFormat="1" ht="11.25" x14ac:dyDescent="0.2">
      <c r="A283" s="152">
        <v>10001627</v>
      </c>
      <c r="B283" s="231" t="s">
        <v>1439</v>
      </c>
      <c r="C283" s="118" t="s">
        <v>1440</v>
      </c>
      <c r="D283" s="119" t="s">
        <v>794</v>
      </c>
      <c r="E283" s="118" t="s">
        <v>774</v>
      </c>
      <c r="F283" s="120">
        <v>4</v>
      </c>
      <c r="G283" s="121">
        <f>Overview!$B$21</f>
        <v>24</v>
      </c>
      <c r="H283" s="114">
        <f t="shared" si="85"/>
        <v>24</v>
      </c>
      <c r="I283" s="114">
        <f>Overview!$E$21</f>
        <v>0</v>
      </c>
      <c r="J283" s="115">
        <f t="shared" si="86"/>
        <v>0</v>
      </c>
      <c r="K283" s="116">
        <f>Overview!$H$21</f>
        <v>0</v>
      </c>
      <c r="L283" s="117" t="e">
        <f t="shared" si="87"/>
        <v>#DIV/0!</v>
      </c>
      <c r="M283" s="179" t="s">
        <v>951</v>
      </c>
      <c r="N283" s="179" t="s">
        <v>971</v>
      </c>
      <c r="O283" s="141">
        <f t="shared" si="88"/>
        <v>0</v>
      </c>
      <c r="P283" s="181" t="b">
        <f>COUNTIF('Facility Data'!$A$1:$A$1500,"*"&amp;A283&amp;"*")&gt;0</f>
        <v>0</v>
      </c>
      <c r="Q283" s="181" t="b">
        <f>COUNTIF('Account Data'!$A$1:$A$1000,"*"&amp;A283&amp;"*")&gt;0</f>
        <v>0</v>
      </c>
      <c r="R283" s="182" t="b">
        <f t="shared" si="89"/>
        <v>0</v>
      </c>
      <c r="S283" s="182" t="b">
        <f t="shared" si="90"/>
        <v>0</v>
      </c>
      <c r="T283" s="181" t="b">
        <f>COUNTIF('New Items'!$A$1:$A$175,A283)&gt;0</f>
        <v>0</v>
      </c>
      <c r="U283" s="181" t="b">
        <f>COUNTIF(Discontinued!$A$1:$A$150,A283)&gt;0</f>
        <v>0</v>
      </c>
    </row>
    <row r="284" spans="1:21" s="8" customFormat="1" ht="11.25" x14ac:dyDescent="0.2">
      <c r="A284" s="152">
        <v>10001266</v>
      </c>
      <c r="B284" s="231" t="s">
        <v>325</v>
      </c>
      <c r="C284" s="118" t="s">
        <v>326</v>
      </c>
      <c r="D284" s="119" t="s">
        <v>652</v>
      </c>
      <c r="E284" s="118" t="s">
        <v>774</v>
      </c>
      <c r="F284" s="120">
        <v>4</v>
      </c>
      <c r="G284" s="121">
        <f>Overview!$B$21</f>
        <v>24</v>
      </c>
      <c r="H284" s="114">
        <f t="shared" si="85"/>
        <v>24</v>
      </c>
      <c r="I284" s="114">
        <f>Overview!$E$21</f>
        <v>0</v>
      </c>
      <c r="J284" s="115">
        <f t="shared" si="86"/>
        <v>0</v>
      </c>
      <c r="K284" s="116">
        <f>Overview!$H$21</f>
        <v>0</v>
      </c>
      <c r="L284" s="117" t="e">
        <f t="shared" si="87"/>
        <v>#DIV/0!</v>
      </c>
      <c r="M284" s="179"/>
      <c r="N284" s="179" t="s">
        <v>971</v>
      </c>
      <c r="O284" s="141">
        <f t="shared" si="88"/>
        <v>0</v>
      </c>
      <c r="P284" s="181" t="b">
        <f>COUNTIF('Facility Data'!$A$1:$A$1500,"*"&amp;A284&amp;"*")&gt;0</f>
        <v>1</v>
      </c>
      <c r="Q284" s="181" t="b">
        <f>COUNTIF('Account Data'!$A$1:$A$1000,"*"&amp;A284&amp;"*")&gt;0</f>
        <v>1</v>
      </c>
      <c r="R284" s="182" t="b">
        <f t="shared" si="89"/>
        <v>1</v>
      </c>
      <c r="S284" s="182" t="b">
        <f t="shared" si="90"/>
        <v>1</v>
      </c>
      <c r="T284" s="181" t="b">
        <f>COUNTIF('New Items'!$A$1:$A$175,A284)&gt;0</f>
        <v>0</v>
      </c>
      <c r="U284" s="181" t="b">
        <f>COUNTIF(Discontinued!$A$1:$A$150,A284)&gt;0</f>
        <v>0</v>
      </c>
    </row>
    <row r="285" spans="1:21" s="8" customFormat="1" ht="11.25" x14ac:dyDescent="0.2">
      <c r="A285" s="152">
        <v>10119292</v>
      </c>
      <c r="B285" s="231" t="s">
        <v>1099</v>
      </c>
      <c r="C285" s="118" t="s">
        <v>1100</v>
      </c>
      <c r="D285" s="119" t="s">
        <v>796</v>
      </c>
      <c r="E285" s="118" t="s">
        <v>774</v>
      </c>
      <c r="F285" s="120">
        <v>4</v>
      </c>
      <c r="G285" s="121">
        <f>Overview!$B$21</f>
        <v>24</v>
      </c>
      <c r="H285" s="114">
        <f t="shared" si="85"/>
        <v>24</v>
      </c>
      <c r="I285" s="114">
        <f>Overview!$E$21</f>
        <v>0</v>
      </c>
      <c r="J285" s="115">
        <f t="shared" si="86"/>
        <v>0</v>
      </c>
      <c r="K285" s="116">
        <f>Overview!$H$21</f>
        <v>0</v>
      </c>
      <c r="L285" s="117" t="e">
        <f t="shared" si="87"/>
        <v>#DIV/0!</v>
      </c>
      <c r="M285" s="179"/>
      <c r="N285" s="179" t="s">
        <v>971</v>
      </c>
      <c r="O285" s="141">
        <f t="shared" si="88"/>
        <v>0</v>
      </c>
      <c r="P285" s="181" t="b">
        <f>COUNTIF('Facility Data'!$A$1:$A$1500,"*"&amp;A285&amp;"*")&gt;0</f>
        <v>1</v>
      </c>
      <c r="Q285" s="181" t="b">
        <f>COUNTIF('Account Data'!$A$1:$A$1000,"*"&amp;A285&amp;"*")&gt;0</f>
        <v>0</v>
      </c>
      <c r="R285" s="182" t="b">
        <f t="shared" si="89"/>
        <v>1</v>
      </c>
      <c r="S285" s="182" t="b">
        <f t="shared" si="90"/>
        <v>0</v>
      </c>
      <c r="T285" s="181" t="b">
        <f>COUNTIF('New Items'!$A$1:$A$175,A285)&gt;0</f>
        <v>0</v>
      </c>
      <c r="U285" s="181" t="b">
        <f>COUNTIF(Discontinued!$A$1:$A$150,A285)&gt;0</f>
        <v>0</v>
      </c>
    </row>
    <row r="286" spans="1:21" s="8" customFormat="1" ht="11.25" x14ac:dyDescent="0.2">
      <c r="A286" s="152">
        <v>10002576</v>
      </c>
      <c r="B286" s="10" t="s">
        <v>4796</v>
      </c>
      <c r="C286" s="12" t="s">
        <v>328</v>
      </c>
      <c r="D286" s="11" t="s">
        <v>4737</v>
      </c>
      <c r="E286" s="12" t="s">
        <v>774</v>
      </c>
      <c r="F286" s="13">
        <v>4</v>
      </c>
      <c r="G286" s="22">
        <f>Overview!$B$21</f>
        <v>24</v>
      </c>
      <c r="H286" s="114">
        <f>G286-I286</f>
        <v>24</v>
      </c>
      <c r="I286" s="114">
        <f>Overview!$E$21</f>
        <v>0</v>
      </c>
      <c r="J286" s="115">
        <f>I286/F286</f>
        <v>0</v>
      </c>
      <c r="K286" s="116">
        <f>Overview!$H$21</f>
        <v>0</v>
      </c>
      <c r="L286" s="117" t="e">
        <f>(K286-J286)/K286</f>
        <v>#DIV/0!</v>
      </c>
      <c r="M286" s="179"/>
      <c r="N286" s="179" t="s">
        <v>971</v>
      </c>
      <c r="O286" s="141">
        <f>I286</f>
        <v>0</v>
      </c>
      <c r="P286" s="181" t="b">
        <f>COUNTIF('Facility Data'!$A$1:$A$1500,"*"&amp;A286&amp;"*")&gt;0</f>
        <v>0</v>
      </c>
      <c r="Q286" s="181" t="b">
        <f>COUNTIF('Account Data'!$A$1:$A$1000,"*"&amp;A286&amp;"*")&gt;0</f>
        <v>0</v>
      </c>
      <c r="R286" s="182" t="b">
        <f>IF(OR(P286=TRUE,T286=TRUE),TRUE,FALSE)</f>
        <v>0</v>
      </c>
      <c r="S286" s="182" t="b">
        <f>IF(OR(Q286=TRUE,T286=TRUE),TRUE,FALSE)</f>
        <v>0</v>
      </c>
      <c r="T286" s="181" t="b">
        <f>COUNTIF('New Items'!$A$1:$A$175,A286)&gt;0</f>
        <v>0</v>
      </c>
      <c r="U286" s="181" t="b">
        <f>COUNTIF(Discontinued!$A$1:$A$150,A286)&gt;0</f>
        <v>0</v>
      </c>
    </row>
    <row r="287" spans="1:21" s="8" customFormat="1" ht="11.25" x14ac:dyDescent="0.2">
      <c r="A287" s="152">
        <v>10099703</v>
      </c>
      <c r="B287" s="10" t="s">
        <v>3277</v>
      </c>
      <c r="C287" s="12" t="s">
        <v>817</v>
      </c>
      <c r="D287" s="11" t="s">
        <v>632</v>
      </c>
      <c r="E287" s="12" t="s">
        <v>774</v>
      </c>
      <c r="F287" s="13">
        <v>4</v>
      </c>
      <c r="G287" s="22">
        <f>Overview!$B$21</f>
        <v>24</v>
      </c>
      <c r="H287" s="114">
        <f t="shared" si="85"/>
        <v>24</v>
      </c>
      <c r="I287" s="114">
        <f>Overview!$E$21</f>
        <v>0</v>
      </c>
      <c r="J287" s="115">
        <f t="shared" si="86"/>
        <v>0</v>
      </c>
      <c r="K287" s="116">
        <f>Overview!$H$21</f>
        <v>0</v>
      </c>
      <c r="L287" s="117" t="e">
        <f t="shared" si="87"/>
        <v>#DIV/0!</v>
      </c>
      <c r="M287" s="179" t="s">
        <v>951</v>
      </c>
      <c r="N287" s="179" t="s">
        <v>971</v>
      </c>
      <c r="O287" s="141">
        <f t="shared" si="88"/>
        <v>0</v>
      </c>
      <c r="P287" s="181" t="b">
        <f>COUNTIF('Facility Data'!$A$1:$A$1500,"*"&amp;A287&amp;"*")&gt;0</f>
        <v>0</v>
      </c>
      <c r="Q287" s="181" t="b">
        <f>COUNTIF('Account Data'!$A$1:$A$1000,"*"&amp;A287&amp;"*")&gt;0</f>
        <v>0</v>
      </c>
      <c r="R287" s="182" t="b">
        <f t="shared" si="89"/>
        <v>0</v>
      </c>
      <c r="S287" s="182" t="b">
        <f t="shared" si="90"/>
        <v>0</v>
      </c>
      <c r="T287" s="181" t="b">
        <f>COUNTIF('New Items'!$A$1:$A$175,A287)&gt;0</f>
        <v>0</v>
      </c>
      <c r="U287" s="181" t="b">
        <f>COUNTIF(Discontinued!$A$1:$A$150,A287)&gt;0</f>
        <v>0</v>
      </c>
    </row>
    <row r="288" spans="1:21" s="8" customFormat="1" ht="11.25" x14ac:dyDescent="0.2">
      <c r="A288" s="152">
        <v>10021949</v>
      </c>
      <c r="B288" s="10" t="s">
        <v>3278</v>
      </c>
      <c r="C288" s="12" t="s">
        <v>938</v>
      </c>
      <c r="D288" s="11" t="s">
        <v>922</v>
      </c>
      <c r="E288" s="12" t="s">
        <v>774</v>
      </c>
      <c r="F288" s="13">
        <v>4</v>
      </c>
      <c r="G288" s="22">
        <f>Overview!$B$21</f>
        <v>24</v>
      </c>
      <c r="H288" s="114">
        <f t="shared" si="85"/>
        <v>24</v>
      </c>
      <c r="I288" s="114">
        <f>Overview!$E$21</f>
        <v>0</v>
      </c>
      <c r="J288" s="115">
        <f t="shared" si="86"/>
        <v>0</v>
      </c>
      <c r="K288" s="116">
        <f>Overview!$H$21</f>
        <v>0</v>
      </c>
      <c r="L288" s="117" t="e">
        <f t="shared" si="87"/>
        <v>#DIV/0!</v>
      </c>
      <c r="M288" s="179" t="s">
        <v>921</v>
      </c>
      <c r="N288" s="179" t="s">
        <v>971</v>
      </c>
      <c r="O288" s="141">
        <f t="shared" si="88"/>
        <v>0</v>
      </c>
      <c r="P288" s="181" t="b">
        <f>COUNTIF('Facility Data'!$A$1:$A$1500,"*"&amp;A288&amp;"*")&gt;0</f>
        <v>0</v>
      </c>
      <c r="Q288" s="181" t="b">
        <f>COUNTIF('Account Data'!$A$1:$A$1000,"*"&amp;A288&amp;"*")&gt;0</f>
        <v>0</v>
      </c>
      <c r="R288" s="182" t="b">
        <f t="shared" si="89"/>
        <v>0</v>
      </c>
      <c r="S288" s="182" t="b">
        <f t="shared" si="90"/>
        <v>0</v>
      </c>
      <c r="T288" s="181" t="b">
        <f>COUNTIF('New Items'!$A$1:$A$175,A288)&gt;0</f>
        <v>0</v>
      </c>
      <c r="U288" s="181" t="b">
        <f>COUNTIF(Discontinued!$A$1:$A$150,A288)&gt;0</f>
        <v>0</v>
      </c>
    </row>
    <row r="289" spans="1:21" s="8" customFormat="1" ht="11.25" x14ac:dyDescent="0.2">
      <c r="A289" s="152">
        <v>10001241</v>
      </c>
      <c r="B289" s="10" t="s">
        <v>309</v>
      </c>
      <c r="C289" s="12" t="s">
        <v>310</v>
      </c>
      <c r="D289" s="11" t="s">
        <v>631</v>
      </c>
      <c r="E289" s="12" t="s">
        <v>774</v>
      </c>
      <c r="F289" s="13">
        <v>4</v>
      </c>
      <c r="G289" s="22">
        <f>Overview!$B$21</f>
        <v>24</v>
      </c>
      <c r="H289" s="114">
        <f t="shared" si="85"/>
        <v>24</v>
      </c>
      <c r="I289" s="114">
        <f>Overview!$E$21</f>
        <v>0</v>
      </c>
      <c r="J289" s="115">
        <f t="shared" si="86"/>
        <v>0</v>
      </c>
      <c r="K289" s="116">
        <f>Overview!$H$21</f>
        <v>0</v>
      </c>
      <c r="L289" s="117" t="e">
        <f t="shared" si="87"/>
        <v>#DIV/0!</v>
      </c>
      <c r="M289" s="179" t="s">
        <v>951</v>
      </c>
      <c r="N289" s="179" t="s">
        <v>971</v>
      </c>
      <c r="O289" s="141">
        <f t="shared" si="88"/>
        <v>0</v>
      </c>
      <c r="P289" s="181" t="b">
        <f>COUNTIF('Facility Data'!$A$1:$A$1500,"*"&amp;A289&amp;"*")&gt;0</f>
        <v>0</v>
      </c>
      <c r="Q289" s="181" t="b">
        <f>COUNTIF('Account Data'!$A$1:$A$1000,"*"&amp;A289&amp;"*")&gt;0</f>
        <v>1</v>
      </c>
      <c r="R289" s="182" t="b">
        <f t="shared" si="89"/>
        <v>0</v>
      </c>
      <c r="S289" s="182" t="b">
        <f t="shared" si="90"/>
        <v>1</v>
      </c>
      <c r="T289" s="181" t="b">
        <f>COUNTIF('New Items'!$A$1:$A$175,A289)&gt;0</f>
        <v>0</v>
      </c>
      <c r="U289" s="181" t="b">
        <f>COUNTIF(Discontinued!$A$1:$A$150,A289)&gt;0</f>
        <v>0</v>
      </c>
    </row>
    <row r="290" spans="1:21" s="8" customFormat="1" ht="11.25" x14ac:dyDescent="0.2">
      <c r="A290" s="152">
        <v>10001245</v>
      </c>
      <c r="B290" s="231" t="s">
        <v>1320</v>
      </c>
      <c r="C290" s="118" t="s">
        <v>1321</v>
      </c>
      <c r="D290" s="119" t="s">
        <v>658</v>
      </c>
      <c r="E290" s="118" t="s">
        <v>774</v>
      </c>
      <c r="F290" s="120">
        <v>4</v>
      </c>
      <c r="G290" s="121">
        <f>Overview!$B$21</f>
        <v>24</v>
      </c>
      <c r="H290" s="114">
        <f t="shared" si="85"/>
        <v>24</v>
      </c>
      <c r="I290" s="114">
        <f>Overview!$E$21</f>
        <v>0</v>
      </c>
      <c r="J290" s="115">
        <f t="shared" si="86"/>
        <v>0</v>
      </c>
      <c r="K290" s="116">
        <f>Overview!$H$21</f>
        <v>0</v>
      </c>
      <c r="L290" s="117" t="e">
        <f t="shared" si="87"/>
        <v>#DIV/0!</v>
      </c>
      <c r="M290" s="179"/>
      <c r="N290" s="179" t="s">
        <v>971</v>
      </c>
      <c r="O290" s="141">
        <f t="shared" si="88"/>
        <v>0</v>
      </c>
      <c r="P290" s="181" t="b">
        <f>COUNTIF('Facility Data'!$A$1:$A$1500,"*"&amp;A290&amp;"*")&gt;0</f>
        <v>0</v>
      </c>
      <c r="Q290" s="181" t="b">
        <f>COUNTIF('Account Data'!$A$1:$A$1000,"*"&amp;A290&amp;"*")&gt;0</f>
        <v>0</v>
      </c>
      <c r="R290" s="182" t="b">
        <f t="shared" si="89"/>
        <v>0</v>
      </c>
      <c r="S290" s="182" t="b">
        <f t="shared" si="90"/>
        <v>0</v>
      </c>
      <c r="T290" s="181" t="b">
        <f>COUNTIF('New Items'!$A$1:$A$175,A290)&gt;0</f>
        <v>0</v>
      </c>
      <c r="U290" s="181" t="b">
        <f>COUNTIF(Discontinued!$A$1:$A$150,A290)&gt;0</f>
        <v>0</v>
      </c>
    </row>
    <row r="291" spans="1:21" s="8" customFormat="1" ht="11.25" x14ac:dyDescent="0.2">
      <c r="A291" s="152">
        <v>10001264</v>
      </c>
      <c r="B291" s="231" t="s">
        <v>1718</v>
      </c>
      <c r="C291" s="118" t="s">
        <v>1719</v>
      </c>
      <c r="D291" s="119" t="s">
        <v>649</v>
      </c>
      <c r="E291" s="118" t="s">
        <v>774</v>
      </c>
      <c r="F291" s="120">
        <v>4</v>
      </c>
      <c r="G291" s="121">
        <f>Overview!$B$21</f>
        <v>24</v>
      </c>
      <c r="H291" s="114">
        <f t="shared" si="85"/>
        <v>24</v>
      </c>
      <c r="I291" s="114">
        <f>Overview!$E$21</f>
        <v>0</v>
      </c>
      <c r="J291" s="115">
        <f t="shared" si="86"/>
        <v>0</v>
      </c>
      <c r="K291" s="116">
        <f>Overview!$H$21</f>
        <v>0</v>
      </c>
      <c r="L291" s="117" t="e">
        <f t="shared" si="87"/>
        <v>#DIV/0!</v>
      </c>
      <c r="M291" s="179"/>
      <c r="N291" s="179" t="s">
        <v>971</v>
      </c>
      <c r="O291" s="141">
        <f t="shared" si="88"/>
        <v>0</v>
      </c>
      <c r="P291" s="181" t="b">
        <f>COUNTIF('Facility Data'!$A$1:$A$1500,"*"&amp;A291&amp;"*")&gt;0</f>
        <v>0</v>
      </c>
      <c r="Q291" s="181" t="b">
        <f>COUNTIF('Account Data'!$A$1:$A$1000,"*"&amp;A291&amp;"*")&gt;0</f>
        <v>0</v>
      </c>
      <c r="R291" s="182" t="b">
        <f t="shared" si="89"/>
        <v>0</v>
      </c>
      <c r="S291" s="182" t="b">
        <f t="shared" si="90"/>
        <v>0</v>
      </c>
      <c r="T291" s="181" t="b">
        <f>COUNTIF('New Items'!$A$1:$A$175,A291)&gt;0</f>
        <v>0</v>
      </c>
      <c r="U291" s="181" t="b">
        <f>COUNTIF(Discontinued!$A$1:$A$150,A291)&gt;0</f>
        <v>0</v>
      </c>
    </row>
    <row r="292" spans="1:21" s="8" customFormat="1" ht="11.25" x14ac:dyDescent="0.2">
      <c r="A292" s="152">
        <v>10001240</v>
      </c>
      <c r="B292" s="10" t="s">
        <v>307</v>
      </c>
      <c r="C292" s="12" t="s">
        <v>308</v>
      </c>
      <c r="D292" s="11" t="s">
        <v>629</v>
      </c>
      <c r="E292" s="12" t="s">
        <v>774</v>
      </c>
      <c r="F292" s="13">
        <v>4</v>
      </c>
      <c r="G292" s="22">
        <f>Overview!$B$21</f>
        <v>24</v>
      </c>
      <c r="H292" s="114">
        <f t="shared" si="85"/>
        <v>24</v>
      </c>
      <c r="I292" s="114">
        <f>Overview!$E$21</f>
        <v>0</v>
      </c>
      <c r="J292" s="115">
        <f t="shared" si="86"/>
        <v>0</v>
      </c>
      <c r="K292" s="116">
        <f>Overview!$H$21</f>
        <v>0</v>
      </c>
      <c r="L292" s="117" t="e">
        <f t="shared" si="87"/>
        <v>#DIV/0!</v>
      </c>
      <c r="M292" s="179" t="s">
        <v>951</v>
      </c>
      <c r="N292" s="179" t="s">
        <v>971</v>
      </c>
      <c r="O292" s="141">
        <f t="shared" si="88"/>
        <v>0</v>
      </c>
      <c r="P292" s="181" t="b">
        <f>COUNTIF('Facility Data'!$A$1:$A$1500,"*"&amp;A292&amp;"*")&gt;0</f>
        <v>0</v>
      </c>
      <c r="Q292" s="181" t="b">
        <f>COUNTIF('Account Data'!$A$1:$A$1000,"*"&amp;A292&amp;"*")&gt;0</f>
        <v>1</v>
      </c>
      <c r="R292" s="182" t="b">
        <f t="shared" si="89"/>
        <v>0</v>
      </c>
      <c r="S292" s="182" t="b">
        <f t="shared" si="90"/>
        <v>1</v>
      </c>
      <c r="T292" s="181" t="b">
        <f>COUNTIF('New Items'!$A$1:$A$175,A292)&gt;0</f>
        <v>0</v>
      </c>
      <c r="U292" s="181" t="b">
        <f>COUNTIF(Discontinued!$A$1:$A$150,A292)&gt;0</f>
        <v>0</v>
      </c>
    </row>
    <row r="293" spans="1:21" s="8" customFormat="1" ht="11.25" x14ac:dyDescent="0.2">
      <c r="A293" s="152">
        <v>10127332</v>
      </c>
      <c r="B293" s="10" t="s">
        <v>3767</v>
      </c>
      <c r="C293" s="12" t="s">
        <v>3768</v>
      </c>
      <c r="D293" s="119" t="s">
        <v>3761</v>
      </c>
      <c r="E293" s="12" t="s">
        <v>774</v>
      </c>
      <c r="F293" s="13">
        <v>4</v>
      </c>
      <c r="G293" s="22">
        <f>Overview!$B$21</f>
        <v>24</v>
      </c>
      <c r="H293" s="114">
        <f t="shared" si="85"/>
        <v>24</v>
      </c>
      <c r="I293" s="114">
        <f>Overview!$E$21</f>
        <v>0</v>
      </c>
      <c r="J293" s="115">
        <f t="shared" si="86"/>
        <v>0</v>
      </c>
      <c r="K293" s="116">
        <f>Overview!$H$21</f>
        <v>0</v>
      </c>
      <c r="L293" s="117" t="e">
        <f t="shared" si="87"/>
        <v>#DIV/0!</v>
      </c>
      <c r="M293" s="179" t="s">
        <v>951</v>
      </c>
      <c r="N293" s="179" t="s">
        <v>971</v>
      </c>
      <c r="O293" s="141">
        <f t="shared" si="88"/>
        <v>0</v>
      </c>
      <c r="P293" s="181" t="b">
        <f>COUNTIF('Facility Data'!$A$1:$A$1500,"*"&amp;A293&amp;"*")&gt;0</f>
        <v>0</v>
      </c>
      <c r="Q293" s="181" t="b">
        <f>COUNTIF('Account Data'!$A$1:$A$1000,"*"&amp;A293&amp;"*")&gt;0</f>
        <v>0</v>
      </c>
      <c r="R293" s="182" t="b">
        <f t="shared" si="89"/>
        <v>0</v>
      </c>
      <c r="S293" s="182" t="b">
        <f t="shared" si="90"/>
        <v>0</v>
      </c>
      <c r="T293" s="181" t="b">
        <f>COUNTIF('New Items'!$A$1:$A$175,A293)&gt;0</f>
        <v>0</v>
      </c>
      <c r="U293" s="181" t="b">
        <f>COUNTIF(Discontinued!$A$1:$A$150,A293)&gt;0</f>
        <v>0</v>
      </c>
    </row>
    <row r="294" spans="1:21" s="8" customFormat="1" ht="11.25" x14ac:dyDescent="0.2">
      <c r="A294" s="152">
        <v>10001254</v>
      </c>
      <c r="B294" s="10" t="s">
        <v>1316</v>
      </c>
      <c r="C294" s="12" t="s">
        <v>1317</v>
      </c>
      <c r="D294" s="11" t="s">
        <v>655</v>
      </c>
      <c r="E294" s="12" t="s">
        <v>774</v>
      </c>
      <c r="F294" s="13">
        <v>4</v>
      </c>
      <c r="G294" s="22">
        <f>Overview!$B$21</f>
        <v>24</v>
      </c>
      <c r="H294" s="114">
        <f t="shared" si="85"/>
        <v>24</v>
      </c>
      <c r="I294" s="114">
        <f>Overview!$E$21</f>
        <v>0</v>
      </c>
      <c r="J294" s="115">
        <f t="shared" si="86"/>
        <v>0</v>
      </c>
      <c r="K294" s="116">
        <f>Overview!$H$21</f>
        <v>0</v>
      </c>
      <c r="L294" s="117" t="e">
        <f t="shared" si="87"/>
        <v>#DIV/0!</v>
      </c>
      <c r="M294" s="179"/>
      <c r="N294" s="179" t="s">
        <v>971</v>
      </c>
      <c r="O294" s="141">
        <f t="shared" si="88"/>
        <v>0</v>
      </c>
      <c r="P294" s="181" t="b">
        <f>COUNTIF('Facility Data'!$A$1:$A$1500,"*"&amp;A294&amp;"*")&gt;0</f>
        <v>0</v>
      </c>
      <c r="Q294" s="181" t="b">
        <f>COUNTIF('Account Data'!$A$1:$A$1000,"*"&amp;A294&amp;"*")&gt;0</f>
        <v>0</v>
      </c>
      <c r="R294" s="182" t="b">
        <f t="shared" si="89"/>
        <v>0</v>
      </c>
      <c r="S294" s="182" t="b">
        <f t="shared" si="90"/>
        <v>0</v>
      </c>
      <c r="T294" s="181" t="b">
        <f>COUNTIF('New Items'!$A$1:$A$175,A294)&gt;0</f>
        <v>0</v>
      </c>
      <c r="U294" s="181" t="b">
        <f>COUNTIF(Discontinued!$A$1:$A$150,A294)&gt;0</f>
        <v>0</v>
      </c>
    </row>
    <row r="295" spans="1:21" s="8" customFormat="1" ht="11.25" x14ac:dyDescent="0.2">
      <c r="A295" s="152">
        <v>10001242</v>
      </c>
      <c r="B295" s="10" t="s">
        <v>331</v>
      </c>
      <c r="C295" s="12" t="s">
        <v>332</v>
      </c>
      <c r="D295" s="11" t="s">
        <v>660</v>
      </c>
      <c r="E295" s="12" t="s">
        <v>774</v>
      </c>
      <c r="F295" s="13">
        <v>4</v>
      </c>
      <c r="G295" s="22">
        <f>Overview!$B$21</f>
        <v>24</v>
      </c>
      <c r="H295" s="114">
        <f t="shared" si="85"/>
        <v>24</v>
      </c>
      <c r="I295" s="114">
        <f>Overview!$E$21</f>
        <v>0</v>
      </c>
      <c r="J295" s="115">
        <f t="shared" si="86"/>
        <v>0</v>
      </c>
      <c r="K295" s="116">
        <f>Overview!$H$21</f>
        <v>0</v>
      </c>
      <c r="L295" s="117" t="e">
        <f t="shared" si="87"/>
        <v>#DIV/0!</v>
      </c>
      <c r="M295" s="179"/>
      <c r="N295" s="179" t="s">
        <v>971</v>
      </c>
      <c r="O295" s="141">
        <f t="shared" si="88"/>
        <v>0</v>
      </c>
      <c r="P295" s="181" t="b">
        <f>COUNTIF('Facility Data'!$A$1:$A$1500,"*"&amp;A295&amp;"*")&gt;0</f>
        <v>1</v>
      </c>
      <c r="Q295" s="181" t="b">
        <f>COUNTIF('Account Data'!$A$1:$A$1000,"*"&amp;A295&amp;"*")&gt;0</f>
        <v>0</v>
      </c>
      <c r="R295" s="182" t="b">
        <f t="shared" si="89"/>
        <v>1</v>
      </c>
      <c r="S295" s="182" t="b">
        <f t="shared" si="90"/>
        <v>0</v>
      </c>
      <c r="T295" s="181" t="b">
        <f>COUNTIF('New Items'!$A$1:$A$175,A295)&gt;0</f>
        <v>0</v>
      </c>
      <c r="U295" s="181" t="b">
        <f>COUNTIF(Discontinued!$A$1:$A$150,A295)&gt;0</f>
        <v>0</v>
      </c>
    </row>
    <row r="296" spans="1:21" s="8" customFormat="1" ht="11.25" x14ac:dyDescent="0.2">
      <c r="A296" s="152">
        <v>10001249</v>
      </c>
      <c r="B296" s="10" t="s">
        <v>329</v>
      </c>
      <c r="C296" s="12" t="s">
        <v>330</v>
      </c>
      <c r="D296" s="11" t="s">
        <v>636</v>
      </c>
      <c r="E296" s="12" t="s">
        <v>774</v>
      </c>
      <c r="F296" s="13">
        <v>4</v>
      </c>
      <c r="G296" s="22">
        <f>Overview!$B$21</f>
        <v>24</v>
      </c>
      <c r="H296" s="114">
        <f t="shared" si="85"/>
        <v>24</v>
      </c>
      <c r="I296" s="114">
        <f>Overview!$E$21</f>
        <v>0</v>
      </c>
      <c r="J296" s="115">
        <f t="shared" si="86"/>
        <v>0</v>
      </c>
      <c r="K296" s="116">
        <f>Overview!$H$21</f>
        <v>0</v>
      </c>
      <c r="L296" s="117" t="e">
        <f t="shared" si="87"/>
        <v>#DIV/0!</v>
      </c>
      <c r="M296" s="179" t="s">
        <v>4370</v>
      </c>
      <c r="N296" s="179" t="s">
        <v>971</v>
      </c>
      <c r="O296" s="141">
        <f t="shared" si="88"/>
        <v>0</v>
      </c>
      <c r="P296" s="181" t="b">
        <f>COUNTIF('Facility Data'!$A$1:$A$1500,"*"&amp;A296&amp;"*")&gt;0</f>
        <v>1</v>
      </c>
      <c r="Q296" s="181" t="b">
        <f>COUNTIF('Account Data'!$A$1:$A$1000,"*"&amp;A296&amp;"*")&gt;0</f>
        <v>1</v>
      </c>
      <c r="R296" s="182" t="b">
        <f t="shared" si="89"/>
        <v>1</v>
      </c>
      <c r="S296" s="182" t="b">
        <f t="shared" si="90"/>
        <v>1</v>
      </c>
      <c r="T296" s="181" t="b">
        <f>COUNTIF('New Items'!$A$1:$A$175,A296)&gt;0</f>
        <v>0</v>
      </c>
      <c r="U296" s="181" t="b">
        <f>COUNTIF(Discontinued!$A$1:$A$150,A296)&gt;0</f>
        <v>0</v>
      </c>
    </row>
    <row r="297" spans="1:21" s="8" customFormat="1" ht="11.25" x14ac:dyDescent="0.2">
      <c r="A297" s="152">
        <v>10002165</v>
      </c>
      <c r="B297" s="231" t="s">
        <v>4798</v>
      </c>
      <c r="C297" s="118" t="s">
        <v>1102</v>
      </c>
      <c r="D297" s="119" t="s">
        <v>4762</v>
      </c>
      <c r="E297" s="118" t="s">
        <v>774</v>
      </c>
      <c r="F297" s="120">
        <v>4</v>
      </c>
      <c r="G297" s="121">
        <f>Overview!$B$21</f>
        <v>24</v>
      </c>
      <c r="H297" s="114">
        <f>G297-I297</f>
        <v>24</v>
      </c>
      <c r="I297" s="114">
        <f>Overview!$E$21</f>
        <v>0</v>
      </c>
      <c r="J297" s="115">
        <f>I297/F297</f>
        <v>0</v>
      </c>
      <c r="K297" s="116">
        <f>Overview!$H$21</f>
        <v>0</v>
      </c>
      <c r="L297" s="117" t="e">
        <f>(K297-J297)/K297</f>
        <v>#DIV/0!</v>
      </c>
      <c r="M297" s="179" t="s">
        <v>4370</v>
      </c>
      <c r="N297" s="179" t="s">
        <v>971</v>
      </c>
      <c r="O297" s="141">
        <f>I297</f>
        <v>0</v>
      </c>
      <c r="P297" s="181" t="b">
        <f>COUNTIF('Facility Data'!$A$1:$A$1500,"*"&amp;A297&amp;"*")&gt;0</f>
        <v>0</v>
      </c>
      <c r="Q297" s="181" t="b">
        <f>COUNTIF('Account Data'!$A$1:$A$1000,"*"&amp;A297&amp;"*")&gt;0</f>
        <v>0</v>
      </c>
      <c r="R297" s="182" t="b">
        <f>IF(OR(P297=TRUE,T297=TRUE),TRUE,FALSE)</f>
        <v>0</v>
      </c>
      <c r="S297" s="182" t="b">
        <f>IF(OR(Q297=TRUE,T297=TRUE),TRUE,FALSE)</f>
        <v>0</v>
      </c>
      <c r="T297" s="181" t="b">
        <f>COUNTIF('New Items'!$A$1:$A$175,A297)&gt;0</f>
        <v>0</v>
      </c>
      <c r="U297" s="181" t="b">
        <f>COUNTIF(Discontinued!$A$1:$A$150,A297)&gt;0</f>
        <v>0</v>
      </c>
    </row>
    <row r="298" spans="1:21" s="8" customFormat="1" ht="11.25" x14ac:dyDescent="0.2">
      <c r="A298" s="152">
        <v>10001263</v>
      </c>
      <c r="B298" s="10" t="s">
        <v>1314</v>
      </c>
      <c r="C298" s="12" t="s">
        <v>1315</v>
      </c>
      <c r="D298" s="11" t="s">
        <v>648</v>
      </c>
      <c r="E298" s="12" t="s">
        <v>774</v>
      </c>
      <c r="F298" s="13">
        <v>4</v>
      </c>
      <c r="G298" s="22">
        <f>Overview!$B$21</f>
        <v>24</v>
      </c>
      <c r="H298" s="114">
        <f t="shared" si="85"/>
        <v>24</v>
      </c>
      <c r="I298" s="114">
        <f>Overview!$E$21</f>
        <v>0</v>
      </c>
      <c r="J298" s="115">
        <f t="shared" si="86"/>
        <v>0</v>
      </c>
      <c r="K298" s="116">
        <f>Overview!$H$21</f>
        <v>0</v>
      </c>
      <c r="L298" s="117" t="e">
        <f t="shared" si="87"/>
        <v>#DIV/0!</v>
      </c>
      <c r="M298" s="179"/>
      <c r="N298" s="179" t="s">
        <v>971</v>
      </c>
      <c r="O298" s="141">
        <f t="shared" si="88"/>
        <v>0</v>
      </c>
      <c r="P298" s="181" t="b">
        <f>COUNTIF('Facility Data'!$A$1:$A$1500,"*"&amp;A298&amp;"*")&gt;0</f>
        <v>0</v>
      </c>
      <c r="Q298" s="181" t="b">
        <f>COUNTIF('Account Data'!$A$1:$A$1000,"*"&amp;A298&amp;"*")&gt;0</f>
        <v>0</v>
      </c>
      <c r="R298" s="182" t="b">
        <f t="shared" si="89"/>
        <v>0</v>
      </c>
      <c r="S298" s="182" t="b">
        <f t="shared" si="90"/>
        <v>0</v>
      </c>
      <c r="T298" s="181" t="b">
        <f>COUNTIF('New Items'!$A$1:$A$175,A298)&gt;0</f>
        <v>0</v>
      </c>
      <c r="U298" s="181" t="b">
        <f>COUNTIF(Discontinued!$A$1:$A$150,A298)&gt;0</f>
        <v>0</v>
      </c>
    </row>
    <row r="299" spans="1:21" s="8" customFormat="1" ht="11.25" x14ac:dyDescent="0.2">
      <c r="A299" s="152">
        <v>10087792</v>
      </c>
      <c r="B299" s="10" t="s">
        <v>1720</v>
      </c>
      <c r="C299" s="12" t="s">
        <v>1721</v>
      </c>
      <c r="D299" s="11" t="s">
        <v>651</v>
      </c>
      <c r="E299" s="12" t="s">
        <v>774</v>
      </c>
      <c r="F299" s="13">
        <v>4</v>
      </c>
      <c r="G299" s="22">
        <f>Overview!$B$21</f>
        <v>24</v>
      </c>
      <c r="H299" s="114">
        <f t="shared" si="85"/>
        <v>24</v>
      </c>
      <c r="I299" s="114">
        <f>Overview!$E$21</f>
        <v>0</v>
      </c>
      <c r="J299" s="115">
        <f t="shared" si="86"/>
        <v>0</v>
      </c>
      <c r="K299" s="116">
        <f>Overview!$H$21</f>
        <v>0</v>
      </c>
      <c r="L299" s="117" t="e">
        <f t="shared" si="87"/>
        <v>#DIV/0!</v>
      </c>
      <c r="M299" s="179" t="s">
        <v>4369</v>
      </c>
      <c r="N299" s="179" t="s">
        <v>971</v>
      </c>
      <c r="O299" s="141">
        <f t="shared" si="88"/>
        <v>0</v>
      </c>
      <c r="P299" s="181" t="b">
        <f>COUNTIF('Facility Data'!$A$1:$A$1500,"*"&amp;A299&amp;"*")&gt;0</f>
        <v>0</v>
      </c>
      <c r="Q299" s="181" t="b">
        <f>COUNTIF('Account Data'!$A$1:$A$1000,"*"&amp;A299&amp;"*")&gt;0</f>
        <v>0</v>
      </c>
      <c r="R299" s="182" t="b">
        <f t="shared" si="89"/>
        <v>0</v>
      </c>
      <c r="S299" s="182" t="b">
        <f t="shared" si="90"/>
        <v>0</v>
      </c>
      <c r="T299" s="181" t="b">
        <f>COUNTIF('New Items'!$A$1:$A$175,A299)&gt;0</f>
        <v>0</v>
      </c>
      <c r="U299" s="181" t="b">
        <f>COUNTIF(Discontinued!$A$1:$A$150,A299)&gt;0</f>
        <v>0</v>
      </c>
    </row>
    <row r="300" spans="1:21" s="8" customFormat="1" ht="11.25" x14ac:dyDescent="0.2">
      <c r="A300" s="152">
        <v>10001257</v>
      </c>
      <c r="B300" s="10" t="s">
        <v>321</v>
      </c>
      <c r="C300" s="12" t="s">
        <v>322</v>
      </c>
      <c r="D300" s="11" t="s">
        <v>650</v>
      </c>
      <c r="E300" s="12" t="s">
        <v>774</v>
      </c>
      <c r="F300" s="13">
        <v>4</v>
      </c>
      <c r="G300" s="22">
        <f>Overview!$B$21</f>
        <v>24</v>
      </c>
      <c r="H300" s="114">
        <f t="shared" si="85"/>
        <v>24</v>
      </c>
      <c r="I300" s="114">
        <f>Overview!$E$21</f>
        <v>0</v>
      </c>
      <c r="J300" s="115">
        <f t="shared" si="86"/>
        <v>0</v>
      </c>
      <c r="K300" s="116">
        <f>Overview!$H$21</f>
        <v>0</v>
      </c>
      <c r="L300" s="117" t="e">
        <f t="shared" si="87"/>
        <v>#DIV/0!</v>
      </c>
      <c r="M300" s="179" t="s">
        <v>4369</v>
      </c>
      <c r="N300" s="179" t="s">
        <v>971</v>
      </c>
      <c r="O300" s="141">
        <f t="shared" si="88"/>
        <v>0</v>
      </c>
      <c r="P300" s="181" t="b">
        <f>COUNTIF('Facility Data'!$A$1:$A$1500,"*"&amp;A300&amp;"*")&gt;0</f>
        <v>1</v>
      </c>
      <c r="Q300" s="181" t="b">
        <f>COUNTIF('Account Data'!$A$1:$A$1000,"*"&amp;A300&amp;"*")&gt;0</f>
        <v>1</v>
      </c>
      <c r="R300" s="182" t="b">
        <f t="shared" si="89"/>
        <v>1</v>
      </c>
      <c r="S300" s="182" t="b">
        <f t="shared" si="90"/>
        <v>1</v>
      </c>
      <c r="T300" s="181" t="b">
        <f>COUNTIF('New Items'!$A$1:$A$175,A300)&gt;0</f>
        <v>0</v>
      </c>
      <c r="U300" s="181" t="b">
        <f>COUNTIF(Discontinued!$A$1:$A$150,A300)&gt;0</f>
        <v>0</v>
      </c>
    </row>
    <row r="301" spans="1:21" s="8" customFormat="1" ht="11.25" x14ac:dyDescent="0.2">
      <c r="A301" s="152">
        <v>10001256</v>
      </c>
      <c r="B301" s="10" t="s">
        <v>4770</v>
      </c>
      <c r="C301" s="12" t="s">
        <v>324</v>
      </c>
      <c r="D301" s="11" t="s">
        <v>4755</v>
      </c>
      <c r="E301" s="12" t="s">
        <v>774</v>
      </c>
      <c r="F301" s="13">
        <v>4</v>
      </c>
      <c r="G301" s="22">
        <f>Overview!$B$21</f>
        <v>24</v>
      </c>
      <c r="H301" s="114">
        <f>G301-I301</f>
        <v>24</v>
      </c>
      <c r="I301" s="114">
        <f>Overview!$E$21</f>
        <v>0</v>
      </c>
      <c r="J301" s="115">
        <f>I301/F301</f>
        <v>0</v>
      </c>
      <c r="K301" s="116">
        <f>Overview!$H$21</f>
        <v>0</v>
      </c>
      <c r="L301" s="117" t="e">
        <f>(K301-J301)/K301</f>
        <v>#DIV/0!</v>
      </c>
      <c r="M301" s="179" t="s">
        <v>4369</v>
      </c>
      <c r="N301" s="179" t="s">
        <v>971</v>
      </c>
      <c r="O301" s="141">
        <f>I301</f>
        <v>0</v>
      </c>
      <c r="P301" s="181" t="b">
        <f>COUNTIF('Facility Data'!$A$1:$A$1500,"*"&amp;A301&amp;"*")&gt;0</f>
        <v>1</v>
      </c>
      <c r="Q301" s="181" t="b">
        <f>COUNTIF('Account Data'!$A$1:$A$1000,"*"&amp;A301&amp;"*")&gt;0</f>
        <v>1</v>
      </c>
      <c r="R301" s="182" t="b">
        <f>IF(OR(P301=TRUE,T301=TRUE),TRUE,FALSE)</f>
        <v>1</v>
      </c>
      <c r="S301" s="182" t="b">
        <f>IF(OR(Q301=TRUE,T301=TRUE),TRUE,FALSE)</f>
        <v>1</v>
      </c>
      <c r="T301" s="181" t="b">
        <f>COUNTIF('New Items'!$A$1:$A$175,A301)&gt;0</f>
        <v>0</v>
      </c>
      <c r="U301" s="181" t="b">
        <f>COUNTIF(Discontinued!$A$1:$A$150,A301)&gt;0</f>
        <v>0</v>
      </c>
    </row>
    <row r="302" spans="1:21" s="8" customFormat="1" ht="11.25" x14ac:dyDescent="0.2">
      <c r="A302" s="152">
        <v>10001243</v>
      </c>
      <c r="B302" s="10" t="s">
        <v>1722</v>
      </c>
      <c r="C302" s="12" t="s">
        <v>1723</v>
      </c>
      <c r="D302" s="11" t="s">
        <v>4116</v>
      </c>
      <c r="E302" s="12" t="s">
        <v>774</v>
      </c>
      <c r="F302" s="13">
        <v>4</v>
      </c>
      <c r="G302" s="22">
        <f>Overview!$B$21</f>
        <v>24</v>
      </c>
      <c r="H302" s="114">
        <f>G302-I302</f>
        <v>24</v>
      </c>
      <c r="I302" s="114">
        <f>Overview!$E$21</f>
        <v>0</v>
      </c>
      <c r="J302" s="115">
        <f>I302/F302</f>
        <v>0</v>
      </c>
      <c r="K302" s="116">
        <f>Overview!$H$21</f>
        <v>0</v>
      </c>
      <c r="L302" s="117" t="e">
        <f>(K302-J302)/K302</f>
        <v>#DIV/0!</v>
      </c>
      <c r="M302" s="179" t="s">
        <v>4369</v>
      </c>
      <c r="N302" s="179" t="s">
        <v>971</v>
      </c>
      <c r="O302" s="141">
        <f>I302</f>
        <v>0</v>
      </c>
      <c r="P302" s="181" t="b">
        <f>COUNTIF('Facility Data'!$A$1:$A$1500,"*"&amp;A302&amp;"*")&gt;0</f>
        <v>0</v>
      </c>
      <c r="Q302" s="181" t="b">
        <f>COUNTIF('Account Data'!$A$1:$A$1000,"*"&amp;A302&amp;"*")&gt;0</f>
        <v>0</v>
      </c>
      <c r="R302" s="182" t="b">
        <f>IF(OR(P302=TRUE,T302=TRUE),TRUE,FALSE)</f>
        <v>0</v>
      </c>
      <c r="S302" s="182" t="b">
        <f>IF(OR(Q302=TRUE,T302=TRUE),TRUE,FALSE)</f>
        <v>0</v>
      </c>
      <c r="T302" s="181" t="b">
        <f>COUNTIF('New Items'!$A$1:$A$175,A302)&gt;0</f>
        <v>0</v>
      </c>
      <c r="U302" s="181" t="b">
        <f>COUNTIF(Discontinued!$A$1:$A$150,A302)&gt;0</f>
        <v>0</v>
      </c>
    </row>
    <row r="303" spans="1:21" s="8" customFormat="1" ht="12" thickBot="1" x14ac:dyDescent="0.25">
      <c r="A303" s="152">
        <v>10001244</v>
      </c>
      <c r="B303" s="10" t="s">
        <v>4797</v>
      </c>
      <c r="C303" s="12" t="s">
        <v>1725</v>
      </c>
      <c r="D303" s="11" t="s">
        <v>4780</v>
      </c>
      <c r="E303" s="12" t="s">
        <v>774</v>
      </c>
      <c r="F303" s="13">
        <v>4</v>
      </c>
      <c r="G303" s="22">
        <f>Overview!$B$21</f>
        <v>24</v>
      </c>
      <c r="H303" s="114">
        <f t="shared" si="85"/>
        <v>24</v>
      </c>
      <c r="I303" s="114">
        <f>Overview!$E$21</f>
        <v>0</v>
      </c>
      <c r="J303" s="115">
        <f t="shared" si="86"/>
        <v>0</v>
      </c>
      <c r="K303" s="116">
        <f>Overview!$H$21</f>
        <v>0</v>
      </c>
      <c r="L303" s="117" t="e">
        <f t="shared" si="87"/>
        <v>#DIV/0!</v>
      </c>
      <c r="M303" s="179" t="s">
        <v>953</v>
      </c>
      <c r="N303" s="179" t="s">
        <v>971</v>
      </c>
      <c r="O303" s="141">
        <f t="shared" si="88"/>
        <v>0</v>
      </c>
      <c r="P303" s="181" t="b">
        <f>COUNTIF('Facility Data'!$A$1:$A$1500,"*"&amp;A303&amp;"*")&gt;0</f>
        <v>0</v>
      </c>
      <c r="Q303" s="181" t="b">
        <f>COUNTIF('Account Data'!$A$1:$A$1000,"*"&amp;A303&amp;"*")&gt;0</f>
        <v>0</v>
      </c>
      <c r="R303" s="182" t="b">
        <f t="shared" si="89"/>
        <v>0</v>
      </c>
      <c r="S303" s="182" t="b">
        <f t="shared" si="90"/>
        <v>0</v>
      </c>
      <c r="T303" s="181" t="b">
        <f>COUNTIF('New Items'!$A$1:$A$175,A303)&gt;0</f>
        <v>0</v>
      </c>
      <c r="U303" s="181" t="b">
        <f>COUNTIF(Discontinued!$A$1:$A$150,A303)&gt;0</f>
        <v>0</v>
      </c>
    </row>
    <row r="304" spans="1:21" s="8" customFormat="1" ht="13.5" thickBot="1" x14ac:dyDescent="0.25">
      <c r="A304" s="300" t="s">
        <v>284</v>
      </c>
      <c r="B304" s="301"/>
      <c r="C304" s="301"/>
      <c r="D304" s="301"/>
      <c r="E304" s="301"/>
      <c r="F304" s="301"/>
      <c r="G304" s="301"/>
      <c r="H304" s="301"/>
      <c r="I304" s="301"/>
      <c r="J304" s="301"/>
      <c r="K304" s="301"/>
      <c r="L304" s="302"/>
      <c r="M304" s="179"/>
      <c r="N304" s="179" t="s">
        <v>967</v>
      </c>
      <c r="O304" s="141">
        <f>AVERAGE(O305:O367)</f>
        <v>0</v>
      </c>
      <c r="P304" s="181" t="b">
        <f>COUNTIF(P305:P367,TRUE)&gt;0</f>
        <v>1</v>
      </c>
      <c r="Q304" s="181" t="b">
        <f>COUNTIF(Q305:Q367,TRUE)&gt;0</f>
        <v>1</v>
      </c>
      <c r="R304" s="181" t="b">
        <f>COUNTIF(R305:R367,TRUE)&gt;0</f>
        <v>1</v>
      </c>
      <c r="S304" s="181" t="b">
        <f>COUNTIF(S305:S367,TRUE)&gt;0</f>
        <v>1</v>
      </c>
      <c r="T304" s="181" t="b">
        <f>COUNTIF(T305:T367,TRUE)&gt;0</f>
        <v>0</v>
      </c>
      <c r="U304" s="249"/>
    </row>
    <row r="305" spans="1:21" s="8" customFormat="1" ht="11.25" x14ac:dyDescent="0.2">
      <c r="A305" s="152">
        <v>10001108</v>
      </c>
      <c r="B305" s="10" t="s">
        <v>151</v>
      </c>
      <c r="C305" s="12" t="s">
        <v>152</v>
      </c>
      <c r="D305" s="11" t="s">
        <v>643</v>
      </c>
      <c r="E305" s="12" t="s">
        <v>757</v>
      </c>
      <c r="F305" s="13">
        <v>24</v>
      </c>
      <c r="G305" s="22">
        <f>Overview!$B$22</f>
        <v>36</v>
      </c>
      <c r="H305" s="114">
        <f t="shared" ref="H305:H338" si="91">G305-I305</f>
        <v>36</v>
      </c>
      <c r="I305" s="114">
        <f>Overview!$E$22</f>
        <v>0</v>
      </c>
      <c r="J305" s="115">
        <f t="shared" ref="J305:J338" si="92">I305/F305</f>
        <v>0</v>
      </c>
      <c r="K305" s="116">
        <f>Overview!$H$22</f>
        <v>0</v>
      </c>
      <c r="L305" s="117" t="e">
        <f t="shared" ref="L305:L338" si="93">(K305-J305)/K305</f>
        <v>#DIV/0!</v>
      </c>
      <c r="M305" s="179"/>
      <c r="N305" s="179" t="s">
        <v>967</v>
      </c>
      <c r="O305" s="141">
        <f t="shared" ref="O305:O338" si="94">I305</f>
        <v>0</v>
      </c>
      <c r="P305" s="181" t="b">
        <f>COUNTIF('Facility Data'!$A$1:$A$1500,"*"&amp;A305&amp;"*")&gt;0</f>
        <v>1</v>
      </c>
      <c r="Q305" s="181" t="b">
        <f>COUNTIF('Account Data'!$A$1:$A$1000,"*"&amp;A305&amp;"*")&gt;0</f>
        <v>1</v>
      </c>
      <c r="R305" s="182" t="b">
        <f t="shared" ref="R305:R337" si="95">IF(OR(P305=TRUE,T305=TRUE),TRUE,FALSE)</f>
        <v>1</v>
      </c>
      <c r="S305" s="182" t="b">
        <f t="shared" ref="S305:S338" si="96">IF(OR(Q305=TRUE,T305=TRUE),TRUE,FALSE)</f>
        <v>1</v>
      </c>
      <c r="T305" s="181" t="b">
        <f>COUNTIF('New Items'!$A$1:$A$175,A305)&gt;0</f>
        <v>0</v>
      </c>
      <c r="U305" s="181" t="b">
        <f>COUNTIF(Discontinued!$A$1:$A$150,A305)&gt;0</f>
        <v>0</v>
      </c>
    </row>
    <row r="306" spans="1:21" s="8" customFormat="1" ht="11.25" x14ac:dyDescent="0.2">
      <c r="A306" s="152">
        <v>10001091</v>
      </c>
      <c r="B306" s="10" t="s">
        <v>4799</v>
      </c>
      <c r="C306" s="12" t="s">
        <v>154</v>
      </c>
      <c r="D306" s="11" t="s">
        <v>4733</v>
      </c>
      <c r="E306" s="12" t="s">
        <v>757</v>
      </c>
      <c r="F306" s="13">
        <v>24</v>
      </c>
      <c r="G306" s="22">
        <f>Overview!$B$22</f>
        <v>36</v>
      </c>
      <c r="H306" s="114">
        <f>G306-I306</f>
        <v>36</v>
      </c>
      <c r="I306" s="114">
        <f>Overview!$E$22</f>
        <v>0</v>
      </c>
      <c r="J306" s="115">
        <f>I306/F306</f>
        <v>0</v>
      </c>
      <c r="K306" s="116">
        <f>Overview!$H$22</f>
        <v>0</v>
      </c>
      <c r="L306" s="117" t="e">
        <f>(K306-J306)/K306</f>
        <v>#DIV/0!</v>
      </c>
      <c r="M306" s="179"/>
      <c r="N306" s="179" t="s">
        <v>967</v>
      </c>
      <c r="O306" s="141">
        <f>I306</f>
        <v>0</v>
      </c>
      <c r="P306" s="181" t="b">
        <f>COUNTIF('Facility Data'!$A$1:$A$1500,"*"&amp;A306&amp;"*")&gt;0</f>
        <v>1</v>
      </c>
      <c r="Q306" s="181" t="b">
        <f>COUNTIF('Account Data'!$A$1:$A$1000,"*"&amp;A306&amp;"*")&gt;0</f>
        <v>1</v>
      </c>
      <c r="R306" s="182" t="b">
        <f>IF(OR(P306=TRUE,T306=TRUE),TRUE,FALSE)</f>
        <v>1</v>
      </c>
      <c r="S306" s="182" t="b">
        <f>IF(OR(Q306=TRUE,T306=TRUE),TRUE,FALSE)</f>
        <v>1</v>
      </c>
      <c r="T306" s="181" t="b">
        <f>COUNTIF('New Items'!$A$1:$A$175,A306)&gt;0</f>
        <v>0</v>
      </c>
      <c r="U306" s="181" t="b">
        <f>COUNTIF(Discontinued!$A$1:$A$150,A306)&gt;0</f>
        <v>0</v>
      </c>
    </row>
    <row r="307" spans="1:21" s="8" customFormat="1" ht="11.25" x14ac:dyDescent="0.2">
      <c r="A307" s="152">
        <v>10001109</v>
      </c>
      <c r="B307" s="10" t="s">
        <v>161</v>
      </c>
      <c r="C307" s="12" t="s">
        <v>162</v>
      </c>
      <c r="D307" s="11" t="s">
        <v>646</v>
      </c>
      <c r="E307" s="12" t="s">
        <v>757</v>
      </c>
      <c r="F307" s="13">
        <v>24</v>
      </c>
      <c r="G307" s="22">
        <f>Overview!$B$22</f>
        <v>36</v>
      </c>
      <c r="H307" s="114">
        <f t="shared" si="91"/>
        <v>36</v>
      </c>
      <c r="I307" s="114">
        <f>Overview!$E$22</f>
        <v>0</v>
      </c>
      <c r="J307" s="115">
        <f t="shared" si="92"/>
        <v>0</v>
      </c>
      <c r="K307" s="116">
        <f>Overview!$H$22</f>
        <v>0</v>
      </c>
      <c r="L307" s="117" t="e">
        <f t="shared" si="93"/>
        <v>#DIV/0!</v>
      </c>
      <c r="M307" s="179" t="s">
        <v>4406</v>
      </c>
      <c r="N307" s="179" t="s">
        <v>967</v>
      </c>
      <c r="O307" s="141">
        <f t="shared" si="94"/>
        <v>0</v>
      </c>
      <c r="P307" s="181" t="b">
        <f>COUNTIF('Facility Data'!$A$1:$A$1500,"*"&amp;A307&amp;"*")&gt;0</f>
        <v>1</v>
      </c>
      <c r="Q307" s="181" t="b">
        <f>COUNTIF('Account Data'!$A$1:$A$1000,"*"&amp;A307&amp;"*")&gt;0</f>
        <v>1</v>
      </c>
      <c r="R307" s="182" t="b">
        <f t="shared" si="95"/>
        <v>1</v>
      </c>
      <c r="S307" s="182" t="b">
        <f t="shared" si="96"/>
        <v>1</v>
      </c>
      <c r="T307" s="181" t="b">
        <f>COUNTIF('New Items'!$A$1:$A$175,A307)&gt;0</f>
        <v>0</v>
      </c>
      <c r="U307" s="181" t="b">
        <f>COUNTIF(Discontinued!$A$1:$A$150,A307)&gt;0</f>
        <v>0</v>
      </c>
    </row>
    <row r="308" spans="1:21" s="8" customFormat="1" ht="11.25" x14ac:dyDescent="0.2">
      <c r="A308" s="152">
        <v>10001096</v>
      </c>
      <c r="B308" s="10" t="s">
        <v>157</v>
      </c>
      <c r="C308" s="12" t="s">
        <v>158</v>
      </c>
      <c r="D308" s="11" t="s">
        <v>645</v>
      </c>
      <c r="E308" s="12" t="s">
        <v>757</v>
      </c>
      <c r="F308" s="13">
        <v>24</v>
      </c>
      <c r="G308" s="22">
        <f>Overview!$B$22</f>
        <v>36</v>
      </c>
      <c r="H308" s="114">
        <f t="shared" si="91"/>
        <v>36</v>
      </c>
      <c r="I308" s="114">
        <f>Overview!$E$22</f>
        <v>0</v>
      </c>
      <c r="J308" s="115">
        <f t="shared" si="92"/>
        <v>0</v>
      </c>
      <c r="K308" s="116">
        <f>Overview!$H$22</f>
        <v>0</v>
      </c>
      <c r="L308" s="117" t="e">
        <f t="shared" si="93"/>
        <v>#DIV/0!</v>
      </c>
      <c r="M308" s="179" t="s">
        <v>4406</v>
      </c>
      <c r="N308" s="179" t="s">
        <v>967</v>
      </c>
      <c r="O308" s="141">
        <f t="shared" si="94"/>
        <v>0</v>
      </c>
      <c r="P308" s="181" t="b">
        <f>COUNTIF('Facility Data'!$A$1:$A$1500,"*"&amp;A308&amp;"*")&gt;0</f>
        <v>1</v>
      </c>
      <c r="Q308" s="181" t="b">
        <f>COUNTIF('Account Data'!$A$1:$A$1000,"*"&amp;A308&amp;"*")&gt;0</f>
        <v>1</v>
      </c>
      <c r="R308" s="182" t="b">
        <f t="shared" si="95"/>
        <v>1</v>
      </c>
      <c r="S308" s="182" t="b">
        <f t="shared" si="96"/>
        <v>1</v>
      </c>
      <c r="T308" s="181" t="b">
        <f>COUNTIF('New Items'!$A$1:$A$175,A308)&gt;0</f>
        <v>0</v>
      </c>
      <c r="U308" s="181" t="b">
        <f>COUNTIF(Discontinued!$A$1:$A$150,A308)&gt;0</f>
        <v>0</v>
      </c>
    </row>
    <row r="309" spans="1:21" s="8" customFormat="1" ht="11.25" x14ac:dyDescent="0.2">
      <c r="A309" s="152">
        <v>10001122</v>
      </c>
      <c r="B309" s="10" t="s">
        <v>4800</v>
      </c>
      <c r="C309" s="12" t="s">
        <v>160</v>
      </c>
      <c r="D309" s="11" t="s">
        <v>4735</v>
      </c>
      <c r="E309" s="12" t="s">
        <v>757</v>
      </c>
      <c r="F309" s="13">
        <v>24</v>
      </c>
      <c r="G309" s="22">
        <f>Overview!$B$22</f>
        <v>36</v>
      </c>
      <c r="H309" s="114">
        <f>G309-I309</f>
        <v>36</v>
      </c>
      <c r="I309" s="114">
        <f>Overview!$E$22</f>
        <v>0</v>
      </c>
      <c r="J309" s="115">
        <f>I309/F309</f>
        <v>0</v>
      </c>
      <c r="K309" s="116">
        <f>Overview!$H$22</f>
        <v>0</v>
      </c>
      <c r="L309" s="117" t="e">
        <f>(K309-J309)/K309</f>
        <v>#DIV/0!</v>
      </c>
      <c r="M309" s="179" t="s">
        <v>4406</v>
      </c>
      <c r="N309" s="179" t="s">
        <v>967</v>
      </c>
      <c r="O309" s="141">
        <f>I309</f>
        <v>0</v>
      </c>
      <c r="P309" s="181" t="b">
        <f>COUNTIF('Facility Data'!$A$1:$A$1500,"*"&amp;A309&amp;"*")&gt;0</f>
        <v>1</v>
      </c>
      <c r="Q309" s="181" t="b">
        <f>COUNTIF('Account Data'!$A$1:$A$1000,"*"&amp;A309&amp;"*")&gt;0</f>
        <v>1</v>
      </c>
      <c r="R309" s="182" t="b">
        <f>IF(OR(P309=TRUE,T309=TRUE),TRUE,FALSE)</f>
        <v>1</v>
      </c>
      <c r="S309" s="182" t="b">
        <f>IF(OR(Q309=TRUE,T309=TRUE),TRUE,FALSE)</f>
        <v>1</v>
      </c>
      <c r="T309" s="181" t="b">
        <f>COUNTIF('New Items'!$A$1:$A$175,A309)&gt;0</f>
        <v>0</v>
      </c>
      <c r="U309" s="181" t="b">
        <f>COUNTIF(Discontinued!$A$1:$A$150,A309)&gt;0</f>
        <v>0</v>
      </c>
    </row>
    <row r="310" spans="1:21" s="8" customFormat="1" ht="11.25" x14ac:dyDescent="0.2">
      <c r="A310" s="152">
        <v>10000042</v>
      </c>
      <c r="B310" s="10" t="s">
        <v>1300</v>
      </c>
      <c r="C310" s="12" t="s">
        <v>1301</v>
      </c>
      <c r="D310" s="11" t="s">
        <v>1299</v>
      </c>
      <c r="E310" s="12" t="s">
        <v>757</v>
      </c>
      <c r="F310" s="13">
        <v>24</v>
      </c>
      <c r="G310" s="22">
        <f>Overview!$B$22</f>
        <v>36</v>
      </c>
      <c r="H310" s="114">
        <f t="shared" si="91"/>
        <v>36</v>
      </c>
      <c r="I310" s="114">
        <f>Overview!$E$22</f>
        <v>0</v>
      </c>
      <c r="J310" s="115">
        <f t="shared" si="92"/>
        <v>0</v>
      </c>
      <c r="K310" s="116">
        <f>Overview!$H$22</f>
        <v>0</v>
      </c>
      <c r="L310" s="117" t="e">
        <f t="shared" si="93"/>
        <v>#DIV/0!</v>
      </c>
      <c r="M310" s="179"/>
      <c r="N310" s="179" t="s">
        <v>3377</v>
      </c>
      <c r="O310" s="141">
        <f t="shared" si="94"/>
        <v>0</v>
      </c>
      <c r="P310" s="181" t="b">
        <f>COUNTIF('Facility Data'!$A$1:$A$1500,"*"&amp;A310&amp;"*")&gt;0</f>
        <v>1</v>
      </c>
      <c r="Q310" s="181" t="b">
        <f>COUNTIF('Account Data'!$A$1:$A$1000,"*"&amp;A310&amp;"*")&gt;0</f>
        <v>0</v>
      </c>
      <c r="R310" s="182" t="b">
        <f t="shared" si="95"/>
        <v>1</v>
      </c>
      <c r="S310" s="182" t="b">
        <f t="shared" si="96"/>
        <v>0</v>
      </c>
      <c r="T310" s="181" t="b">
        <f>COUNTIF('New Items'!$A$1:$A$175,A310)&gt;0</f>
        <v>0</v>
      </c>
      <c r="U310" s="181" t="b">
        <f>COUNTIF(Discontinued!$A$1:$A$150,A310)&gt;0</f>
        <v>0</v>
      </c>
    </row>
    <row r="311" spans="1:21" s="8" customFormat="1" ht="11.25" x14ac:dyDescent="0.2">
      <c r="A311" s="152">
        <v>10100151</v>
      </c>
      <c r="B311" s="10" t="s">
        <v>2912</v>
      </c>
      <c r="C311" s="12" t="s">
        <v>1301</v>
      </c>
      <c r="D311" s="11" t="s">
        <v>2916</v>
      </c>
      <c r="E311" s="12" t="s">
        <v>757</v>
      </c>
      <c r="F311" s="13">
        <v>24</v>
      </c>
      <c r="G311" s="22">
        <f>Overview!$B$22</f>
        <v>36</v>
      </c>
      <c r="H311" s="114">
        <f t="shared" si="91"/>
        <v>36</v>
      </c>
      <c r="I311" s="114">
        <f>Overview!$E$22</f>
        <v>0</v>
      </c>
      <c r="J311" s="115">
        <f t="shared" si="92"/>
        <v>0</v>
      </c>
      <c r="K311" s="116">
        <f>Overview!$H$22</f>
        <v>0</v>
      </c>
      <c r="L311" s="117" t="e">
        <f t="shared" si="93"/>
        <v>#DIV/0!</v>
      </c>
      <c r="M311" s="179"/>
      <c r="N311" s="179" t="s">
        <v>3377</v>
      </c>
      <c r="O311" s="141">
        <f t="shared" si="94"/>
        <v>0</v>
      </c>
      <c r="P311" s="181" t="b">
        <f>COUNTIF('Facility Data'!$A$1:$A$1500,"*"&amp;A311&amp;"*")&gt;0</f>
        <v>0</v>
      </c>
      <c r="Q311" s="181" t="b">
        <f>COUNTIF('Account Data'!$A$1:$A$1000,"*"&amp;A311&amp;"*")&gt;0</f>
        <v>0</v>
      </c>
      <c r="R311" s="182" t="b">
        <f t="shared" si="95"/>
        <v>0</v>
      </c>
      <c r="S311" s="182" t="b">
        <f t="shared" si="96"/>
        <v>0</v>
      </c>
      <c r="T311" s="181" t="b">
        <f>COUNTIF('New Items'!$A$1:$A$175,A311)&gt;0</f>
        <v>0</v>
      </c>
      <c r="U311" s="181" t="b">
        <f>COUNTIF(Discontinued!$A$1:$A$150,A311)&gt;0</f>
        <v>0</v>
      </c>
    </row>
    <row r="312" spans="1:21" s="8" customFormat="1" ht="11.25" x14ac:dyDescent="0.2">
      <c r="A312" s="152">
        <v>10128112</v>
      </c>
      <c r="B312" s="10" t="s">
        <v>3855</v>
      </c>
      <c r="C312" s="12" t="s">
        <v>1301</v>
      </c>
      <c r="D312" s="11" t="s">
        <v>3856</v>
      </c>
      <c r="E312" s="12" t="s">
        <v>757</v>
      </c>
      <c r="F312" s="13">
        <v>24</v>
      </c>
      <c r="G312" s="22">
        <f>Overview!$B$22</f>
        <v>36</v>
      </c>
      <c r="H312" s="114">
        <f>G312-I312</f>
        <v>36</v>
      </c>
      <c r="I312" s="114">
        <f>Overview!$E$22</f>
        <v>0</v>
      </c>
      <c r="J312" s="115">
        <f>I312/F312</f>
        <v>0</v>
      </c>
      <c r="K312" s="116">
        <f>Overview!$H$22</f>
        <v>0</v>
      </c>
      <c r="L312" s="117" t="e">
        <f>(K312-J312)/K312</f>
        <v>#DIV/0!</v>
      </c>
      <c r="M312" s="179"/>
      <c r="N312" s="179" t="s">
        <v>3377</v>
      </c>
      <c r="O312" s="141">
        <f>I312</f>
        <v>0</v>
      </c>
      <c r="P312" s="181" t="b">
        <f>COUNTIF('Facility Data'!$A$1:$A$1500,"*"&amp;A312&amp;"*")&gt;0</f>
        <v>0</v>
      </c>
      <c r="Q312" s="181" t="b">
        <f>COUNTIF('Account Data'!$A$1:$A$1000,"*"&amp;A312&amp;"*")&gt;0</f>
        <v>0</v>
      </c>
      <c r="R312" s="182" t="b">
        <f t="shared" si="95"/>
        <v>0</v>
      </c>
      <c r="S312" s="182" t="b">
        <f>IF(OR(Q312=TRUE,T312=TRUE),TRUE,FALSE)</f>
        <v>0</v>
      </c>
      <c r="T312" s="181" t="b">
        <f>COUNTIF('New Items'!$A$1:$A$175,A312)&gt;0</f>
        <v>0</v>
      </c>
      <c r="U312" s="181" t="b">
        <f>COUNTIF(Discontinued!$A$1:$A$150,A312)&gt;0</f>
        <v>0</v>
      </c>
    </row>
    <row r="313" spans="1:21" s="8" customFormat="1" ht="11.25" x14ac:dyDescent="0.2">
      <c r="A313" s="152">
        <v>10001136</v>
      </c>
      <c r="B313" s="10" t="s">
        <v>1427</v>
      </c>
      <c r="C313" s="12" t="s">
        <v>1428</v>
      </c>
      <c r="D313" s="11" t="s">
        <v>1386</v>
      </c>
      <c r="E313" s="12" t="s">
        <v>757</v>
      </c>
      <c r="F313" s="13">
        <v>24</v>
      </c>
      <c r="G313" s="22">
        <f>Overview!$B$22</f>
        <v>36</v>
      </c>
      <c r="H313" s="114">
        <f t="shared" si="91"/>
        <v>36</v>
      </c>
      <c r="I313" s="114">
        <f>Overview!$E$22</f>
        <v>0</v>
      </c>
      <c r="J313" s="115">
        <f t="shared" si="92"/>
        <v>0</v>
      </c>
      <c r="K313" s="116">
        <f>Overview!$H$22</f>
        <v>0</v>
      </c>
      <c r="L313" s="117" t="e">
        <f t="shared" si="93"/>
        <v>#DIV/0!</v>
      </c>
      <c r="M313" s="179"/>
      <c r="N313" s="179" t="s">
        <v>3377</v>
      </c>
      <c r="O313" s="141">
        <f t="shared" si="94"/>
        <v>0</v>
      </c>
      <c r="P313" s="181" t="b">
        <f>COUNTIF('Facility Data'!$A$1:$A$1500,"*"&amp;A313&amp;"*")&gt;0</f>
        <v>1</v>
      </c>
      <c r="Q313" s="181" t="b">
        <f>COUNTIF('Account Data'!$A$1:$A$1000,"*"&amp;A313&amp;"*")&gt;0</f>
        <v>0</v>
      </c>
      <c r="R313" s="182" t="b">
        <f t="shared" si="95"/>
        <v>1</v>
      </c>
      <c r="S313" s="182" t="b">
        <f t="shared" si="96"/>
        <v>0</v>
      </c>
      <c r="T313" s="181" t="b">
        <f>COUNTIF('New Items'!$A$1:$A$175,A313)&gt;0</f>
        <v>0</v>
      </c>
      <c r="U313" s="181" t="b">
        <f>COUNTIF(Discontinued!$A$1:$A$150,A313)&gt;0</f>
        <v>0</v>
      </c>
    </row>
    <row r="314" spans="1:21" s="8" customFormat="1" ht="11.25" x14ac:dyDescent="0.2">
      <c r="A314" s="152">
        <v>10001142</v>
      </c>
      <c r="B314" s="10" t="s">
        <v>1429</v>
      </c>
      <c r="C314" s="12" t="s">
        <v>1430</v>
      </c>
      <c r="D314" s="11" t="s">
        <v>1387</v>
      </c>
      <c r="E314" s="12" t="s">
        <v>757</v>
      </c>
      <c r="F314" s="13">
        <v>24</v>
      </c>
      <c r="G314" s="22">
        <f>Overview!$B$22</f>
        <v>36</v>
      </c>
      <c r="H314" s="114">
        <f t="shared" si="91"/>
        <v>36</v>
      </c>
      <c r="I314" s="114">
        <f>Overview!$E$22</f>
        <v>0</v>
      </c>
      <c r="J314" s="115">
        <f t="shared" si="92"/>
        <v>0</v>
      </c>
      <c r="K314" s="116">
        <f>Overview!$H$22</f>
        <v>0</v>
      </c>
      <c r="L314" s="117" t="e">
        <f t="shared" si="93"/>
        <v>#DIV/0!</v>
      </c>
      <c r="M314" s="179"/>
      <c r="N314" s="179" t="s">
        <v>3377</v>
      </c>
      <c r="O314" s="141">
        <f t="shared" si="94"/>
        <v>0</v>
      </c>
      <c r="P314" s="181" t="b">
        <f>COUNTIF('Facility Data'!$A$1:$A$1500,"*"&amp;A314&amp;"*")&gt;0</f>
        <v>1</v>
      </c>
      <c r="Q314" s="181" t="b">
        <f>COUNTIF('Account Data'!$A$1:$A$1000,"*"&amp;A314&amp;"*")&gt;0</f>
        <v>0</v>
      </c>
      <c r="R314" s="182" t="b">
        <f t="shared" si="95"/>
        <v>1</v>
      </c>
      <c r="S314" s="182" t="b">
        <f t="shared" si="96"/>
        <v>0</v>
      </c>
      <c r="T314" s="181" t="b">
        <f>COUNTIF('New Items'!$A$1:$A$175,A314)&gt;0</f>
        <v>0</v>
      </c>
      <c r="U314" s="181" t="b">
        <f>COUNTIF(Discontinued!$A$1:$A$150,A314)&gt;0</f>
        <v>0</v>
      </c>
    </row>
    <row r="315" spans="1:21" s="8" customFormat="1" ht="11.25" x14ac:dyDescent="0.2">
      <c r="A315" s="152">
        <v>10001128</v>
      </c>
      <c r="B315" s="10" t="s">
        <v>189</v>
      </c>
      <c r="C315" s="12" t="s">
        <v>190</v>
      </c>
      <c r="D315" s="11" t="s">
        <v>640</v>
      </c>
      <c r="E315" s="12" t="s">
        <v>757</v>
      </c>
      <c r="F315" s="13">
        <v>24</v>
      </c>
      <c r="G315" s="22">
        <f>Overview!$B$22</f>
        <v>36</v>
      </c>
      <c r="H315" s="114">
        <f t="shared" si="91"/>
        <v>36</v>
      </c>
      <c r="I315" s="114">
        <f>Overview!$E$22</f>
        <v>0</v>
      </c>
      <c r="J315" s="115">
        <f t="shared" si="92"/>
        <v>0</v>
      </c>
      <c r="K315" s="116">
        <f>Overview!$H$22</f>
        <v>0</v>
      </c>
      <c r="L315" s="117" t="e">
        <f t="shared" si="93"/>
        <v>#DIV/0!</v>
      </c>
      <c r="M315" s="179"/>
      <c r="N315" s="179" t="s">
        <v>3377</v>
      </c>
      <c r="O315" s="141">
        <f t="shared" si="94"/>
        <v>0</v>
      </c>
      <c r="P315" s="181" t="b">
        <f>COUNTIF('Facility Data'!$A$1:$A$1500,"*"&amp;A315&amp;"*")&gt;0</f>
        <v>1</v>
      </c>
      <c r="Q315" s="181" t="b">
        <f>COUNTIF('Account Data'!$A$1:$A$1000,"*"&amp;A315&amp;"*")&gt;0</f>
        <v>1</v>
      </c>
      <c r="R315" s="182" t="b">
        <f t="shared" si="95"/>
        <v>1</v>
      </c>
      <c r="S315" s="182" t="b">
        <f t="shared" si="96"/>
        <v>1</v>
      </c>
      <c r="T315" s="181" t="b">
        <f>COUNTIF('New Items'!$A$1:$A$175,A315)&gt;0</f>
        <v>0</v>
      </c>
      <c r="U315" s="181" t="b">
        <f>COUNTIF(Discontinued!$A$1:$A$150,A315)&gt;0</f>
        <v>0</v>
      </c>
    </row>
    <row r="316" spans="1:21" s="8" customFormat="1" ht="11.25" x14ac:dyDescent="0.2">
      <c r="A316" s="152">
        <v>10126828</v>
      </c>
      <c r="B316" s="10" t="s">
        <v>3851</v>
      </c>
      <c r="C316" s="12" t="s">
        <v>190</v>
      </c>
      <c r="D316" s="11" t="s">
        <v>3852</v>
      </c>
      <c r="E316" s="12" t="s">
        <v>757</v>
      </c>
      <c r="F316" s="13">
        <v>24</v>
      </c>
      <c r="G316" s="22">
        <f>Overview!$B$22</f>
        <v>36</v>
      </c>
      <c r="H316" s="114">
        <f>G316-I316</f>
        <v>36</v>
      </c>
      <c r="I316" s="114">
        <f>Overview!$E$22</f>
        <v>0</v>
      </c>
      <c r="J316" s="115">
        <f>I316/F316</f>
        <v>0</v>
      </c>
      <c r="K316" s="116">
        <f>Overview!$H$22</f>
        <v>0</v>
      </c>
      <c r="L316" s="117" t="e">
        <f>(K316-J316)/K316</f>
        <v>#DIV/0!</v>
      </c>
      <c r="M316" s="179"/>
      <c r="N316" s="179" t="s">
        <v>3377</v>
      </c>
      <c r="O316" s="141">
        <f>I316</f>
        <v>0</v>
      </c>
      <c r="P316" s="181" t="b">
        <f>COUNTIF('Facility Data'!$A$1:$A$1500,"*"&amp;A316&amp;"*")&gt;0</f>
        <v>0</v>
      </c>
      <c r="Q316" s="181" t="b">
        <f>COUNTIF('Account Data'!$A$1:$A$1000,"*"&amp;A316&amp;"*")&gt;0</f>
        <v>0</v>
      </c>
      <c r="R316" s="182" t="b">
        <f t="shared" si="95"/>
        <v>0</v>
      </c>
      <c r="S316" s="182" t="b">
        <f>IF(OR(Q316=TRUE,T316=TRUE),TRUE,FALSE)</f>
        <v>0</v>
      </c>
      <c r="T316" s="181" t="b">
        <f>COUNTIF('New Items'!$A$1:$A$175,A316)&gt;0</f>
        <v>0</v>
      </c>
      <c r="U316" s="181" t="b">
        <f>COUNTIF(Discontinued!$A$1:$A$150,A316)&gt;0</f>
        <v>0</v>
      </c>
    </row>
    <row r="317" spans="1:21" s="8" customFormat="1" ht="11.25" x14ac:dyDescent="0.2">
      <c r="A317" s="152">
        <v>10100152</v>
      </c>
      <c r="B317" s="10" t="s">
        <v>2911</v>
      </c>
      <c r="C317" s="12" t="s">
        <v>190</v>
      </c>
      <c r="D317" s="11" t="s">
        <v>2914</v>
      </c>
      <c r="E317" s="12" t="s">
        <v>757</v>
      </c>
      <c r="F317" s="13">
        <v>24</v>
      </c>
      <c r="G317" s="22">
        <f>Overview!$B$22</f>
        <v>36</v>
      </c>
      <c r="H317" s="114">
        <f>G317-I317</f>
        <v>36</v>
      </c>
      <c r="I317" s="114">
        <f>Overview!$E$22</f>
        <v>0</v>
      </c>
      <c r="J317" s="115">
        <f>I317/F317</f>
        <v>0</v>
      </c>
      <c r="K317" s="116">
        <f>Overview!$H$22</f>
        <v>0</v>
      </c>
      <c r="L317" s="117" t="e">
        <f>(K317-J317)/K317</f>
        <v>#DIV/0!</v>
      </c>
      <c r="M317" s="179"/>
      <c r="N317" s="179" t="s">
        <v>3377</v>
      </c>
      <c r="O317" s="141">
        <f>I317</f>
        <v>0</v>
      </c>
      <c r="P317" s="181" t="b">
        <f>COUNTIF('Facility Data'!$A$1:$A$1500,"*"&amp;A317&amp;"*")&gt;0</f>
        <v>0</v>
      </c>
      <c r="Q317" s="181" t="b">
        <f>COUNTIF('Account Data'!$A$1:$A$1000,"*"&amp;A317&amp;"*")&gt;0</f>
        <v>0</v>
      </c>
      <c r="R317" s="182" t="b">
        <f t="shared" si="95"/>
        <v>0</v>
      </c>
      <c r="S317" s="182" t="b">
        <f>IF(OR(Q317=TRUE,T317=TRUE),TRUE,FALSE)</f>
        <v>0</v>
      </c>
      <c r="T317" s="181" t="b">
        <f>COUNTIF('New Items'!$A$1:$A$175,A317)&gt;0</f>
        <v>0</v>
      </c>
      <c r="U317" s="181" t="b">
        <f>COUNTIF(Discontinued!$A$1:$A$150,A317)&gt;0</f>
        <v>0</v>
      </c>
    </row>
    <row r="318" spans="1:21" s="8" customFormat="1" ht="11.25" x14ac:dyDescent="0.2">
      <c r="A318" s="152">
        <v>10128111</v>
      </c>
      <c r="B318" s="10" t="s">
        <v>3853</v>
      </c>
      <c r="C318" s="12" t="s">
        <v>190</v>
      </c>
      <c r="D318" s="11" t="s">
        <v>3854</v>
      </c>
      <c r="E318" s="12" t="s">
        <v>757</v>
      </c>
      <c r="F318" s="13">
        <v>24</v>
      </c>
      <c r="G318" s="22">
        <f>Overview!$B$22</f>
        <v>36</v>
      </c>
      <c r="H318" s="114">
        <f t="shared" si="91"/>
        <v>36</v>
      </c>
      <c r="I318" s="114">
        <f>Overview!$E$22</f>
        <v>0</v>
      </c>
      <c r="J318" s="115">
        <f t="shared" si="92"/>
        <v>0</v>
      </c>
      <c r="K318" s="116">
        <f>Overview!$H$22</f>
        <v>0</v>
      </c>
      <c r="L318" s="117" t="e">
        <f t="shared" si="93"/>
        <v>#DIV/0!</v>
      </c>
      <c r="M318" s="179"/>
      <c r="N318" s="179" t="s">
        <v>3377</v>
      </c>
      <c r="O318" s="141">
        <f t="shared" si="94"/>
        <v>0</v>
      </c>
      <c r="P318" s="181" t="b">
        <f>COUNTIF('Facility Data'!$A$1:$A$1500,"*"&amp;A318&amp;"*")&gt;0</f>
        <v>0</v>
      </c>
      <c r="Q318" s="181" t="b">
        <f>COUNTIF('Account Data'!$A$1:$A$1000,"*"&amp;A318&amp;"*")&gt;0</f>
        <v>0</v>
      </c>
      <c r="R318" s="182" t="b">
        <f t="shared" si="95"/>
        <v>0</v>
      </c>
      <c r="S318" s="182" t="b">
        <f t="shared" si="96"/>
        <v>0</v>
      </c>
      <c r="T318" s="181" t="b">
        <f>COUNTIF('New Items'!$A$1:$A$175,A318)&gt;0</f>
        <v>0</v>
      </c>
      <c r="U318" s="181" t="b">
        <f>COUNTIF(Discontinued!$A$1:$A$150,A318)&gt;0</f>
        <v>0</v>
      </c>
    </row>
    <row r="319" spans="1:21" s="8" customFormat="1" ht="11.25" x14ac:dyDescent="0.2">
      <c r="A319" s="152">
        <v>10001141</v>
      </c>
      <c r="B319" s="10" t="s">
        <v>2440</v>
      </c>
      <c r="C319" s="12" t="s">
        <v>2441</v>
      </c>
      <c r="D319" s="11" t="s">
        <v>2442</v>
      </c>
      <c r="E319" s="12" t="s">
        <v>757</v>
      </c>
      <c r="F319" s="13">
        <v>24</v>
      </c>
      <c r="G319" s="22">
        <f>Overview!$B$22</f>
        <v>36</v>
      </c>
      <c r="H319" s="114">
        <f t="shared" si="91"/>
        <v>36</v>
      </c>
      <c r="I319" s="114">
        <f>Overview!$E$22</f>
        <v>0</v>
      </c>
      <c r="J319" s="115">
        <f t="shared" si="92"/>
        <v>0</v>
      </c>
      <c r="K319" s="116">
        <f>Overview!$H$22</f>
        <v>0</v>
      </c>
      <c r="L319" s="117" t="e">
        <f t="shared" si="93"/>
        <v>#DIV/0!</v>
      </c>
      <c r="M319" s="179"/>
      <c r="N319" s="179" t="s">
        <v>3377</v>
      </c>
      <c r="O319" s="141">
        <f t="shared" si="94"/>
        <v>0</v>
      </c>
      <c r="P319" s="181" t="b">
        <f>COUNTIF('Facility Data'!$A$1:$A$1500,"*"&amp;A319&amp;"*")&gt;0</f>
        <v>0</v>
      </c>
      <c r="Q319" s="181" t="b">
        <f>COUNTIF('Account Data'!$A$1:$A$1000,"*"&amp;A319&amp;"*")&gt;0</f>
        <v>0</v>
      </c>
      <c r="R319" s="182" t="b">
        <f t="shared" si="95"/>
        <v>0</v>
      </c>
      <c r="S319" s="182" t="b">
        <f t="shared" si="96"/>
        <v>0</v>
      </c>
      <c r="T319" s="181" t="b">
        <f>COUNTIF('New Items'!$A$1:$A$175,A319)&gt;0</f>
        <v>0</v>
      </c>
      <c r="U319" s="181" t="b">
        <f>COUNTIF(Discontinued!$A$1:$A$150,A319)&gt;0</f>
        <v>0</v>
      </c>
    </row>
    <row r="320" spans="1:21" s="8" customFormat="1" ht="11.25" x14ac:dyDescent="0.2">
      <c r="A320" s="152">
        <v>10001100</v>
      </c>
      <c r="B320" s="10" t="s">
        <v>1425</v>
      </c>
      <c r="C320" s="12" t="s">
        <v>1426</v>
      </c>
      <c r="D320" s="11" t="s">
        <v>662</v>
      </c>
      <c r="E320" s="12" t="s">
        <v>757</v>
      </c>
      <c r="F320" s="13">
        <v>24</v>
      </c>
      <c r="G320" s="22">
        <f>Overview!$B$22</f>
        <v>36</v>
      </c>
      <c r="H320" s="114">
        <f t="shared" si="91"/>
        <v>36</v>
      </c>
      <c r="I320" s="114">
        <f>Overview!$E$22</f>
        <v>0</v>
      </c>
      <c r="J320" s="115">
        <f t="shared" si="92"/>
        <v>0</v>
      </c>
      <c r="K320" s="116">
        <f>Overview!$H$22</f>
        <v>0</v>
      </c>
      <c r="L320" s="117" t="e">
        <f t="shared" si="93"/>
        <v>#DIV/0!</v>
      </c>
      <c r="M320" s="179"/>
      <c r="N320" s="179" t="s">
        <v>3377</v>
      </c>
      <c r="O320" s="141">
        <f t="shared" si="94"/>
        <v>0</v>
      </c>
      <c r="P320" s="181" t="b">
        <f>COUNTIF('Facility Data'!$A$1:$A$1500,"*"&amp;A320&amp;"*")&gt;0</f>
        <v>1</v>
      </c>
      <c r="Q320" s="181" t="b">
        <f>COUNTIF('Account Data'!$A$1:$A$1000,"*"&amp;A320&amp;"*")&gt;0</f>
        <v>0</v>
      </c>
      <c r="R320" s="182" t="b">
        <f t="shared" si="95"/>
        <v>1</v>
      </c>
      <c r="S320" s="182" t="b">
        <f t="shared" si="96"/>
        <v>0</v>
      </c>
      <c r="T320" s="181" t="b">
        <f>COUNTIF('New Items'!$A$1:$A$175,A320)&gt;0</f>
        <v>0</v>
      </c>
      <c r="U320" s="181" t="b">
        <f>COUNTIF(Discontinued!$A$1:$A$150,A320)&gt;0</f>
        <v>0</v>
      </c>
    </row>
    <row r="321" spans="1:21" s="8" customFormat="1" ht="11.25" x14ac:dyDescent="0.2">
      <c r="A321" s="152">
        <v>10100153</v>
      </c>
      <c r="B321" s="10" t="s">
        <v>2913</v>
      </c>
      <c r="C321" s="12" t="s">
        <v>1426</v>
      </c>
      <c r="D321" s="11" t="s">
        <v>2915</v>
      </c>
      <c r="E321" s="12" t="s">
        <v>757</v>
      </c>
      <c r="F321" s="13">
        <v>24</v>
      </c>
      <c r="G321" s="22">
        <f>Overview!$B$22</f>
        <v>36</v>
      </c>
      <c r="H321" s="114">
        <f t="shared" si="91"/>
        <v>36</v>
      </c>
      <c r="I321" s="114">
        <f>Overview!$E$22</f>
        <v>0</v>
      </c>
      <c r="J321" s="115">
        <f t="shared" si="92"/>
        <v>0</v>
      </c>
      <c r="K321" s="116">
        <f>Overview!$H$22</f>
        <v>0</v>
      </c>
      <c r="L321" s="117" t="e">
        <f t="shared" si="93"/>
        <v>#DIV/0!</v>
      </c>
      <c r="M321" s="179"/>
      <c r="N321" s="179" t="s">
        <v>3377</v>
      </c>
      <c r="O321" s="141">
        <f t="shared" si="94"/>
        <v>0</v>
      </c>
      <c r="P321" s="181" t="b">
        <f>COUNTIF('Facility Data'!$A$1:$A$1500,"*"&amp;A321&amp;"*")&gt;0</f>
        <v>0</v>
      </c>
      <c r="Q321" s="181" t="b">
        <f>COUNTIF('Account Data'!$A$1:$A$1000,"*"&amp;A321&amp;"*")&gt;0</f>
        <v>0</v>
      </c>
      <c r="R321" s="182" t="b">
        <f t="shared" si="95"/>
        <v>0</v>
      </c>
      <c r="S321" s="182" t="b">
        <f t="shared" si="96"/>
        <v>0</v>
      </c>
      <c r="T321" s="181" t="b">
        <f>COUNTIF('New Items'!$A$1:$A$175,A321)&gt;0</f>
        <v>0</v>
      </c>
      <c r="U321" s="181" t="b">
        <f>COUNTIF(Discontinued!$A$1:$A$150,A321)&gt;0</f>
        <v>0</v>
      </c>
    </row>
    <row r="322" spans="1:21" s="8" customFormat="1" ht="11.25" x14ac:dyDescent="0.2">
      <c r="A322" s="152">
        <v>10011968</v>
      </c>
      <c r="B322" s="10" t="s">
        <v>1575</v>
      </c>
      <c r="C322" s="12" t="s">
        <v>1576</v>
      </c>
      <c r="D322" s="11" t="s">
        <v>1572</v>
      </c>
      <c r="E322" s="12" t="s">
        <v>757</v>
      </c>
      <c r="F322" s="13">
        <v>24</v>
      </c>
      <c r="G322" s="22">
        <f>Overview!$B$22</f>
        <v>36</v>
      </c>
      <c r="H322" s="114">
        <f t="shared" si="91"/>
        <v>36</v>
      </c>
      <c r="I322" s="114">
        <f>Overview!$E$22</f>
        <v>0</v>
      </c>
      <c r="J322" s="115">
        <f t="shared" si="92"/>
        <v>0</v>
      </c>
      <c r="K322" s="116">
        <f>Overview!$H$22</f>
        <v>0</v>
      </c>
      <c r="L322" s="117" t="e">
        <f t="shared" si="93"/>
        <v>#DIV/0!</v>
      </c>
      <c r="M322" s="179" t="s">
        <v>2421</v>
      </c>
      <c r="N322" s="179" t="s">
        <v>3377</v>
      </c>
      <c r="O322" s="141">
        <f t="shared" si="94"/>
        <v>0</v>
      </c>
      <c r="P322" s="181" t="b">
        <f>COUNTIF('Facility Data'!$A$1:$A$1500,"*"&amp;A322&amp;"*")&gt;0</f>
        <v>0</v>
      </c>
      <c r="Q322" s="181" t="b">
        <f>COUNTIF('Account Data'!$A$1:$A$1000,"*"&amp;A322&amp;"*")&gt;0</f>
        <v>0</v>
      </c>
      <c r="R322" s="182" t="b">
        <f t="shared" si="95"/>
        <v>0</v>
      </c>
      <c r="S322" s="182" t="b">
        <f t="shared" si="96"/>
        <v>0</v>
      </c>
      <c r="T322" s="181" t="b">
        <f>COUNTIF('New Items'!$A$1:$A$175,A322)&gt;0</f>
        <v>0</v>
      </c>
      <c r="U322" s="181" t="b">
        <f>COUNTIF(Discontinued!$A$1:$A$150,A322)&gt;0</f>
        <v>0</v>
      </c>
    </row>
    <row r="323" spans="1:21" s="8" customFormat="1" ht="11.25" x14ac:dyDescent="0.2">
      <c r="A323" s="152">
        <v>10079300</v>
      </c>
      <c r="B323" s="10" t="s">
        <v>2687</v>
      </c>
      <c r="C323" s="12" t="s">
        <v>2688</v>
      </c>
      <c r="D323" s="11" t="s">
        <v>2689</v>
      </c>
      <c r="E323" s="12" t="s">
        <v>757</v>
      </c>
      <c r="F323" s="13">
        <v>24</v>
      </c>
      <c r="G323" s="22">
        <f>Overview!$B$22</f>
        <v>36</v>
      </c>
      <c r="H323" s="114">
        <f t="shared" si="91"/>
        <v>36</v>
      </c>
      <c r="I323" s="114">
        <f>Overview!$E$22</f>
        <v>0</v>
      </c>
      <c r="J323" s="115">
        <f t="shared" si="92"/>
        <v>0</v>
      </c>
      <c r="K323" s="116">
        <f>Overview!$H$22</f>
        <v>0</v>
      </c>
      <c r="L323" s="117" t="e">
        <f t="shared" si="93"/>
        <v>#DIV/0!</v>
      </c>
      <c r="M323" s="179"/>
      <c r="N323" s="179" t="s">
        <v>967</v>
      </c>
      <c r="O323" s="141">
        <f t="shared" si="94"/>
        <v>0</v>
      </c>
      <c r="P323" s="181" t="b">
        <f>COUNTIF('Facility Data'!$A$1:$A$1500,"*"&amp;A323&amp;"*")&gt;0</f>
        <v>0</v>
      </c>
      <c r="Q323" s="181" t="b">
        <f>COUNTIF('Account Data'!$A$1:$A$1000,"*"&amp;A323&amp;"*")&gt;0</f>
        <v>0</v>
      </c>
      <c r="R323" s="182" t="b">
        <f t="shared" si="95"/>
        <v>0</v>
      </c>
      <c r="S323" s="182" t="b">
        <f t="shared" si="96"/>
        <v>0</v>
      </c>
      <c r="T323" s="181" t="b">
        <f>COUNTIF('New Items'!$A$1:$A$175,A323)&gt;0</f>
        <v>0</v>
      </c>
      <c r="U323" s="181" t="b">
        <f>COUNTIF(Discontinued!$A$1:$A$150,A323)&gt;0</f>
        <v>0</v>
      </c>
    </row>
    <row r="324" spans="1:21" s="8" customFormat="1" ht="11.25" x14ac:dyDescent="0.2">
      <c r="A324" s="152">
        <v>10083871</v>
      </c>
      <c r="B324" s="10" t="s">
        <v>2444</v>
      </c>
      <c r="C324" s="12" t="s">
        <v>2700</v>
      </c>
      <c r="D324" s="11" t="s">
        <v>654</v>
      </c>
      <c r="E324" s="12" t="s">
        <v>757</v>
      </c>
      <c r="F324" s="13">
        <v>24</v>
      </c>
      <c r="G324" s="22">
        <f>Overview!$B$22</f>
        <v>36</v>
      </c>
      <c r="H324" s="114">
        <f t="shared" si="91"/>
        <v>36</v>
      </c>
      <c r="I324" s="114">
        <f>Overview!$E$22</f>
        <v>0</v>
      </c>
      <c r="J324" s="115">
        <f t="shared" si="92"/>
        <v>0</v>
      </c>
      <c r="K324" s="116">
        <f>Overview!$H$22</f>
        <v>0</v>
      </c>
      <c r="L324" s="117" t="e">
        <f t="shared" si="93"/>
        <v>#DIV/0!</v>
      </c>
      <c r="M324" s="179"/>
      <c r="N324" s="179" t="s">
        <v>967</v>
      </c>
      <c r="O324" s="141">
        <f t="shared" si="94"/>
        <v>0</v>
      </c>
      <c r="P324" s="181" t="b">
        <f>COUNTIF('Facility Data'!$A$1:$A$1500,"*"&amp;A324&amp;"*")&gt;0</f>
        <v>0</v>
      </c>
      <c r="Q324" s="181" t="b">
        <f>COUNTIF('Account Data'!$A$1:$A$1000,"*"&amp;A324&amp;"*")&gt;0</f>
        <v>0</v>
      </c>
      <c r="R324" s="182" t="b">
        <f t="shared" si="95"/>
        <v>0</v>
      </c>
      <c r="S324" s="182" t="b">
        <f t="shared" si="96"/>
        <v>0</v>
      </c>
      <c r="T324" s="181" t="b">
        <f>COUNTIF('New Items'!$A$1:$A$175,A324)&gt;0</f>
        <v>0</v>
      </c>
      <c r="U324" s="181" t="b">
        <f>COUNTIF(Discontinued!$A$1:$A$150,A324)&gt;0</f>
        <v>0</v>
      </c>
    </row>
    <row r="325" spans="1:21" s="8" customFormat="1" ht="11.25" x14ac:dyDescent="0.2">
      <c r="A325" s="152">
        <v>10079297</v>
      </c>
      <c r="B325" s="10" t="s">
        <v>2443</v>
      </c>
      <c r="C325" s="12" t="s">
        <v>2699</v>
      </c>
      <c r="D325" s="11" t="s">
        <v>653</v>
      </c>
      <c r="E325" s="12" t="s">
        <v>757</v>
      </c>
      <c r="F325" s="13">
        <v>24</v>
      </c>
      <c r="G325" s="22">
        <f>Overview!$B$22</f>
        <v>36</v>
      </c>
      <c r="H325" s="114">
        <f t="shared" si="91"/>
        <v>36</v>
      </c>
      <c r="I325" s="114">
        <f>Overview!$E$22</f>
        <v>0</v>
      </c>
      <c r="J325" s="115">
        <f t="shared" si="92"/>
        <v>0</v>
      </c>
      <c r="K325" s="116">
        <f>Overview!$H$22</f>
        <v>0</v>
      </c>
      <c r="L325" s="117" t="e">
        <f t="shared" si="93"/>
        <v>#DIV/0!</v>
      </c>
      <c r="M325" s="179"/>
      <c r="N325" s="179" t="s">
        <v>967</v>
      </c>
      <c r="O325" s="141">
        <f t="shared" si="94"/>
        <v>0</v>
      </c>
      <c r="P325" s="181" t="b">
        <f>COUNTIF('Facility Data'!$A$1:$A$1500,"*"&amp;A325&amp;"*")&gt;0</f>
        <v>0</v>
      </c>
      <c r="Q325" s="181" t="b">
        <f>COUNTIF('Account Data'!$A$1:$A$1000,"*"&amp;A325&amp;"*")&gt;0</f>
        <v>0</v>
      </c>
      <c r="R325" s="182" t="b">
        <f t="shared" si="95"/>
        <v>0</v>
      </c>
      <c r="S325" s="182" t="b">
        <f t="shared" si="96"/>
        <v>0</v>
      </c>
      <c r="T325" s="181" t="b">
        <f>COUNTIF('New Items'!$A$1:$A$175,A325)&gt;0</f>
        <v>0</v>
      </c>
      <c r="U325" s="181" t="b">
        <f>COUNTIF(Discontinued!$A$1:$A$150,A325)&gt;0</f>
        <v>0</v>
      </c>
    </row>
    <row r="326" spans="1:21" s="8" customFormat="1" ht="11.25" x14ac:dyDescent="0.2">
      <c r="A326" s="152">
        <v>10001150</v>
      </c>
      <c r="B326" s="10" t="s">
        <v>175</v>
      </c>
      <c r="C326" s="12" t="s">
        <v>176</v>
      </c>
      <c r="D326" s="11" t="s">
        <v>652</v>
      </c>
      <c r="E326" s="12" t="s">
        <v>757</v>
      </c>
      <c r="F326" s="13">
        <v>24</v>
      </c>
      <c r="G326" s="22">
        <f>Overview!$B$22</f>
        <v>36</v>
      </c>
      <c r="H326" s="114">
        <f t="shared" si="91"/>
        <v>36</v>
      </c>
      <c r="I326" s="114">
        <f>Overview!$E$22</f>
        <v>0</v>
      </c>
      <c r="J326" s="115">
        <f t="shared" si="92"/>
        <v>0</v>
      </c>
      <c r="K326" s="116">
        <f>Overview!$H$22</f>
        <v>0</v>
      </c>
      <c r="L326" s="117" t="e">
        <f t="shared" si="93"/>
        <v>#DIV/0!</v>
      </c>
      <c r="M326" s="179"/>
      <c r="N326" s="179" t="s">
        <v>967</v>
      </c>
      <c r="O326" s="141">
        <f t="shared" si="94"/>
        <v>0</v>
      </c>
      <c r="P326" s="181" t="b">
        <f>COUNTIF('Facility Data'!$A$1:$A$1500,"*"&amp;A326&amp;"*")&gt;0</f>
        <v>1</v>
      </c>
      <c r="Q326" s="181" t="b">
        <f>COUNTIF('Account Data'!$A$1:$A$1000,"*"&amp;A326&amp;"*")&gt;0</f>
        <v>1</v>
      </c>
      <c r="R326" s="182" t="b">
        <f t="shared" si="95"/>
        <v>1</v>
      </c>
      <c r="S326" s="182" t="b">
        <f t="shared" si="96"/>
        <v>1</v>
      </c>
      <c r="T326" s="181" t="b">
        <f>COUNTIF('New Items'!$A$1:$A$175,A326)&gt;0</f>
        <v>0</v>
      </c>
      <c r="U326" s="181" t="b">
        <f>COUNTIF(Discontinued!$A$1:$A$150,A326)&gt;0</f>
        <v>0</v>
      </c>
    </row>
    <row r="327" spans="1:21" s="8" customFormat="1" ht="11.25" x14ac:dyDescent="0.2">
      <c r="A327" s="152">
        <v>10105909</v>
      </c>
      <c r="B327" s="10" t="s">
        <v>2138</v>
      </c>
      <c r="C327" s="12" t="s">
        <v>797</v>
      </c>
      <c r="D327" s="11" t="s">
        <v>796</v>
      </c>
      <c r="E327" s="12" t="s">
        <v>757</v>
      </c>
      <c r="F327" s="13">
        <v>24</v>
      </c>
      <c r="G327" s="22">
        <f>Overview!$B$22</f>
        <v>36</v>
      </c>
      <c r="H327" s="114">
        <f t="shared" si="91"/>
        <v>36</v>
      </c>
      <c r="I327" s="114">
        <f>Overview!$E$22</f>
        <v>0</v>
      </c>
      <c r="J327" s="115">
        <f t="shared" si="92"/>
        <v>0</v>
      </c>
      <c r="K327" s="116">
        <f>Overview!$H$22</f>
        <v>0</v>
      </c>
      <c r="L327" s="117" t="e">
        <f t="shared" si="93"/>
        <v>#DIV/0!</v>
      </c>
      <c r="M327" s="179"/>
      <c r="N327" s="179" t="s">
        <v>967</v>
      </c>
      <c r="O327" s="141">
        <f t="shared" si="94"/>
        <v>0</v>
      </c>
      <c r="P327" s="181" t="b">
        <f>COUNTIF('Facility Data'!$A$1:$A$1500,"*"&amp;A327&amp;"*")&gt;0</f>
        <v>1</v>
      </c>
      <c r="Q327" s="181" t="b">
        <f>COUNTIF('Account Data'!$A$1:$A$1000,"*"&amp;A327&amp;"*")&gt;0</f>
        <v>1</v>
      </c>
      <c r="R327" s="182" t="b">
        <f t="shared" si="95"/>
        <v>1</v>
      </c>
      <c r="S327" s="182" t="b">
        <f t="shared" si="96"/>
        <v>1</v>
      </c>
      <c r="T327" s="181" t="b">
        <f>COUNTIF('New Items'!$A$1:$A$175,A327)&gt;0</f>
        <v>0</v>
      </c>
      <c r="U327" s="181" t="b">
        <f>COUNTIF(Discontinued!$A$1:$A$150,A327)&gt;0</f>
        <v>0</v>
      </c>
    </row>
    <row r="328" spans="1:21" s="8" customFormat="1" ht="11.25" x14ac:dyDescent="0.2">
      <c r="A328" s="160">
        <v>10105911</v>
      </c>
      <c r="B328" s="231" t="s">
        <v>3667</v>
      </c>
      <c r="C328" s="118" t="s">
        <v>1059</v>
      </c>
      <c r="D328" s="119" t="s">
        <v>1058</v>
      </c>
      <c r="E328" s="118" t="s">
        <v>757</v>
      </c>
      <c r="F328" s="120">
        <v>24</v>
      </c>
      <c r="G328" s="121">
        <f>Overview!$B$22</f>
        <v>36</v>
      </c>
      <c r="H328" s="114">
        <f t="shared" si="91"/>
        <v>36</v>
      </c>
      <c r="I328" s="114">
        <f>Overview!$E$22</f>
        <v>0</v>
      </c>
      <c r="J328" s="115">
        <f t="shared" si="92"/>
        <v>0</v>
      </c>
      <c r="K328" s="116">
        <f>Overview!$H$22</f>
        <v>0</v>
      </c>
      <c r="L328" s="117" t="e">
        <f t="shared" si="93"/>
        <v>#DIV/0!</v>
      </c>
      <c r="M328" s="179"/>
      <c r="N328" s="179" t="s">
        <v>967</v>
      </c>
      <c r="O328" s="141">
        <f t="shared" si="94"/>
        <v>0</v>
      </c>
      <c r="P328" s="181" t="b">
        <f>COUNTIF('Facility Data'!$A$1:$A$1500,"*"&amp;A328&amp;"*")&gt;0</f>
        <v>0</v>
      </c>
      <c r="Q328" s="181" t="b">
        <f>COUNTIF('Account Data'!$A$1:$A$1000,"*"&amp;A328&amp;"*")&gt;0</f>
        <v>0</v>
      </c>
      <c r="R328" s="182" t="b">
        <f t="shared" si="95"/>
        <v>0</v>
      </c>
      <c r="S328" s="182" t="b">
        <f t="shared" si="96"/>
        <v>0</v>
      </c>
      <c r="T328" s="181" t="b">
        <f>COUNTIF('New Items'!$A$1:$A$175,A328)&gt;0</f>
        <v>0</v>
      </c>
      <c r="U328" s="181" t="b">
        <f>COUNTIF(Discontinued!$A$1:$A$150,A328)&gt;0</f>
        <v>0</v>
      </c>
    </row>
    <row r="329" spans="1:21" s="8" customFormat="1" ht="11.25" x14ac:dyDescent="0.2">
      <c r="A329" s="152">
        <v>10057516</v>
      </c>
      <c r="B329" s="10" t="s">
        <v>4802</v>
      </c>
      <c r="C329" s="12" t="s">
        <v>178</v>
      </c>
      <c r="D329" s="11" t="s">
        <v>4737</v>
      </c>
      <c r="E329" s="12" t="s">
        <v>757</v>
      </c>
      <c r="F329" s="13">
        <v>24</v>
      </c>
      <c r="G329" s="22">
        <f>Overview!$B$22</f>
        <v>36</v>
      </c>
      <c r="H329" s="114">
        <f>G329-I329</f>
        <v>36</v>
      </c>
      <c r="I329" s="114">
        <f>Overview!$E$22</f>
        <v>0</v>
      </c>
      <c r="J329" s="115">
        <f>I329/F329</f>
        <v>0</v>
      </c>
      <c r="K329" s="116">
        <f>Overview!$H$22</f>
        <v>0</v>
      </c>
      <c r="L329" s="117" t="e">
        <f>(K329-J329)/K329</f>
        <v>#DIV/0!</v>
      </c>
      <c r="M329" s="179"/>
      <c r="N329" s="179" t="s">
        <v>967</v>
      </c>
      <c r="O329" s="141">
        <f>I329</f>
        <v>0</v>
      </c>
      <c r="P329" s="181" t="b">
        <f>COUNTIF('Facility Data'!$A$1:$A$1500,"*"&amp;A329&amp;"*")&gt;0</f>
        <v>1</v>
      </c>
      <c r="Q329" s="181" t="b">
        <f>COUNTIF('Account Data'!$A$1:$A$1000,"*"&amp;A329&amp;"*")&gt;0</f>
        <v>1</v>
      </c>
      <c r="R329" s="182" t="b">
        <f>IF(OR(P329=TRUE,T329=TRUE),TRUE,FALSE)</f>
        <v>1</v>
      </c>
      <c r="S329" s="182" t="b">
        <f>IF(OR(Q329=TRUE,T329=TRUE),TRUE,FALSE)</f>
        <v>1</v>
      </c>
      <c r="T329" s="181" t="b">
        <f>COUNTIF('New Items'!$A$1:$A$175,A329)&gt;0</f>
        <v>0</v>
      </c>
      <c r="U329" s="181" t="b">
        <f>COUNTIF(Discontinued!$A$1:$A$150,A329)&gt;0</f>
        <v>0</v>
      </c>
    </row>
    <row r="330" spans="1:21" s="8" customFormat="1" ht="11.25" x14ac:dyDescent="0.2">
      <c r="A330" s="160">
        <v>10079291</v>
      </c>
      <c r="B330" s="231" t="s">
        <v>2445</v>
      </c>
      <c r="C330" s="118" t="s">
        <v>2701</v>
      </c>
      <c r="D330" s="119" t="s">
        <v>2447</v>
      </c>
      <c r="E330" s="118" t="s">
        <v>757</v>
      </c>
      <c r="F330" s="120">
        <v>24</v>
      </c>
      <c r="G330" s="121">
        <f>Overview!$B$22</f>
        <v>36</v>
      </c>
      <c r="H330" s="114">
        <f t="shared" si="91"/>
        <v>36</v>
      </c>
      <c r="I330" s="114">
        <f>Overview!$E$22</f>
        <v>0</v>
      </c>
      <c r="J330" s="115">
        <f t="shared" si="92"/>
        <v>0</v>
      </c>
      <c r="K330" s="116">
        <f>Overview!$H$22</f>
        <v>0</v>
      </c>
      <c r="L330" s="117" t="e">
        <f t="shared" si="93"/>
        <v>#DIV/0!</v>
      </c>
      <c r="M330" s="179"/>
      <c r="N330" s="179" t="s">
        <v>967</v>
      </c>
      <c r="O330" s="141">
        <f t="shared" si="94"/>
        <v>0</v>
      </c>
      <c r="P330" s="181" t="b">
        <f>COUNTIF('Facility Data'!$A$1:$A$1500,"*"&amp;A330&amp;"*")&gt;0</f>
        <v>0</v>
      </c>
      <c r="Q330" s="181" t="b">
        <f>COUNTIF('Account Data'!$A$1:$A$1000,"*"&amp;A330&amp;"*")&gt;0</f>
        <v>0</v>
      </c>
      <c r="R330" s="182" t="b">
        <f t="shared" si="95"/>
        <v>0</v>
      </c>
      <c r="S330" s="182" t="b">
        <f t="shared" si="96"/>
        <v>0</v>
      </c>
      <c r="T330" s="181" t="b">
        <f>COUNTIF('New Items'!$A$1:$A$175,A330)&gt;0</f>
        <v>0</v>
      </c>
      <c r="U330" s="181" t="b">
        <f>COUNTIF(Discontinued!$A$1:$A$150,A330)&gt;0</f>
        <v>0</v>
      </c>
    </row>
    <row r="331" spans="1:21" s="8" customFormat="1" ht="11.25" x14ac:dyDescent="0.2">
      <c r="A331" s="160">
        <v>10001110</v>
      </c>
      <c r="B331" s="231" t="s">
        <v>155</v>
      </c>
      <c r="C331" s="118" t="s">
        <v>156</v>
      </c>
      <c r="D331" s="119" t="s">
        <v>633</v>
      </c>
      <c r="E331" s="118" t="s">
        <v>757</v>
      </c>
      <c r="F331" s="120">
        <v>24</v>
      </c>
      <c r="G331" s="121">
        <f>Overview!$B$22</f>
        <v>36</v>
      </c>
      <c r="H331" s="114">
        <f t="shared" si="91"/>
        <v>36</v>
      </c>
      <c r="I331" s="114">
        <f>Overview!$E$22</f>
        <v>0</v>
      </c>
      <c r="J331" s="115">
        <f t="shared" si="92"/>
        <v>0</v>
      </c>
      <c r="K331" s="116">
        <f>Overview!$H$22</f>
        <v>0</v>
      </c>
      <c r="L331" s="117" t="e">
        <f t="shared" si="93"/>
        <v>#DIV/0!</v>
      </c>
      <c r="M331" s="179"/>
      <c r="N331" s="179" t="s">
        <v>967</v>
      </c>
      <c r="O331" s="141">
        <f t="shared" si="94"/>
        <v>0</v>
      </c>
      <c r="P331" s="181" t="b">
        <f>COUNTIF('Facility Data'!$A$1:$A$1500,"*"&amp;A331&amp;"*")&gt;0</f>
        <v>0</v>
      </c>
      <c r="Q331" s="181" t="b">
        <f>COUNTIF('Account Data'!$A$1:$A$1000,"*"&amp;A331&amp;"*")&gt;0</f>
        <v>1</v>
      </c>
      <c r="R331" s="182" t="b">
        <f t="shared" si="95"/>
        <v>0</v>
      </c>
      <c r="S331" s="182" t="b">
        <f t="shared" si="96"/>
        <v>1</v>
      </c>
      <c r="T331" s="181" t="b">
        <f>COUNTIF('New Items'!$A$1:$A$175,A331)&gt;0</f>
        <v>0</v>
      </c>
      <c r="U331" s="181" t="b">
        <f>COUNTIF(Discontinued!$A$1:$A$150,A331)&gt;0</f>
        <v>0</v>
      </c>
    </row>
    <row r="332" spans="1:21" s="8" customFormat="1" ht="11.25" x14ac:dyDescent="0.2">
      <c r="A332" s="160">
        <v>10001796</v>
      </c>
      <c r="B332" s="231" t="s">
        <v>147</v>
      </c>
      <c r="C332" s="118" t="s">
        <v>148</v>
      </c>
      <c r="D332" s="119" t="s">
        <v>632</v>
      </c>
      <c r="E332" s="118" t="s">
        <v>757</v>
      </c>
      <c r="F332" s="120">
        <v>24</v>
      </c>
      <c r="G332" s="121">
        <f>Overview!$B$22</f>
        <v>36</v>
      </c>
      <c r="H332" s="114">
        <f t="shared" si="91"/>
        <v>36</v>
      </c>
      <c r="I332" s="114">
        <f>Overview!$E$22</f>
        <v>0</v>
      </c>
      <c r="J332" s="115">
        <f t="shared" si="92"/>
        <v>0</v>
      </c>
      <c r="K332" s="116">
        <f>Overview!$H$22</f>
        <v>0</v>
      </c>
      <c r="L332" s="117" t="e">
        <f t="shared" si="93"/>
        <v>#DIV/0!</v>
      </c>
      <c r="M332" s="179" t="s">
        <v>951</v>
      </c>
      <c r="N332" s="179" t="s">
        <v>967</v>
      </c>
      <c r="O332" s="141">
        <f t="shared" si="94"/>
        <v>0</v>
      </c>
      <c r="P332" s="181" t="b">
        <f>COUNTIF('Facility Data'!$A$1:$A$1500,"*"&amp;A332&amp;"*")&gt;0</f>
        <v>0</v>
      </c>
      <c r="Q332" s="181" t="b">
        <f>COUNTIF('Account Data'!$A$1:$A$1000,"*"&amp;A332&amp;"*")&gt;0</f>
        <v>1</v>
      </c>
      <c r="R332" s="182" t="b">
        <f t="shared" si="95"/>
        <v>0</v>
      </c>
      <c r="S332" s="182" t="b">
        <f t="shared" si="96"/>
        <v>1</v>
      </c>
      <c r="T332" s="181" t="b">
        <f>COUNTIF('New Items'!$A$1:$A$175,A332)&gt;0</f>
        <v>0</v>
      </c>
      <c r="U332" s="181" t="b">
        <f>COUNTIF(Discontinued!$A$1:$A$150,A332)&gt;0</f>
        <v>0</v>
      </c>
    </row>
    <row r="333" spans="1:21" s="8" customFormat="1" ht="11.25" x14ac:dyDescent="0.2">
      <c r="A333" s="160">
        <v>10001176</v>
      </c>
      <c r="B333" s="231" t="s">
        <v>2454</v>
      </c>
      <c r="C333" s="118" t="s">
        <v>2455</v>
      </c>
      <c r="D333" s="119" t="s">
        <v>1655</v>
      </c>
      <c r="E333" s="118" t="s">
        <v>757</v>
      </c>
      <c r="F333" s="120">
        <v>24</v>
      </c>
      <c r="G333" s="121">
        <f>Overview!$B$22</f>
        <v>36</v>
      </c>
      <c r="H333" s="114">
        <f t="shared" si="91"/>
        <v>36</v>
      </c>
      <c r="I333" s="114">
        <f>Overview!$E$22</f>
        <v>0</v>
      </c>
      <c r="J333" s="115">
        <f t="shared" si="92"/>
        <v>0</v>
      </c>
      <c r="K333" s="116">
        <f>Overview!$H$22</f>
        <v>0</v>
      </c>
      <c r="L333" s="117" t="e">
        <f t="shared" si="93"/>
        <v>#DIV/0!</v>
      </c>
      <c r="M333" s="179" t="s">
        <v>2422</v>
      </c>
      <c r="N333" s="179" t="s">
        <v>3377</v>
      </c>
      <c r="O333" s="141">
        <f t="shared" si="94"/>
        <v>0</v>
      </c>
      <c r="P333" s="181" t="b">
        <f>COUNTIF('Facility Data'!$A$1:$A$1500,"*"&amp;A333&amp;"*")&gt;0</f>
        <v>0</v>
      </c>
      <c r="Q333" s="181" t="b">
        <f>COUNTIF('Account Data'!$A$1:$A$1000,"*"&amp;A333&amp;"*")&gt;0</f>
        <v>0</v>
      </c>
      <c r="R333" s="182" t="b">
        <f t="shared" si="95"/>
        <v>0</v>
      </c>
      <c r="S333" s="182" t="b">
        <f t="shared" si="96"/>
        <v>0</v>
      </c>
      <c r="T333" s="181" t="b">
        <f>COUNTIF('New Items'!$A$1:$A$175,A333)&gt;0</f>
        <v>0</v>
      </c>
      <c r="U333" s="181" t="b">
        <f>COUNTIF(Discontinued!$A$1:$A$150,A333)&gt;0</f>
        <v>0</v>
      </c>
    </row>
    <row r="334" spans="1:21" s="8" customFormat="1" ht="11.25" x14ac:dyDescent="0.2">
      <c r="A334" s="160">
        <v>10021991</v>
      </c>
      <c r="B334" s="231" t="s">
        <v>3658</v>
      </c>
      <c r="C334" s="118" t="s">
        <v>3660</v>
      </c>
      <c r="D334" s="119" t="s">
        <v>3659</v>
      </c>
      <c r="E334" s="118" t="s">
        <v>757</v>
      </c>
      <c r="F334" s="120">
        <v>24</v>
      </c>
      <c r="G334" s="121">
        <f>Overview!$B$22</f>
        <v>36</v>
      </c>
      <c r="H334" s="114">
        <f>G334-I334</f>
        <v>36</v>
      </c>
      <c r="I334" s="114">
        <f>Overview!$E$22</f>
        <v>0</v>
      </c>
      <c r="J334" s="115">
        <f>I334/F334</f>
        <v>0</v>
      </c>
      <c r="K334" s="116">
        <f>Overview!$H$22</f>
        <v>0</v>
      </c>
      <c r="L334" s="117" t="e">
        <f>(K334-J334)/K334</f>
        <v>#DIV/0!</v>
      </c>
      <c r="M334" s="179" t="s">
        <v>921</v>
      </c>
      <c r="N334" s="179" t="s">
        <v>3377</v>
      </c>
      <c r="O334" s="141">
        <f>I334</f>
        <v>0</v>
      </c>
      <c r="P334" s="181" t="b">
        <f>COUNTIF('Facility Data'!$A$1:$A$1500,"*"&amp;A334&amp;"*")&gt;0</f>
        <v>0</v>
      </c>
      <c r="Q334" s="181" t="b">
        <f>COUNTIF('Account Data'!$A$1:$A$1000,"*"&amp;A334&amp;"*")&gt;0</f>
        <v>0</v>
      </c>
      <c r="R334" s="182" t="b">
        <f t="shared" si="95"/>
        <v>0</v>
      </c>
      <c r="S334" s="182" t="b">
        <f>IF(OR(Q334=TRUE,T334=TRUE),TRUE,FALSE)</f>
        <v>0</v>
      </c>
      <c r="T334" s="181" t="b">
        <f>COUNTIF('New Items'!$A$1:$A$175,A334)&gt;0</f>
        <v>0</v>
      </c>
      <c r="U334" s="181" t="b">
        <f>COUNTIF(Discontinued!$A$1:$A$150,A334)&gt;0</f>
        <v>0</v>
      </c>
    </row>
    <row r="335" spans="1:21" s="8" customFormat="1" ht="11.25" x14ac:dyDescent="0.2">
      <c r="A335" s="160">
        <v>10021992</v>
      </c>
      <c r="B335" s="231" t="s">
        <v>3271</v>
      </c>
      <c r="C335" s="118" t="s">
        <v>933</v>
      </c>
      <c r="D335" s="119" t="s">
        <v>923</v>
      </c>
      <c r="E335" s="118" t="s">
        <v>757</v>
      </c>
      <c r="F335" s="120">
        <v>24</v>
      </c>
      <c r="G335" s="121">
        <f>Overview!$B$22</f>
        <v>36</v>
      </c>
      <c r="H335" s="114">
        <f t="shared" si="91"/>
        <v>36</v>
      </c>
      <c r="I335" s="114">
        <f>Overview!$E$22</f>
        <v>0</v>
      </c>
      <c r="J335" s="115">
        <f t="shared" si="92"/>
        <v>0</v>
      </c>
      <c r="K335" s="116">
        <f>Overview!$H$22</f>
        <v>0</v>
      </c>
      <c r="L335" s="117" t="e">
        <f t="shared" si="93"/>
        <v>#DIV/0!</v>
      </c>
      <c r="M335" s="179" t="s">
        <v>921</v>
      </c>
      <c r="N335" s="179" t="s">
        <v>3377</v>
      </c>
      <c r="O335" s="141">
        <f t="shared" si="94"/>
        <v>0</v>
      </c>
      <c r="P335" s="181" t="b">
        <f>COUNTIF('Facility Data'!$A$1:$A$1500,"*"&amp;A335&amp;"*")&gt;0</f>
        <v>0</v>
      </c>
      <c r="Q335" s="181" t="b">
        <f>COUNTIF('Account Data'!$A$1:$A$1000,"*"&amp;A335&amp;"*")&gt;0</f>
        <v>1</v>
      </c>
      <c r="R335" s="182" t="b">
        <f t="shared" si="95"/>
        <v>0</v>
      </c>
      <c r="S335" s="182" t="b">
        <f t="shared" si="96"/>
        <v>1</v>
      </c>
      <c r="T335" s="181" t="b">
        <f>COUNTIF('New Items'!$A$1:$A$175,A335)&gt;0</f>
        <v>0</v>
      </c>
      <c r="U335" s="181" t="b">
        <f>COUNTIF(Discontinued!$A$1:$A$150,A335)&gt;0</f>
        <v>0</v>
      </c>
    </row>
    <row r="336" spans="1:21" s="8" customFormat="1" ht="11.25" x14ac:dyDescent="0.2">
      <c r="A336" s="160">
        <v>10021990</v>
      </c>
      <c r="B336" s="231" t="s">
        <v>3270</v>
      </c>
      <c r="C336" s="118" t="s">
        <v>932</v>
      </c>
      <c r="D336" s="119" t="s">
        <v>922</v>
      </c>
      <c r="E336" s="118" t="s">
        <v>757</v>
      </c>
      <c r="F336" s="120">
        <v>24</v>
      </c>
      <c r="G336" s="121">
        <f>Overview!$B$22</f>
        <v>36</v>
      </c>
      <c r="H336" s="114">
        <f t="shared" si="91"/>
        <v>36</v>
      </c>
      <c r="I336" s="114">
        <f>Overview!$E$22</f>
        <v>0</v>
      </c>
      <c r="J336" s="115">
        <f t="shared" si="92"/>
        <v>0</v>
      </c>
      <c r="K336" s="116">
        <f>Overview!$H$22</f>
        <v>0</v>
      </c>
      <c r="L336" s="117" t="e">
        <f t="shared" si="93"/>
        <v>#DIV/0!</v>
      </c>
      <c r="M336" s="179" t="s">
        <v>921</v>
      </c>
      <c r="N336" s="179" t="s">
        <v>3377</v>
      </c>
      <c r="O336" s="141">
        <f t="shared" si="94"/>
        <v>0</v>
      </c>
      <c r="P336" s="181" t="b">
        <f>COUNTIF('Facility Data'!$A$1:$A$1500,"*"&amp;A336&amp;"*")&gt;0</f>
        <v>0</v>
      </c>
      <c r="Q336" s="181" t="b">
        <f>COUNTIF('Account Data'!$A$1:$A$1000,"*"&amp;A336&amp;"*")&gt;0</f>
        <v>1</v>
      </c>
      <c r="R336" s="182" t="b">
        <f t="shared" si="95"/>
        <v>0</v>
      </c>
      <c r="S336" s="182" t="b">
        <f t="shared" si="96"/>
        <v>1</v>
      </c>
      <c r="T336" s="181" t="b">
        <f>COUNTIF('New Items'!$A$1:$A$175,A336)&gt;0</f>
        <v>0</v>
      </c>
      <c r="U336" s="181" t="b">
        <f>COUNTIF(Discontinued!$A$1:$A$150,A336)&gt;0</f>
        <v>0</v>
      </c>
    </row>
    <row r="337" spans="1:21" s="8" customFormat="1" ht="11.25" x14ac:dyDescent="0.2">
      <c r="A337" s="160">
        <v>10021993</v>
      </c>
      <c r="B337" s="231" t="s">
        <v>3272</v>
      </c>
      <c r="C337" s="118" t="s">
        <v>934</v>
      </c>
      <c r="D337" s="119" t="s">
        <v>924</v>
      </c>
      <c r="E337" s="118" t="s">
        <v>757</v>
      </c>
      <c r="F337" s="120">
        <v>24</v>
      </c>
      <c r="G337" s="121">
        <f>Overview!$B$22</f>
        <v>36</v>
      </c>
      <c r="H337" s="114">
        <f t="shared" si="91"/>
        <v>36</v>
      </c>
      <c r="I337" s="114">
        <f>Overview!$E$22</f>
        <v>0</v>
      </c>
      <c r="J337" s="115">
        <f t="shared" si="92"/>
        <v>0</v>
      </c>
      <c r="K337" s="116">
        <f>Overview!$H$22</f>
        <v>0</v>
      </c>
      <c r="L337" s="117" t="e">
        <f t="shared" si="93"/>
        <v>#DIV/0!</v>
      </c>
      <c r="M337" s="179" t="s">
        <v>921</v>
      </c>
      <c r="N337" s="179" t="s">
        <v>3377</v>
      </c>
      <c r="O337" s="141">
        <f t="shared" si="94"/>
        <v>0</v>
      </c>
      <c r="P337" s="181" t="b">
        <f>COUNTIF('Facility Data'!$A$1:$A$1500,"*"&amp;A337&amp;"*")&gt;0</f>
        <v>0</v>
      </c>
      <c r="Q337" s="181" t="b">
        <f>COUNTIF('Account Data'!$A$1:$A$1000,"*"&amp;A337&amp;"*")&gt;0</f>
        <v>1</v>
      </c>
      <c r="R337" s="182" t="b">
        <f t="shared" si="95"/>
        <v>0</v>
      </c>
      <c r="S337" s="182" t="b">
        <f t="shared" si="96"/>
        <v>1</v>
      </c>
      <c r="T337" s="181" t="b">
        <f>COUNTIF('New Items'!$A$1:$A$175,A337)&gt;0</f>
        <v>0</v>
      </c>
      <c r="U337" s="181" t="b">
        <f>COUNTIF(Discontinued!$A$1:$A$150,A337)&gt;0</f>
        <v>0</v>
      </c>
    </row>
    <row r="338" spans="1:21" s="8" customFormat="1" ht="11.25" x14ac:dyDescent="0.2">
      <c r="A338" s="152">
        <v>10001797</v>
      </c>
      <c r="B338" s="10" t="s">
        <v>149</v>
      </c>
      <c r="C338" s="12" t="s">
        <v>150</v>
      </c>
      <c r="D338" s="11" t="s">
        <v>641</v>
      </c>
      <c r="E338" s="12" t="s">
        <v>757</v>
      </c>
      <c r="F338" s="13">
        <v>24</v>
      </c>
      <c r="G338" s="22">
        <f>Overview!$B$22</f>
        <v>36</v>
      </c>
      <c r="H338" s="114">
        <f t="shared" si="91"/>
        <v>36</v>
      </c>
      <c r="I338" s="114">
        <f>Overview!$E$22</f>
        <v>0</v>
      </c>
      <c r="J338" s="115">
        <f t="shared" si="92"/>
        <v>0</v>
      </c>
      <c r="K338" s="116">
        <f>Overview!$H$22</f>
        <v>0</v>
      </c>
      <c r="L338" s="117" t="e">
        <f t="shared" si="93"/>
        <v>#DIV/0!</v>
      </c>
      <c r="M338" s="179" t="s">
        <v>951</v>
      </c>
      <c r="N338" s="179" t="s">
        <v>967</v>
      </c>
      <c r="O338" s="141">
        <f t="shared" si="94"/>
        <v>0</v>
      </c>
      <c r="P338" s="181" t="b">
        <f>COUNTIF('Facility Data'!$A$1:$A$1500,"*"&amp;A338&amp;"*")&gt;0</f>
        <v>0</v>
      </c>
      <c r="Q338" s="181" t="b">
        <f>COUNTIF('Account Data'!$A$1:$A$1000,"*"&amp;A338&amp;"*")&gt;0</f>
        <v>1</v>
      </c>
      <c r="R338" s="182" t="b">
        <f t="shared" ref="R338:R367" si="97">IF(OR(P338=TRUE,T338=TRUE),TRUE,FALSE)</f>
        <v>0</v>
      </c>
      <c r="S338" s="182" t="b">
        <f t="shared" si="96"/>
        <v>1</v>
      </c>
      <c r="T338" s="181" t="b">
        <f>COUNTIF('New Items'!$A$1:$A$175,A338)&gt;0</f>
        <v>0</v>
      </c>
      <c r="U338" s="181" t="b">
        <f>COUNTIF(Discontinued!$A$1:$A$150,A338)&gt;0</f>
        <v>0</v>
      </c>
    </row>
    <row r="339" spans="1:21" s="8" customFormat="1" ht="11.25" x14ac:dyDescent="0.2">
      <c r="A339" s="152">
        <v>10001625</v>
      </c>
      <c r="B339" s="10" t="s">
        <v>145</v>
      </c>
      <c r="C339" s="12" t="s">
        <v>146</v>
      </c>
      <c r="D339" s="11" t="s">
        <v>631</v>
      </c>
      <c r="E339" s="12" t="s">
        <v>757</v>
      </c>
      <c r="F339" s="13">
        <v>24</v>
      </c>
      <c r="G339" s="22">
        <f>Overview!$B$22</f>
        <v>36</v>
      </c>
      <c r="H339" s="114">
        <f t="shared" ref="H339:H367" si="98">G339-I339</f>
        <v>36</v>
      </c>
      <c r="I339" s="114">
        <f>Overview!$E$22</f>
        <v>0</v>
      </c>
      <c r="J339" s="115">
        <f t="shared" ref="J339:J367" si="99">I339/F339</f>
        <v>0</v>
      </c>
      <c r="K339" s="116">
        <f>Overview!$H$22</f>
        <v>0</v>
      </c>
      <c r="L339" s="117" t="e">
        <f t="shared" ref="L339:L367" si="100">(K339-J339)/K339</f>
        <v>#DIV/0!</v>
      </c>
      <c r="M339" s="179" t="s">
        <v>951</v>
      </c>
      <c r="N339" s="179" t="s">
        <v>967</v>
      </c>
      <c r="O339" s="141">
        <f t="shared" ref="O339:O367" si="101">I339</f>
        <v>0</v>
      </c>
      <c r="P339" s="181" t="b">
        <f>COUNTIF('Facility Data'!$A$1:$A$1500,"*"&amp;A339&amp;"*")&gt;0</f>
        <v>0</v>
      </c>
      <c r="Q339" s="181" t="b">
        <f>COUNTIF('Account Data'!$A$1:$A$1000,"*"&amp;A339&amp;"*")&gt;0</f>
        <v>1</v>
      </c>
      <c r="R339" s="182" t="b">
        <f t="shared" si="97"/>
        <v>0</v>
      </c>
      <c r="S339" s="182" t="b">
        <f t="shared" ref="S339:S367" si="102">IF(OR(Q339=TRUE,T339=TRUE),TRUE,FALSE)</f>
        <v>1</v>
      </c>
      <c r="T339" s="181" t="b">
        <f>COUNTIF('New Items'!$A$1:$A$175,A339)&gt;0</f>
        <v>0</v>
      </c>
      <c r="U339" s="181" t="b">
        <f>COUNTIF(Discontinued!$A$1:$A$150,A339)&gt;0</f>
        <v>0</v>
      </c>
    </row>
    <row r="340" spans="1:21" s="8" customFormat="1" ht="11.25" x14ac:dyDescent="0.2">
      <c r="A340" s="160">
        <v>10127333</v>
      </c>
      <c r="B340" s="231" t="s">
        <v>3770</v>
      </c>
      <c r="C340" s="118" t="s">
        <v>3772</v>
      </c>
      <c r="D340" s="119" t="s">
        <v>3762</v>
      </c>
      <c r="E340" s="12" t="s">
        <v>757</v>
      </c>
      <c r="F340" s="13">
        <v>24</v>
      </c>
      <c r="G340" s="121">
        <f>Overview!$B$22</f>
        <v>36</v>
      </c>
      <c r="H340" s="114">
        <f t="shared" si="98"/>
        <v>36</v>
      </c>
      <c r="I340" s="114">
        <f>Overview!$E$22</f>
        <v>0</v>
      </c>
      <c r="J340" s="115">
        <f t="shared" si="99"/>
        <v>0</v>
      </c>
      <c r="K340" s="116">
        <f>Overview!$H$22</f>
        <v>0</v>
      </c>
      <c r="L340" s="117" t="e">
        <f t="shared" si="100"/>
        <v>#DIV/0!</v>
      </c>
      <c r="M340" s="179" t="s">
        <v>951</v>
      </c>
      <c r="N340" s="179" t="s">
        <v>967</v>
      </c>
      <c r="O340" s="141">
        <f t="shared" si="101"/>
        <v>0</v>
      </c>
      <c r="P340" s="181" t="b">
        <f>COUNTIF('Facility Data'!$A$1:$A$1500,"*"&amp;A340&amp;"*")&gt;0</f>
        <v>0</v>
      </c>
      <c r="Q340" s="181" t="b">
        <f>COUNTIF('Account Data'!$A$1:$A$1000,"*"&amp;A340&amp;"*")&gt;0</f>
        <v>0</v>
      </c>
      <c r="R340" s="182" t="b">
        <f t="shared" si="97"/>
        <v>0</v>
      </c>
      <c r="S340" s="182" t="b">
        <f t="shared" si="102"/>
        <v>0</v>
      </c>
      <c r="T340" s="181" t="b">
        <f>COUNTIF('New Items'!$A$1:$A$175,A340)&gt;0</f>
        <v>0</v>
      </c>
      <c r="U340" s="181" t="b">
        <f>COUNTIF(Discontinued!$A$1:$A$150,A340)&gt;0</f>
        <v>0</v>
      </c>
    </row>
    <row r="341" spans="1:21" s="8" customFormat="1" ht="11.25" x14ac:dyDescent="0.2">
      <c r="A341" s="152">
        <v>10000039</v>
      </c>
      <c r="B341" s="10" t="s">
        <v>1302</v>
      </c>
      <c r="C341" s="12" t="s">
        <v>1303</v>
      </c>
      <c r="D341" s="11" t="s">
        <v>1272</v>
      </c>
      <c r="E341" s="12" t="s">
        <v>757</v>
      </c>
      <c r="F341" s="13">
        <v>24</v>
      </c>
      <c r="G341" s="22">
        <f>Overview!$B$22</f>
        <v>36</v>
      </c>
      <c r="H341" s="114">
        <f t="shared" si="98"/>
        <v>36</v>
      </c>
      <c r="I341" s="114">
        <f>Overview!$E$22</f>
        <v>0</v>
      </c>
      <c r="J341" s="115">
        <f t="shared" si="99"/>
        <v>0</v>
      </c>
      <c r="K341" s="116">
        <f>Overview!$H$22</f>
        <v>0</v>
      </c>
      <c r="L341" s="117" t="e">
        <f t="shared" si="100"/>
        <v>#DIV/0!</v>
      </c>
      <c r="M341" s="179"/>
      <c r="N341" s="179" t="s">
        <v>3377</v>
      </c>
      <c r="O341" s="141">
        <f t="shared" si="101"/>
        <v>0</v>
      </c>
      <c r="P341" s="181" t="b">
        <f>COUNTIF('Facility Data'!$A$1:$A$1500,"*"&amp;A341&amp;"*")&gt;0</f>
        <v>0</v>
      </c>
      <c r="Q341" s="181" t="b">
        <f>COUNTIF('Account Data'!$A$1:$A$1000,"*"&amp;A341&amp;"*")&gt;0</f>
        <v>0</v>
      </c>
      <c r="R341" s="182" t="b">
        <f t="shared" si="97"/>
        <v>0</v>
      </c>
      <c r="S341" s="182" t="b">
        <f t="shared" si="102"/>
        <v>0</v>
      </c>
      <c r="T341" s="181" t="b">
        <f>COUNTIF('New Items'!$A$1:$A$175,A341)&gt;0</f>
        <v>0</v>
      </c>
      <c r="U341" s="181" t="b">
        <f>COUNTIF(Discontinued!$A$1:$A$150,A341)&gt;0</f>
        <v>0</v>
      </c>
    </row>
    <row r="342" spans="1:21" s="8" customFormat="1" ht="11.25" x14ac:dyDescent="0.2">
      <c r="A342" s="152">
        <v>10001134</v>
      </c>
      <c r="B342" s="10" t="s">
        <v>1290</v>
      </c>
      <c r="C342" s="12" t="s">
        <v>1291</v>
      </c>
      <c r="D342" s="11" t="s">
        <v>649</v>
      </c>
      <c r="E342" s="12" t="s">
        <v>757</v>
      </c>
      <c r="F342" s="13">
        <v>24</v>
      </c>
      <c r="G342" s="22">
        <f>Overview!$B$22</f>
        <v>36</v>
      </c>
      <c r="H342" s="114">
        <f t="shared" si="98"/>
        <v>36</v>
      </c>
      <c r="I342" s="114">
        <f>Overview!$E$22</f>
        <v>0</v>
      </c>
      <c r="J342" s="115">
        <f t="shared" si="99"/>
        <v>0</v>
      </c>
      <c r="K342" s="116">
        <f>Overview!$H$22</f>
        <v>0</v>
      </c>
      <c r="L342" s="117" t="e">
        <f t="shared" si="100"/>
        <v>#DIV/0!</v>
      </c>
      <c r="M342" s="179"/>
      <c r="N342" s="179" t="s">
        <v>3377</v>
      </c>
      <c r="O342" s="141">
        <f t="shared" si="101"/>
        <v>0</v>
      </c>
      <c r="P342" s="181" t="b">
        <f>COUNTIF('Facility Data'!$A$1:$A$1500,"*"&amp;A342&amp;"*")&gt;0</f>
        <v>0</v>
      </c>
      <c r="Q342" s="181" t="b">
        <f>COUNTIF('Account Data'!$A$1:$A$1000,"*"&amp;A342&amp;"*")&gt;0</f>
        <v>0</v>
      </c>
      <c r="R342" s="182" t="b">
        <f t="shared" si="97"/>
        <v>0</v>
      </c>
      <c r="S342" s="182" t="b">
        <f t="shared" si="102"/>
        <v>0</v>
      </c>
      <c r="T342" s="181" t="b">
        <f>COUNTIF('New Items'!$A$1:$A$175,A342)&gt;0</f>
        <v>0</v>
      </c>
      <c r="U342" s="181" t="b">
        <f>COUNTIF(Discontinued!$A$1:$A$150,A342)&gt;0</f>
        <v>0</v>
      </c>
    </row>
    <row r="343" spans="1:21" s="8" customFormat="1" ht="11.25" x14ac:dyDescent="0.2">
      <c r="A343" s="152">
        <v>10001195</v>
      </c>
      <c r="B343" s="10" t="s">
        <v>143</v>
      </c>
      <c r="C343" s="12" t="s">
        <v>144</v>
      </c>
      <c r="D343" s="11" t="s">
        <v>629</v>
      </c>
      <c r="E343" s="12" t="s">
        <v>757</v>
      </c>
      <c r="F343" s="13">
        <v>24</v>
      </c>
      <c r="G343" s="22">
        <f>Overview!$B$22</f>
        <v>36</v>
      </c>
      <c r="H343" s="114">
        <f t="shared" si="98"/>
        <v>36</v>
      </c>
      <c r="I343" s="114">
        <f>Overview!$E$22</f>
        <v>0</v>
      </c>
      <c r="J343" s="115">
        <f t="shared" si="99"/>
        <v>0</v>
      </c>
      <c r="K343" s="116">
        <f>Overview!$H$22</f>
        <v>0</v>
      </c>
      <c r="L343" s="117" t="e">
        <f t="shared" si="100"/>
        <v>#DIV/0!</v>
      </c>
      <c r="M343" s="179" t="s">
        <v>951</v>
      </c>
      <c r="N343" s="179" t="s">
        <v>967</v>
      </c>
      <c r="O343" s="141">
        <f t="shared" si="101"/>
        <v>0</v>
      </c>
      <c r="P343" s="181" t="b">
        <f>COUNTIF('Facility Data'!$A$1:$A$1500,"*"&amp;A343&amp;"*")&gt;0</f>
        <v>0</v>
      </c>
      <c r="Q343" s="181" t="b">
        <f>COUNTIF('Account Data'!$A$1:$A$1000,"*"&amp;A343&amp;"*")&gt;0</f>
        <v>1</v>
      </c>
      <c r="R343" s="182" t="b">
        <f t="shared" si="97"/>
        <v>0</v>
      </c>
      <c r="S343" s="182" t="b">
        <f t="shared" si="102"/>
        <v>1</v>
      </c>
      <c r="T343" s="181" t="b">
        <f>COUNTIF('New Items'!$A$1:$A$175,A343)&gt;0</f>
        <v>0</v>
      </c>
      <c r="U343" s="181" t="b">
        <f>COUNTIF(Discontinued!$A$1:$A$150,A343)&gt;0</f>
        <v>0</v>
      </c>
    </row>
    <row r="344" spans="1:21" s="8" customFormat="1" ht="11.25" x14ac:dyDescent="0.2">
      <c r="A344" s="152">
        <v>10122305</v>
      </c>
      <c r="B344" s="10" t="s">
        <v>3657</v>
      </c>
      <c r="C344" s="12" t="s">
        <v>144</v>
      </c>
      <c r="D344" s="11" t="s">
        <v>3656</v>
      </c>
      <c r="E344" s="12" t="s">
        <v>757</v>
      </c>
      <c r="F344" s="13">
        <v>24</v>
      </c>
      <c r="G344" s="22">
        <f>Overview!$B$22</f>
        <v>36</v>
      </c>
      <c r="H344" s="114">
        <f>G344-I344</f>
        <v>36</v>
      </c>
      <c r="I344" s="114">
        <f>Overview!$E$22</f>
        <v>0</v>
      </c>
      <c r="J344" s="115">
        <f>I344/F344</f>
        <v>0</v>
      </c>
      <c r="K344" s="116">
        <f>Overview!$H$22</f>
        <v>0</v>
      </c>
      <c r="L344" s="117" t="e">
        <f>(K344-J344)/K344</f>
        <v>#DIV/0!</v>
      </c>
      <c r="M344" s="179" t="s">
        <v>951</v>
      </c>
      <c r="N344" s="179" t="s">
        <v>967</v>
      </c>
      <c r="O344" s="141">
        <f>I344</f>
        <v>0</v>
      </c>
      <c r="P344" s="181" t="b">
        <f>COUNTIF('Facility Data'!$A$1:$A$1500,"*"&amp;A344&amp;"*")&gt;0</f>
        <v>0</v>
      </c>
      <c r="Q344" s="181" t="b">
        <f>COUNTIF('Account Data'!$A$1:$A$1000,"*"&amp;A344&amp;"*")&gt;0</f>
        <v>0</v>
      </c>
      <c r="R344" s="182" t="b">
        <f t="shared" si="97"/>
        <v>0</v>
      </c>
      <c r="S344" s="182" t="b">
        <f>IF(OR(Q344=TRUE,T344=TRUE),TRUE,FALSE)</f>
        <v>0</v>
      </c>
      <c r="T344" s="181" t="b">
        <f>COUNTIF('New Items'!$A$1:$A$175,A344)&gt;0</f>
        <v>0</v>
      </c>
      <c r="U344" s="181" t="b">
        <f>COUNTIF(Discontinued!$A$1:$A$150,A344)&gt;0</f>
        <v>0</v>
      </c>
    </row>
    <row r="345" spans="1:21" s="8" customFormat="1" ht="11.25" x14ac:dyDescent="0.2">
      <c r="A345" s="160">
        <v>10127330</v>
      </c>
      <c r="B345" s="231" t="s">
        <v>3769</v>
      </c>
      <c r="C345" s="118" t="s">
        <v>3771</v>
      </c>
      <c r="D345" s="119" t="s">
        <v>3761</v>
      </c>
      <c r="E345" s="12" t="s">
        <v>757</v>
      </c>
      <c r="F345" s="13">
        <v>24</v>
      </c>
      <c r="G345" s="121">
        <f>Overview!$B$22</f>
        <v>36</v>
      </c>
      <c r="H345" s="114">
        <f>G345-I345</f>
        <v>36</v>
      </c>
      <c r="I345" s="114">
        <f>Overview!$E$22</f>
        <v>0</v>
      </c>
      <c r="J345" s="115">
        <f>I345/F345</f>
        <v>0</v>
      </c>
      <c r="K345" s="116">
        <f>Overview!$H$22</f>
        <v>0</v>
      </c>
      <c r="L345" s="117" t="e">
        <f>(K345-J345)/K345</f>
        <v>#DIV/0!</v>
      </c>
      <c r="M345" s="179" t="s">
        <v>951</v>
      </c>
      <c r="N345" s="179" t="s">
        <v>967</v>
      </c>
      <c r="O345" s="141">
        <f>I345</f>
        <v>0</v>
      </c>
      <c r="P345" s="181" t="b">
        <f>COUNTIF('Facility Data'!$A$1:$A$1500,"*"&amp;A345&amp;"*")&gt;0</f>
        <v>0</v>
      </c>
      <c r="Q345" s="181" t="b">
        <f>COUNTIF('Account Data'!$A$1:$A$1000,"*"&amp;A345&amp;"*")&gt;0</f>
        <v>0</v>
      </c>
      <c r="R345" s="182" t="b">
        <f t="shared" si="97"/>
        <v>0</v>
      </c>
      <c r="S345" s="182" t="b">
        <f>IF(OR(Q345=TRUE,T345=TRUE),TRUE,FALSE)</f>
        <v>0</v>
      </c>
      <c r="T345" s="181" t="b">
        <f>COUNTIF('New Items'!$A$1:$A$175,A345)&gt;0</f>
        <v>0</v>
      </c>
      <c r="U345" s="181" t="b">
        <f>COUNTIF(Discontinued!$A$1:$A$150,A345)&gt;0</f>
        <v>0</v>
      </c>
    </row>
    <row r="346" spans="1:21" s="8" customFormat="1" ht="11.25" x14ac:dyDescent="0.2">
      <c r="A346" s="152">
        <v>10083297</v>
      </c>
      <c r="B346" s="10" t="s">
        <v>1421</v>
      </c>
      <c r="C346" s="12" t="s">
        <v>1422</v>
      </c>
      <c r="D346" s="11" t="s">
        <v>920</v>
      </c>
      <c r="E346" s="12" t="s">
        <v>757</v>
      </c>
      <c r="F346" s="13">
        <v>24</v>
      </c>
      <c r="G346" s="22">
        <f>Overview!$B$22</f>
        <v>36</v>
      </c>
      <c r="H346" s="114">
        <f t="shared" si="98"/>
        <v>36</v>
      </c>
      <c r="I346" s="114">
        <f>Overview!$E$22</f>
        <v>0</v>
      </c>
      <c r="J346" s="115">
        <f t="shared" si="99"/>
        <v>0</v>
      </c>
      <c r="K346" s="116">
        <f>Overview!$H$22</f>
        <v>0</v>
      </c>
      <c r="L346" s="117" t="e">
        <f t="shared" si="100"/>
        <v>#DIV/0!</v>
      </c>
      <c r="M346" s="179" t="s">
        <v>951</v>
      </c>
      <c r="N346" s="179" t="s">
        <v>967</v>
      </c>
      <c r="O346" s="141">
        <f t="shared" si="101"/>
        <v>0</v>
      </c>
      <c r="P346" s="181" t="b">
        <f>COUNTIF('Facility Data'!$A$1:$A$1500,"*"&amp;A346&amp;"*")&gt;0</f>
        <v>0</v>
      </c>
      <c r="Q346" s="181" t="b">
        <f>COUNTIF('Account Data'!$A$1:$A$1000,"*"&amp;A346&amp;"*")&gt;0</f>
        <v>0</v>
      </c>
      <c r="R346" s="182" t="b">
        <f t="shared" si="97"/>
        <v>0</v>
      </c>
      <c r="S346" s="182" t="b">
        <f t="shared" si="102"/>
        <v>0</v>
      </c>
      <c r="T346" s="181" t="b">
        <f>COUNTIF('New Items'!$A$1:$A$175,A346)&gt;0</f>
        <v>0</v>
      </c>
      <c r="U346" s="181" t="b">
        <f>COUNTIF(Discontinued!$A$1:$A$150,A346)&gt;0</f>
        <v>0</v>
      </c>
    </row>
    <row r="347" spans="1:21" s="8" customFormat="1" ht="11.25" x14ac:dyDescent="0.2">
      <c r="A347" s="152">
        <v>10006261</v>
      </c>
      <c r="B347" s="10" t="s">
        <v>1423</v>
      </c>
      <c r="C347" s="12" t="s">
        <v>1424</v>
      </c>
      <c r="D347" s="11" t="s">
        <v>630</v>
      </c>
      <c r="E347" s="12" t="s">
        <v>757</v>
      </c>
      <c r="F347" s="13">
        <v>24</v>
      </c>
      <c r="G347" s="22">
        <f>Overview!$B$22</f>
        <v>36</v>
      </c>
      <c r="H347" s="114">
        <f t="shared" si="98"/>
        <v>36</v>
      </c>
      <c r="I347" s="114">
        <f>Overview!$E$22</f>
        <v>0</v>
      </c>
      <c r="J347" s="115">
        <f t="shared" si="99"/>
        <v>0</v>
      </c>
      <c r="K347" s="116">
        <f>Overview!$H$22</f>
        <v>0</v>
      </c>
      <c r="L347" s="117" t="e">
        <f t="shared" si="100"/>
        <v>#DIV/0!</v>
      </c>
      <c r="M347" s="179" t="s">
        <v>951</v>
      </c>
      <c r="N347" s="179" t="s">
        <v>967</v>
      </c>
      <c r="O347" s="141">
        <f t="shared" si="101"/>
        <v>0</v>
      </c>
      <c r="P347" s="181" t="b">
        <f>COUNTIF('Facility Data'!$A$1:$A$1500,"*"&amp;A347&amp;"*")&gt;0</f>
        <v>0</v>
      </c>
      <c r="Q347" s="181" t="b">
        <f>COUNTIF('Account Data'!$A$1:$A$1000,"*"&amp;A347&amp;"*")&gt;0</f>
        <v>0</v>
      </c>
      <c r="R347" s="182" t="b">
        <f t="shared" si="97"/>
        <v>0</v>
      </c>
      <c r="S347" s="182" t="b">
        <f t="shared" si="102"/>
        <v>0</v>
      </c>
      <c r="T347" s="181" t="b">
        <f>COUNTIF('New Items'!$A$1:$A$175,A347)&gt;0</f>
        <v>0</v>
      </c>
      <c r="U347" s="181" t="b">
        <f>COUNTIF(Discontinued!$A$1:$A$150,A347)&gt;0</f>
        <v>0</v>
      </c>
    </row>
    <row r="348" spans="1:21" s="8" customFormat="1" ht="11.25" x14ac:dyDescent="0.2">
      <c r="A348" s="152">
        <v>10081259</v>
      </c>
      <c r="B348" s="10" t="s">
        <v>2964</v>
      </c>
      <c r="C348" s="12" t="s">
        <v>2965</v>
      </c>
      <c r="D348" s="11" t="s">
        <v>2764</v>
      </c>
      <c r="E348" s="12" t="s">
        <v>757</v>
      </c>
      <c r="F348" s="13">
        <v>24</v>
      </c>
      <c r="G348" s="22">
        <f>Overview!$B$22</f>
        <v>36</v>
      </c>
      <c r="H348" s="114">
        <f t="shared" si="98"/>
        <v>36</v>
      </c>
      <c r="I348" s="114">
        <f>Overview!$E$22</f>
        <v>0</v>
      </c>
      <c r="J348" s="115">
        <f t="shared" si="99"/>
        <v>0</v>
      </c>
      <c r="K348" s="116">
        <f>Overview!$H$22</f>
        <v>0</v>
      </c>
      <c r="L348" s="117" t="e">
        <f t="shared" si="100"/>
        <v>#DIV/0!</v>
      </c>
      <c r="M348" s="179" t="s">
        <v>3499</v>
      </c>
      <c r="N348" s="179" t="s">
        <v>3377</v>
      </c>
      <c r="O348" s="141">
        <f t="shared" si="101"/>
        <v>0</v>
      </c>
      <c r="P348" s="181" t="b">
        <f>COUNTIF('Facility Data'!$A$1:$A$1500,"*"&amp;A348&amp;"*")&gt;0</f>
        <v>0</v>
      </c>
      <c r="Q348" s="181" t="b">
        <f>COUNTIF('Account Data'!$A$1:$A$1000,"*"&amp;A348&amp;"*")&gt;0</f>
        <v>0</v>
      </c>
      <c r="R348" s="182" t="b">
        <f t="shared" si="97"/>
        <v>0</v>
      </c>
      <c r="S348" s="182" t="b">
        <f t="shared" si="102"/>
        <v>0</v>
      </c>
      <c r="T348" s="181" t="b">
        <f>COUNTIF('New Items'!$A$1:$A$175,A348)&gt;0</f>
        <v>0</v>
      </c>
      <c r="U348" s="181" t="b">
        <f>COUNTIF(Discontinued!$A$1:$A$150,A348)&gt;0</f>
        <v>0</v>
      </c>
    </row>
    <row r="349" spans="1:21" s="8" customFormat="1" ht="11.25" x14ac:dyDescent="0.2">
      <c r="A349" s="152">
        <v>10001123</v>
      </c>
      <c r="B349" s="10" t="s">
        <v>185</v>
      </c>
      <c r="C349" s="12" t="s">
        <v>186</v>
      </c>
      <c r="D349" s="11" t="s">
        <v>655</v>
      </c>
      <c r="E349" s="12" t="s">
        <v>757</v>
      </c>
      <c r="F349" s="13">
        <v>24</v>
      </c>
      <c r="G349" s="22">
        <f>Overview!$B$22</f>
        <v>36</v>
      </c>
      <c r="H349" s="114">
        <f t="shared" si="98"/>
        <v>36</v>
      </c>
      <c r="I349" s="114">
        <f>Overview!$E$22</f>
        <v>0</v>
      </c>
      <c r="J349" s="115">
        <f t="shared" si="99"/>
        <v>0</v>
      </c>
      <c r="K349" s="116">
        <f>Overview!$H$22</f>
        <v>0</v>
      </c>
      <c r="L349" s="117" t="e">
        <f t="shared" si="100"/>
        <v>#DIV/0!</v>
      </c>
      <c r="M349" s="179"/>
      <c r="N349" s="179" t="s">
        <v>3377</v>
      </c>
      <c r="O349" s="141">
        <f t="shared" si="101"/>
        <v>0</v>
      </c>
      <c r="P349" s="181" t="b">
        <f>COUNTIF('Facility Data'!$A$1:$A$1500,"*"&amp;A349&amp;"*")&gt;0</f>
        <v>1</v>
      </c>
      <c r="Q349" s="181" t="b">
        <f>COUNTIF('Account Data'!$A$1:$A$1000,"*"&amp;A349&amp;"*")&gt;0</f>
        <v>1</v>
      </c>
      <c r="R349" s="182" t="b">
        <f t="shared" si="97"/>
        <v>1</v>
      </c>
      <c r="S349" s="182" t="b">
        <f t="shared" si="102"/>
        <v>1</v>
      </c>
      <c r="T349" s="181" t="b">
        <f>COUNTIF('New Items'!$A$1:$A$175,A349)&gt;0</f>
        <v>0</v>
      </c>
      <c r="U349" s="181" t="b">
        <f>COUNTIF(Discontinued!$A$1:$A$150,A349)&gt;0</f>
        <v>0</v>
      </c>
    </row>
    <row r="350" spans="1:21" s="8" customFormat="1" ht="11.25" x14ac:dyDescent="0.2">
      <c r="A350" s="152">
        <v>10000041</v>
      </c>
      <c r="B350" s="10" t="s">
        <v>1297</v>
      </c>
      <c r="C350" s="12" t="s">
        <v>1298</v>
      </c>
      <c r="D350" s="11" t="s">
        <v>639</v>
      </c>
      <c r="E350" s="12" t="s">
        <v>757</v>
      </c>
      <c r="F350" s="13">
        <v>24</v>
      </c>
      <c r="G350" s="22">
        <f>Overview!$B$22</f>
        <v>36</v>
      </c>
      <c r="H350" s="114">
        <f t="shared" si="98"/>
        <v>36</v>
      </c>
      <c r="I350" s="114">
        <f>Overview!$E$22</f>
        <v>0</v>
      </c>
      <c r="J350" s="115">
        <f t="shared" si="99"/>
        <v>0</v>
      </c>
      <c r="K350" s="116">
        <f>Overview!$H$22</f>
        <v>0</v>
      </c>
      <c r="L350" s="117" t="e">
        <f t="shared" si="100"/>
        <v>#DIV/0!</v>
      </c>
      <c r="M350" s="179" t="s">
        <v>930</v>
      </c>
      <c r="N350" s="179" t="s">
        <v>3377</v>
      </c>
      <c r="O350" s="141">
        <f t="shared" si="101"/>
        <v>0</v>
      </c>
      <c r="P350" s="181" t="b">
        <f>COUNTIF('Facility Data'!$A$1:$A$1500,"*"&amp;A350&amp;"*")&gt;0</f>
        <v>0</v>
      </c>
      <c r="Q350" s="181" t="b">
        <f>COUNTIF('Account Data'!$A$1:$A$1000,"*"&amp;A350&amp;"*")&gt;0</f>
        <v>0</v>
      </c>
      <c r="R350" s="182" t="b">
        <f t="shared" si="97"/>
        <v>0</v>
      </c>
      <c r="S350" s="182" t="b">
        <f t="shared" si="102"/>
        <v>0</v>
      </c>
      <c r="T350" s="181" t="b">
        <f>COUNTIF('New Items'!$A$1:$A$175,A350)&gt;0</f>
        <v>0</v>
      </c>
      <c r="U350" s="181" t="b">
        <f>COUNTIF(Discontinued!$A$1:$A$150,A350)&gt;0</f>
        <v>0</v>
      </c>
    </row>
    <row r="351" spans="1:21" s="8" customFormat="1" ht="11.25" x14ac:dyDescent="0.2">
      <c r="A351" s="152">
        <v>10001111</v>
      </c>
      <c r="B351" s="10" t="s">
        <v>191</v>
      </c>
      <c r="C351" s="12" t="s">
        <v>192</v>
      </c>
      <c r="D351" s="11" t="s">
        <v>660</v>
      </c>
      <c r="E351" s="12" t="s">
        <v>757</v>
      </c>
      <c r="F351" s="13">
        <v>24</v>
      </c>
      <c r="G351" s="22">
        <f>Overview!$B$22</f>
        <v>36</v>
      </c>
      <c r="H351" s="114">
        <f t="shared" si="98"/>
        <v>36</v>
      </c>
      <c r="I351" s="114">
        <f>Overview!$E$22</f>
        <v>0</v>
      </c>
      <c r="J351" s="115">
        <f t="shared" si="99"/>
        <v>0</v>
      </c>
      <c r="K351" s="116">
        <f>Overview!$H$22</f>
        <v>0</v>
      </c>
      <c r="L351" s="117" t="e">
        <f t="shared" si="100"/>
        <v>#DIV/0!</v>
      </c>
      <c r="M351" s="179"/>
      <c r="N351" s="179" t="s">
        <v>3377</v>
      </c>
      <c r="O351" s="141">
        <f t="shared" si="101"/>
        <v>0</v>
      </c>
      <c r="P351" s="181" t="b">
        <f>COUNTIF('Facility Data'!$A$1:$A$1500,"*"&amp;A351&amp;"*")&gt;0</f>
        <v>1</v>
      </c>
      <c r="Q351" s="181" t="b">
        <f>COUNTIF('Account Data'!$A$1:$A$1000,"*"&amp;A351&amp;"*")&gt;0</f>
        <v>1</v>
      </c>
      <c r="R351" s="182" t="b">
        <f t="shared" si="97"/>
        <v>1</v>
      </c>
      <c r="S351" s="182" t="b">
        <f t="shared" si="102"/>
        <v>1</v>
      </c>
      <c r="T351" s="181" t="b">
        <f>COUNTIF('New Items'!$A$1:$A$175,A351)&gt;0</f>
        <v>0</v>
      </c>
      <c r="U351" s="181" t="b">
        <f>COUNTIF(Discontinued!$A$1:$A$150,A351)&gt;0</f>
        <v>0</v>
      </c>
    </row>
    <row r="352" spans="1:21" s="8" customFormat="1" ht="11.25" x14ac:dyDescent="0.2">
      <c r="A352" s="152">
        <v>10001127</v>
      </c>
      <c r="B352" s="10" t="s">
        <v>183</v>
      </c>
      <c r="C352" s="12" t="s">
        <v>184</v>
      </c>
      <c r="D352" s="11" t="s">
        <v>637</v>
      </c>
      <c r="E352" s="12" t="s">
        <v>757</v>
      </c>
      <c r="F352" s="13">
        <v>24</v>
      </c>
      <c r="G352" s="22">
        <f>Overview!$B$22</f>
        <v>36</v>
      </c>
      <c r="H352" s="114">
        <f t="shared" si="98"/>
        <v>36</v>
      </c>
      <c r="I352" s="114">
        <f>Overview!$E$22</f>
        <v>0</v>
      </c>
      <c r="J352" s="115">
        <f t="shared" si="99"/>
        <v>0</v>
      </c>
      <c r="K352" s="116">
        <f>Overview!$H$22</f>
        <v>0</v>
      </c>
      <c r="L352" s="117" t="e">
        <f t="shared" si="100"/>
        <v>#DIV/0!</v>
      </c>
      <c r="M352" s="179" t="s">
        <v>4370</v>
      </c>
      <c r="N352" s="179" t="s">
        <v>967</v>
      </c>
      <c r="O352" s="141">
        <f t="shared" si="101"/>
        <v>0</v>
      </c>
      <c r="P352" s="181" t="b">
        <f>COUNTIF('Facility Data'!$A$1:$A$1500,"*"&amp;A352&amp;"*")&gt;0</f>
        <v>0</v>
      </c>
      <c r="Q352" s="181" t="b">
        <f>COUNTIF('Account Data'!$A$1:$A$1000,"*"&amp;A352&amp;"*")&gt;0</f>
        <v>1</v>
      </c>
      <c r="R352" s="182" t="b">
        <f t="shared" si="97"/>
        <v>0</v>
      </c>
      <c r="S352" s="182" t="b">
        <f t="shared" si="102"/>
        <v>1</v>
      </c>
      <c r="T352" s="181" t="b">
        <f>COUNTIF('New Items'!$A$1:$A$175,A352)&gt;0</f>
        <v>0</v>
      </c>
      <c r="U352" s="181" t="b">
        <f>COUNTIF(Discontinued!$A$1:$A$150,A352)&gt;0</f>
        <v>0</v>
      </c>
    </row>
    <row r="353" spans="1:21" s="8" customFormat="1" ht="11.25" x14ac:dyDescent="0.2">
      <c r="A353" s="152">
        <v>10001124</v>
      </c>
      <c r="B353" s="10" t="s">
        <v>2996</v>
      </c>
      <c r="C353" s="12" t="s">
        <v>2997</v>
      </c>
      <c r="D353" s="11" t="s">
        <v>1697</v>
      </c>
      <c r="E353" s="12" t="s">
        <v>757</v>
      </c>
      <c r="F353" s="13">
        <v>24</v>
      </c>
      <c r="G353" s="22">
        <f>Overview!$B$22</f>
        <v>36</v>
      </c>
      <c r="H353" s="114">
        <f t="shared" si="98"/>
        <v>36</v>
      </c>
      <c r="I353" s="114">
        <f>Overview!$E$22</f>
        <v>0</v>
      </c>
      <c r="J353" s="115">
        <f t="shared" si="99"/>
        <v>0</v>
      </c>
      <c r="K353" s="116">
        <f>Overview!$H$22</f>
        <v>0</v>
      </c>
      <c r="L353" s="117" t="e">
        <f t="shared" si="100"/>
        <v>#DIV/0!</v>
      </c>
      <c r="M353" s="179" t="s">
        <v>944</v>
      </c>
      <c r="N353" s="179" t="s">
        <v>3377</v>
      </c>
      <c r="O353" s="141">
        <f t="shared" si="101"/>
        <v>0</v>
      </c>
      <c r="P353" s="181" t="b">
        <f>COUNTIF('Facility Data'!$A$1:$A$1500,"*"&amp;A353&amp;"*")&gt;0</f>
        <v>0</v>
      </c>
      <c r="Q353" s="181" t="b">
        <f>COUNTIF('Account Data'!$A$1:$A$1000,"*"&amp;A353&amp;"*")&gt;0</f>
        <v>0</v>
      </c>
      <c r="R353" s="182" t="b">
        <f t="shared" si="97"/>
        <v>0</v>
      </c>
      <c r="S353" s="182" t="b">
        <f t="shared" si="102"/>
        <v>0</v>
      </c>
      <c r="T353" s="181" t="b">
        <f>COUNTIF('New Items'!$A$1:$A$175,A353)&gt;0</f>
        <v>0</v>
      </c>
      <c r="U353" s="181" t="b">
        <f>COUNTIF(Discontinued!$A$1:$A$150,A353)&gt;0</f>
        <v>0</v>
      </c>
    </row>
    <row r="354" spans="1:21" s="8" customFormat="1" ht="11.25" x14ac:dyDescent="0.2">
      <c r="A354" s="152">
        <v>10001120</v>
      </c>
      <c r="B354" s="10" t="s">
        <v>179</v>
      </c>
      <c r="C354" s="12" t="s">
        <v>180</v>
      </c>
      <c r="D354" s="11" t="s">
        <v>636</v>
      </c>
      <c r="E354" s="12" t="s">
        <v>757</v>
      </c>
      <c r="F354" s="13">
        <v>24</v>
      </c>
      <c r="G354" s="22">
        <f>Overview!$B$22</f>
        <v>36</v>
      </c>
      <c r="H354" s="114">
        <f t="shared" si="98"/>
        <v>36</v>
      </c>
      <c r="I354" s="114">
        <f>Overview!$E$22</f>
        <v>0</v>
      </c>
      <c r="J354" s="115">
        <f t="shared" si="99"/>
        <v>0</v>
      </c>
      <c r="K354" s="116">
        <f>Overview!$H$22</f>
        <v>0</v>
      </c>
      <c r="L354" s="117" t="e">
        <f t="shared" si="100"/>
        <v>#DIV/0!</v>
      </c>
      <c r="M354" s="179" t="s">
        <v>4370</v>
      </c>
      <c r="N354" s="179" t="s">
        <v>967</v>
      </c>
      <c r="O354" s="141">
        <f t="shared" si="101"/>
        <v>0</v>
      </c>
      <c r="P354" s="181" t="b">
        <f>COUNTIF('Facility Data'!$A$1:$A$1500,"*"&amp;A354&amp;"*")&gt;0</f>
        <v>1</v>
      </c>
      <c r="Q354" s="181" t="b">
        <f>COUNTIF('Account Data'!$A$1:$A$1000,"*"&amp;A354&amp;"*")&gt;0</f>
        <v>1</v>
      </c>
      <c r="R354" s="182" t="b">
        <f t="shared" si="97"/>
        <v>1</v>
      </c>
      <c r="S354" s="182" t="b">
        <f t="shared" si="102"/>
        <v>1</v>
      </c>
      <c r="T354" s="181" t="b">
        <f>COUNTIF('New Items'!$A$1:$A$175,A354)&gt;0</f>
        <v>0</v>
      </c>
      <c r="U354" s="181" t="b">
        <f>COUNTIF(Discontinued!$A$1:$A$150,A354)&gt;0</f>
        <v>0</v>
      </c>
    </row>
    <row r="355" spans="1:21" s="8" customFormat="1" ht="11.25" x14ac:dyDescent="0.2">
      <c r="A355" s="152">
        <v>10001121</v>
      </c>
      <c r="B355" s="10" t="s">
        <v>4804</v>
      </c>
      <c r="C355" s="12" t="s">
        <v>182</v>
      </c>
      <c r="D355" s="11" t="s">
        <v>4762</v>
      </c>
      <c r="E355" s="12" t="s">
        <v>757</v>
      </c>
      <c r="F355" s="13">
        <v>24</v>
      </c>
      <c r="G355" s="22">
        <f>Overview!$B$22</f>
        <v>36</v>
      </c>
      <c r="H355" s="114">
        <f>G355-I355</f>
        <v>36</v>
      </c>
      <c r="I355" s="114">
        <f>Overview!$E$22</f>
        <v>0</v>
      </c>
      <c r="J355" s="115">
        <f>I355/F355</f>
        <v>0</v>
      </c>
      <c r="K355" s="116">
        <f>Overview!$H$22</f>
        <v>0</v>
      </c>
      <c r="L355" s="117" t="e">
        <f>(K355-J355)/K355</f>
        <v>#DIV/0!</v>
      </c>
      <c r="M355" s="179" t="s">
        <v>4370</v>
      </c>
      <c r="N355" s="179" t="s">
        <v>967</v>
      </c>
      <c r="O355" s="141">
        <f>I355</f>
        <v>0</v>
      </c>
      <c r="P355" s="181" t="b">
        <f>COUNTIF('Facility Data'!$A$1:$A$1500,"*"&amp;A355&amp;"*")&gt;0</f>
        <v>0</v>
      </c>
      <c r="Q355" s="181" t="b">
        <f>COUNTIF('Account Data'!$A$1:$A$1000,"*"&amp;A355&amp;"*")&gt;0</f>
        <v>1</v>
      </c>
      <c r="R355" s="182" t="b">
        <f>IF(OR(P355=TRUE,T355=TRUE),TRUE,FALSE)</f>
        <v>0</v>
      </c>
      <c r="S355" s="182" t="b">
        <f>IF(OR(Q355=TRUE,T355=TRUE),TRUE,FALSE)</f>
        <v>1</v>
      </c>
      <c r="T355" s="181" t="b">
        <f>COUNTIF('New Items'!$A$1:$A$175,A355)&gt;0</f>
        <v>0</v>
      </c>
      <c r="U355" s="181" t="b">
        <f>COUNTIF(Discontinued!$A$1:$A$150,A355)&gt;0</f>
        <v>0</v>
      </c>
    </row>
    <row r="356" spans="1:21" s="8" customFormat="1" ht="11.25" x14ac:dyDescent="0.2">
      <c r="A356" s="152">
        <v>10001751</v>
      </c>
      <c r="B356" s="10" t="s">
        <v>163</v>
      </c>
      <c r="C356" s="12" t="s">
        <v>164</v>
      </c>
      <c r="D356" s="11" t="s">
        <v>648</v>
      </c>
      <c r="E356" s="12" t="s">
        <v>757</v>
      </c>
      <c r="F356" s="13">
        <v>24</v>
      </c>
      <c r="G356" s="22">
        <f>Overview!$B$22</f>
        <v>36</v>
      </c>
      <c r="H356" s="114">
        <f t="shared" si="98"/>
        <v>36</v>
      </c>
      <c r="I356" s="114">
        <f>Overview!$E$22</f>
        <v>0</v>
      </c>
      <c r="J356" s="115">
        <f t="shared" si="99"/>
        <v>0</v>
      </c>
      <c r="K356" s="116">
        <f>Overview!$H$22</f>
        <v>0</v>
      </c>
      <c r="L356" s="117" t="e">
        <f t="shared" si="100"/>
        <v>#DIV/0!</v>
      </c>
      <c r="M356" s="179"/>
      <c r="N356" s="179" t="s">
        <v>3377</v>
      </c>
      <c r="O356" s="141">
        <f t="shared" si="101"/>
        <v>0</v>
      </c>
      <c r="P356" s="181" t="b">
        <f>COUNTIF('Facility Data'!$A$1:$A$1500,"*"&amp;A356&amp;"*")&gt;0</f>
        <v>0</v>
      </c>
      <c r="Q356" s="181" t="b">
        <f>COUNTIF('Account Data'!$A$1:$A$1000,"*"&amp;A356&amp;"*")&gt;0</f>
        <v>1</v>
      </c>
      <c r="R356" s="182" t="b">
        <f t="shared" si="97"/>
        <v>0</v>
      </c>
      <c r="S356" s="182" t="b">
        <f t="shared" si="102"/>
        <v>1</v>
      </c>
      <c r="T356" s="181" t="b">
        <f>COUNTIF('New Items'!$A$1:$A$175,A356)&gt;0</f>
        <v>0</v>
      </c>
      <c r="U356" s="181" t="b">
        <f>COUNTIF(Discontinued!$A$1:$A$150,A356)&gt;0</f>
        <v>0</v>
      </c>
    </row>
    <row r="357" spans="1:21" s="8" customFormat="1" ht="11.25" x14ac:dyDescent="0.2">
      <c r="A357" s="152">
        <v>10001704</v>
      </c>
      <c r="B357" s="10" t="s">
        <v>171</v>
      </c>
      <c r="C357" s="12" t="s">
        <v>172</v>
      </c>
      <c r="D357" s="11" t="s">
        <v>635</v>
      </c>
      <c r="E357" s="12" t="s">
        <v>757</v>
      </c>
      <c r="F357" s="13">
        <v>24</v>
      </c>
      <c r="G357" s="22">
        <f>Overview!$B$22</f>
        <v>36</v>
      </c>
      <c r="H357" s="114">
        <f t="shared" si="98"/>
        <v>36</v>
      </c>
      <c r="I357" s="114">
        <f>Overview!$E$22</f>
        <v>0</v>
      </c>
      <c r="J357" s="115">
        <f t="shared" si="99"/>
        <v>0</v>
      </c>
      <c r="K357" s="116">
        <f>Overview!$H$22</f>
        <v>0</v>
      </c>
      <c r="L357" s="117" t="e">
        <f t="shared" si="100"/>
        <v>#DIV/0!</v>
      </c>
      <c r="M357" s="179" t="s">
        <v>4369</v>
      </c>
      <c r="N357" s="179" t="s">
        <v>3377</v>
      </c>
      <c r="O357" s="141">
        <f t="shared" si="101"/>
        <v>0</v>
      </c>
      <c r="P357" s="181" t="b">
        <f>COUNTIF('Facility Data'!$A$1:$A$1500,"*"&amp;A357&amp;"*")&gt;0</f>
        <v>1</v>
      </c>
      <c r="Q357" s="181" t="b">
        <f>COUNTIF('Account Data'!$A$1:$A$1000,"*"&amp;A357&amp;"*")&gt;0</f>
        <v>1</v>
      </c>
      <c r="R357" s="182" t="b">
        <f t="shared" si="97"/>
        <v>1</v>
      </c>
      <c r="S357" s="182" t="b">
        <f t="shared" si="102"/>
        <v>1</v>
      </c>
      <c r="T357" s="181" t="b">
        <f>COUNTIF('New Items'!$A$1:$A$175,A357)&gt;0</f>
        <v>0</v>
      </c>
      <c r="U357" s="181" t="b">
        <f>COUNTIF(Discontinued!$A$1:$A$150,A357)&gt;0</f>
        <v>0</v>
      </c>
    </row>
    <row r="358" spans="1:21" s="8" customFormat="1" ht="11.25" x14ac:dyDescent="0.2">
      <c r="A358" s="152">
        <v>10087783</v>
      </c>
      <c r="B358" s="10" t="s">
        <v>173</v>
      </c>
      <c r="C358" s="12" t="s">
        <v>174</v>
      </c>
      <c r="D358" s="11" t="s">
        <v>651</v>
      </c>
      <c r="E358" s="12" t="s">
        <v>757</v>
      </c>
      <c r="F358" s="13">
        <v>24</v>
      </c>
      <c r="G358" s="22">
        <f>Overview!$B$22</f>
        <v>36</v>
      </c>
      <c r="H358" s="114">
        <f t="shared" si="98"/>
        <v>36</v>
      </c>
      <c r="I358" s="114">
        <f>Overview!$E$22</f>
        <v>0</v>
      </c>
      <c r="J358" s="115">
        <f t="shared" si="99"/>
        <v>0</v>
      </c>
      <c r="K358" s="116">
        <f>Overview!$H$22</f>
        <v>0</v>
      </c>
      <c r="L358" s="117" t="e">
        <f t="shared" si="100"/>
        <v>#DIV/0!</v>
      </c>
      <c r="M358" s="179" t="s">
        <v>4369</v>
      </c>
      <c r="N358" s="179" t="s">
        <v>3377</v>
      </c>
      <c r="O358" s="141">
        <f t="shared" si="101"/>
        <v>0</v>
      </c>
      <c r="P358" s="181" t="b">
        <f>COUNTIF('Facility Data'!$A$1:$A$1500,"*"&amp;A358&amp;"*")&gt;0</f>
        <v>0</v>
      </c>
      <c r="Q358" s="181" t="b">
        <f>COUNTIF('Account Data'!$A$1:$A$1000,"*"&amp;A358&amp;"*")&gt;0</f>
        <v>1</v>
      </c>
      <c r="R358" s="182" t="b">
        <f t="shared" si="97"/>
        <v>0</v>
      </c>
      <c r="S358" s="182" t="b">
        <f t="shared" si="102"/>
        <v>1</v>
      </c>
      <c r="T358" s="181" t="b">
        <f>COUNTIF('New Items'!$A$1:$A$175,A358)&gt;0</f>
        <v>0</v>
      </c>
      <c r="U358" s="181" t="b">
        <f>COUNTIF(Discontinued!$A$1:$A$150,A358)&gt;0</f>
        <v>0</v>
      </c>
    </row>
    <row r="359" spans="1:21" s="8" customFormat="1" ht="11.25" x14ac:dyDescent="0.2">
      <c r="A359" s="152">
        <v>10001130</v>
      </c>
      <c r="B359" s="10" t="s">
        <v>165</v>
      </c>
      <c r="C359" s="12" t="s">
        <v>166</v>
      </c>
      <c r="D359" s="11" t="s">
        <v>650</v>
      </c>
      <c r="E359" s="12" t="s">
        <v>757</v>
      </c>
      <c r="F359" s="13">
        <v>24</v>
      </c>
      <c r="G359" s="22">
        <f>Overview!$B$22</f>
        <v>36</v>
      </c>
      <c r="H359" s="114">
        <f t="shared" si="98"/>
        <v>36</v>
      </c>
      <c r="I359" s="114">
        <f>Overview!$E$22</f>
        <v>0</v>
      </c>
      <c r="J359" s="115">
        <f t="shared" si="99"/>
        <v>0</v>
      </c>
      <c r="K359" s="116">
        <f>Overview!$H$22</f>
        <v>0</v>
      </c>
      <c r="L359" s="117" t="e">
        <f t="shared" si="100"/>
        <v>#DIV/0!</v>
      </c>
      <c r="M359" s="179" t="s">
        <v>4369</v>
      </c>
      <c r="N359" s="179" t="s">
        <v>3377</v>
      </c>
      <c r="O359" s="141">
        <f t="shared" si="101"/>
        <v>0</v>
      </c>
      <c r="P359" s="181" t="b">
        <f>COUNTIF('Facility Data'!$A$1:$A$1500,"*"&amp;A359&amp;"*")&gt;0</f>
        <v>1</v>
      </c>
      <c r="Q359" s="181" t="b">
        <f>COUNTIF('Account Data'!$A$1:$A$1000,"*"&amp;A359&amp;"*")&gt;0</f>
        <v>1</v>
      </c>
      <c r="R359" s="182" t="b">
        <f t="shared" si="97"/>
        <v>1</v>
      </c>
      <c r="S359" s="182" t="b">
        <f t="shared" si="102"/>
        <v>1</v>
      </c>
      <c r="T359" s="181" t="b">
        <f>COUNTIF('New Items'!$A$1:$A$175,A359)&gt;0</f>
        <v>0</v>
      </c>
      <c r="U359" s="181" t="b">
        <f>COUNTIF(Discontinued!$A$1:$A$150,A359)&gt;0</f>
        <v>0</v>
      </c>
    </row>
    <row r="360" spans="1:21" s="8" customFormat="1" ht="11.25" x14ac:dyDescent="0.2">
      <c r="A360" s="152">
        <v>10001129</v>
      </c>
      <c r="B360" s="10" t="s">
        <v>4801</v>
      </c>
      <c r="C360" s="12" t="s">
        <v>168</v>
      </c>
      <c r="D360" s="11" t="s">
        <v>4755</v>
      </c>
      <c r="E360" s="12" t="s">
        <v>757</v>
      </c>
      <c r="F360" s="13">
        <v>24</v>
      </c>
      <c r="G360" s="22">
        <f>Overview!$B$22</f>
        <v>36</v>
      </c>
      <c r="H360" s="114">
        <f>G360-I360</f>
        <v>36</v>
      </c>
      <c r="I360" s="114">
        <f>Overview!$E$22</f>
        <v>0</v>
      </c>
      <c r="J360" s="115">
        <f>I360/F360</f>
        <v>0</v>
      </c>
      <c r="K360" s="116">
        <f>Overview!$H$22</f>
        <v>0</v>
      </c>
      <c r="L360" s="117" t="e">
        <f>(K360-J360)/K360</f>
        <v>#DIV/0!</v>
      </c>
      <c r="M360" s="179" t="s">
        <v>4369</v>
      </c>
      <c r="N360" s="179" t="s">
        <v>3377</v>
      </c>
      <c r="O360" s="141">
        <f>I360</f>
        <v>0</v>
      </c>
      <c r="P360" s="181" t="b">
        <f>COUNTIF('Facility Data'!$A$1:$A$1500,"*"&amp;A360&amp;"*")&gt;0</f>
        <v>1</v>
      </c>
      <c r="Q360" s="181" t="b">
        <f>COUNTIF('Account Data'!$A$1:$A$1000,"*"&amp;A360&amp;"*")&gt;0</f>
        <v>1</v>
      </c>
      <c r="R360" s="182" t="b">
        <f>IF(OR(P360=TRUE,T360=TRUE),TRUE,FALSE)</f>
        <v>1</v>
      </c>
      <c r="S360" s="182" t="b">
        <f>IF(OR(Q360=TRUE,T360=TRUE),TRUE,FALSE)</f>
        <v>1</v>
      </c>
      <c r="T360" s="181" t="b">
        <f>COUNTIF('New Items'!$A$1:$A$175,A360)&gt;0</f>
        <v>0</v>
      </c>
      <c r="U360" s="181" t="b">
        <f>COUNTIF(Discontinued!$A$1:$A$150,A360)&gt;0</f>
        <v>0</v>
      </c>
    </row>
    <row r="361" spans="1:21" s="8" customFormat="1" ht="11.25" x14ac:dyDescent="0.2">
      <c r="A361" s="152">
        <v>10000045</v>
      </c>
      <c r="B361" s="10" t="s">
        <v>1292</v>
      </c>
      <c r="C361" s="12" t="s">
        <v>1293</v>
      </c>
      <c r="D361" s="11" t="s">
        <v>1061</v>
      </c>
      <c r="E361" s="12" t="s">
        <v>757</v>
      </c>
      <c r="F361" s="13">
        <v>24</v>
      </c>
      <c r="G361" s="22">
        <f>Overview!$B$22</f>
        <v>36</v>
      </c>
      <c r="H361" s="114">
        <f t="shared" si="98"/>
        <v>36</v>
      </c>
      <c r="I361" s="114">
        <f>Overview!$E$22</f>
        <v>0</v>
      </c>
      <c r="J361" s="115">
        <f t="shared" si="99"/>
        <v>0</v>
      </c>
      <c r="K361" s="116">
        <f>Overview!$H$22</f>
        <v>0</v>
      </c>
      <c r="L361" s="117" t="e">
        <f t="shared" si="100"/>
        <v>#DIV/0!</v>
      </c>
      <c r="M361" s="179" t="s">
        <v>4369</v>
      </c>
      <c r="N361" s="179" t="s">
        <v>3377</v>
      </c>
      <c r="O361" s="141">
        <f t="shared" si="101"/>
        <v>0</v>
      </c>
      <c r="P361" s="181" t="b">
        <f>COUNTIF('Facility Data'!$A$1:$A$1500,"*"&amp;A361&amp;"*")&gt;0</f>
        <v>0</v>
      </c>
      <c r="Q361" s="181" t="b">
        <f>COUNTIF('Account Data'!$A$1:$A$1000,"*"&amp;A361&amp;"*")&gt;0</f>
        <v>0</v>
      </c>
      <c r="R361" s="182" t="b">
        <f t="shared" si="97"/>
        <v>0</v>
      </c>
      <c r="S361" s="182" t="b">
        <f t="shared" si="102"/>
        <v>0</v>
      </c>
      <c r="T361" s="181" t="b">
        <f>COUNTIF('New Items'!$A$1:$A$175,A361)&gt;0</f>
        <v>0</v>
      </c>
      <c r="U361" s="181" t="b">
        <f>COUNTIF(Discontinued!$A$1:$A$150,A361)&gt;0</f>
        <v>0</v>
      </c>
    </row>
    <row r="362" spans="1:21" s="8" customFormat="1" ht="11.25" x14ac:dyDescent="0.2">
      <c r="A362" s="152">
        <v>10087800</v>
      </c>
      <c r="B362" s="10" t="s">
        <v>1295</v>
      </c>
      <c r="C362" s="12" t="s">
        <v>1296</v>
      </c>
      <c r="D362" s="11" t="s">
        <v>1294</v>
      </c>
      <c r="E362" s="12" t="s">
        <v>757</v>
      </c>
      <c r="F362" s="13">
        <v>24</v>
      </c>
      <c r="G362" s="22">
        <f>Overview!$B$22</f>
        <v>36</v>
      </c>
      <c r="H362" s="114">
        <f t="shared" si="98"/>
        <v>36</v>
      </c>
      <c r="I362" s="114">
        <f>Overview!$E$22</f>
        <v>0</v>
      </c>
      <c r="J362" s="115">
        <f t="shared" si="99"/>
        <v>0</v>
      </c>
      <c r="K362" s="116">
        <f>Overview!$H$22</f>
        <v>0</v>
      </c>
      <c r="L362" s="117" t="e">
        <f t="shared" si="100"/>
        <v>#DIV/0!</v>
      </c>
      <c r="M362" s="179" t="s">
        <v>4369</v>
      </c>
      <c r="N362" s="179" t="s">
        <v>3377</v>
      </c>
      <c r="O362" s="141">
        <f t="shared" si="101"/>
        <v>0</v>
      </c>
      <c r="P362" s="181" t="b">
        <f>COUNTIF('Facility Data'!$A$1:$A$1500,"*"&amp;A362&amp;"*")&gt;0</f>
        <v>0</v>
      </c>
      <c r="Q362" s="181" t="b">
        <f>COUNTIF('Account Data'!$A$1:$A$1000,"*"&amp;A362&amp;"*")&gt;0</f>
        <v>0</v>
      </c>
      <c r="R362" s="182" t="b">
        <f t="shared" si="97"/>
        <v>0</v>
      </c>
      <c r="S362" s="182" t="b">
        <f t="shared" si="102"/>
        <v>0</v>
      </c>
      <c r="T362" s="181" t="b">
        <f>COUNTIF('New Items'!$A$1:$A$175,A362)&gt;0</f>
        <v>0</v>
      </c>
      <c r="U362" s="181" t="b">
        <f>COUNTIF(Discontinued!$A$1:$A$150,A362)&gt;0</f>
        <v>0</v>
      </c>
    </row>
    <row r="363" spans="1:21" s="8" customFormat="1" ht="11.25" x14ac:dyDescent="0.2">
      <c r="A363" s="152">
        <v>10001705</v>
      </c>
      <c r="B363" s="10" t="s">
        <v>169</v>
      </c>
      <c r="C363" s="12" t="s">
        <v>170</v>
      </c>
      <c r="D363" s="11" t="s">
        <v>634</v>
      </c>
      <c r="E363" s="12" t="s">
        <v>757</v>
      </c>
      <c r="F363" s="13">
        <v>24</v>
      </c>
      <c r="G363" s="22">
        <f>Overview!$B$22</f>
        <v>36</v>
      </c>
      <c r="H363" s="114">
        <f t="shared" si="98"/>
        <v>36</v>
      </c>
      <c r="I363" s="114">
        <f>Overview!$E$22</f>
        <v>0</v>
      </c>
      <c r="J363" s="115">
        <f t="shared" si="99"/>
        <v>0</v>
      </c>
      <c r="K363" s="116">
        <f>Overview!$H$22</f>
        <v>0</v>
      </c>
      <c r="L363" s="117" t="e">
        <f t="shared" si="100"/>
        <v>#DIV/0!</v>
      </c>
      <c r="M363" s="179" t="s">
        <v>4369</v>
      </c>
      <c r="N363" s="179" t="s">
        <v>3377</v>
      </c>
      <c r="O363" s="141">
        <f t="shared" si="101"/>
        <v>0</v>
      </c>
      <c r="P363" s="181" t="b">
        <f>COUNTIF('Facility Data'!$A$1:$A$1500,"*"&amp;A363&amp;"*")&gt;0</f>
        <v>1</v>
      </c>
      <c r="Q363" s="181" t="b">
        <f>COUNTIF('Account Data'!$A$1:$A$1000,"*"&amp;A363&amp;"*")&gt;0</f>
        <v>1</v>
      </c>
      <c r="R363" s="182" t="b">
        <f t="shared" si="97"/>
        <v>1</v>
      </c>
      <c r="S363" s="182" t="b">
        <f t="shared" si="102"/>
        <v>1</v>
      </c>
      <c r="T363" s="181" t="b">
        <f>COUNTIF('New Items'!$A$1:$A$175,A363)&gt;0</f>
        <v>0</v>
      </c>
      <c r="U363" s="181" t="b">
        <f>COUNTIF(Discontinued!$A$1:$A$150,A363)&gt;0</f>
        <v>0</v>
      </c>
    </row>
    <row r="364" spans="1:21" s="8" customFormat="1" ht="11.25" x14ac:dyDescent="0.2">
      <c r="A364" s="160">
        <v>10120687</v>
      </c>
      <c r="B364" s="231" t="s">
        <v>3794</v>
      </c>
      <c r="C364" s="118" t="s">
        <v>1060</v>
      </c>
      <c r="D364" s="119" t="s">
        <v>1054</v>
      </c>
      <c r="E364" s="118" t="s">
        <v>757</v>
      </c>
      <c r="F364" s="120">
        <v>24</v>
      </c>
      <c r="G364" s="121">
        <f>Overview!$B$22</f>
        <v>36</v>
      </c>
      <c r="H364" s="114">
        <f t="shared" si="98"/>
        <v>36</v>
      </c>
      <c r="I364" s="114">
        <f>Overview!$E$22</f>
        <v>0</v>
      </c>
      <c r="J364" s="115">
        <f t="shared" si="99"/>
        <v>0</v>
      </c>
      <c r="K364" s="116">
        <f>Overview!$H$22</f>
        <v>0</v>
      </c>
      <c r="L364" s="117" t="e">
        <f t="shared" si="100"/>
        <v>#DIV/0!</v>
      </c>
      <c r="M364" s="179" t="s">
        <v>4369</v>
      </c>
      <c r="N364" s="179" t="s">
        <v>3377</v>
      </c>
      <c r="O364" s="141">
        <f t="shared" si="101"/>
        <v>0</v>
      </c>
      <c r="P364" s="181" t="b">
        <f>COUNTIF('Facility Data'!$A$1:$A$1500,"*"&amp;A364&amp;"*")&gt;0</f>
        <v>1</v>
      </c>
      <c r="Q364" s="181" t="b">
        <f>COUNTIF('Account Data'!$A$1:$A$1000,"*"&amp;A364&amp;"*")&gt;0</f>
        <v>0</v>
      </c>
      <c r="R364" s="182" t="b">
        <f t="shared" si="97"/>
        <v>1</v>
      </c>
      <c r="S364" s="182" t="b">
        <f t="shared" si="102"/>
        <v>0</v>
      </c>
      <c r="T364" s="181" t="b">
        <f>COUNTIF('New Items'!$A$1:$A$175,A364)&gt;0</f>
        <v>0</v>
      </c>
      <c r="U364" s="181" t="b">
        <f>COUNTIF(Discontinued!$A$1:$A$150,A364)&gt;0</f>
        <v>0</v>
      </c>
    </row>
    <row r="365" spans="1:21" s="8" customFormat="1" ht="11.25" x14ac:dyDescent="0.2">
      <c r="A365" s="152">
        <v>10027683</v>
      </c>
      <c r="B365" s="10" t="s">
        <v>187</v>
      </c>
      <c r="C365" s="12" t="s">
        <v>188</v>
      </c>
      <c r="D365" s="11" t="s">
        <v>656</v>
      </c>
      <c r="E365" s="12" t="s">
        <v>757</v>
      </c>
      <c r="F365" s="13">
        <v>24</v>
      </c>
      <c r="G365" s="22">
        <f>Overview!$B$22</f>
        <v>36</v>
      </c>
      <c r="H365" s="114">
        <f t="shared" ref="H365" si="103">G365-I365</f>
        <v>36</v>
      </c>
      <c r="I365" s="114">
        <f>Overview!$E$22</f>
        <v>0</v>
      </c>
      <c r="J365" s="115">
        <f t="shared" ref="J365" si="104">I365/F365</f>
        <v>0</v>
      </c>
      <c r="K365" s="116">
        <f>Overview!$H$22</f>
        <v>0</v>
      </c>
      <c r="L365" s="117" t="e">
        <f t="shared" ref="L365" si="105">(K365-J365)/K365</f>
        <v>#DIV/0!</v>
      </c>
      <c r="M365" s="179" t="s">
        <v>952</v>
      </c>
      <c r="N365" s="179" t="s">
        <v>3377</v>
      </c>
      <c r="O365" s="141">
        <f t="shared" ref="O365" si="106">I365</f>
        <v>0</v>
      </c>
      <c r="P365" s="181" t="b">
        <f>COUNTIF('Facility Data'!$A$1:$A$1500,"*"&amp;A365&amp;"*")&gt;0</f>
        <v>0</v>
      </c>
      <c r="Q365" s="181" t="b">
        <f>COUNTIF('Account Data'!$A$1:$A$1000,"*"&amp;A365&amp;"*")&gt;0</f>
        <v>1</v>
      </c>
      <c r="R365" s="182" t="b">
        <f t="shared" ref="R365" si="107">IF(OR(P365=TRUE,T365=TRUE),TRUE,FALSE)</f>
        <v>0</v>
      </c>
      <c r="S365" s="182" t="b">
        <f t="shared" ref="S365" si="108">IF(OR(Q365=TRUE,T365=TRUE),TRUE,FALSE)</f>
        <v>1</v>
      </c>
      <c r="T365" s="181" t="b">
        <f>COUNTIF('New Items'!$A$1:$A$175,A365)&gt;0</f>
        <v>0</v>
      </c>
      <c r="U365" s="181" t="b">
        <f>COUNTIF(Discontinued!$A$1:$A$150,A365)&gt;0</f>
        <v>0</v>
      </c>
    </row>
    <row r="366" spans="1:21" s="8" customFormat="1" ht="11.25" x14ac:dyDescent="0.2">
      <c r="A366" s="152">
        <v>10001112</v>
      </c>
      <c r="B366" s="10" t="s">
        <v>2703</v>
      </c>
      <c r="C366" s="12" t="s">
        <v>2704</v>
      </c>
      <c r="D366" s="11" t="s">
        <v>4116</v>
      </c>
      <c r="E366" s="12" t="s">
        <v>757</v>
      </c>
      <c r="F366" s="13">
        <v>24</v>
      </c>
      <c r="G366" s="22">
        <f>Overview!$B$22</f>
        <v>36</v>
      </c>
      <c r="H366" s="114">
        <f t="shared" si="98"/>
        <v>36</v>
      </c>
      <c r="I366" s="114">
        <f>Overview!$E$22</f>
        <v>0</v>
      </c>
      <c r="J366" s="115">
        <f t="shared" si="99"/>
        <v>0</v>
      </c>
      <c r="K366" s="116">
        <f>Overview!$H$22</f>
        <v>0</v>
      </c>
      <c r="L366" s="117" t="e">
        <f t="shared" si="100"/>
        <v>#DIV/0!</v>
      </c>
      <c r="M366" s="179" t="s">
        <v>952</v>
      </c>
      <c r="N366" s="179" t="s">
        <v>3377</v>
      </c>
      <c r="O366" s="141">
        <f t="shared" si="101"/>
        <v>0</v>
      </c>
      <c r="P366" s="181" t="b">
        <f>COUNTIF('Facility Data'!$A$1:$A$1500,"*"&amp;A366&amp;"*")&gt;0</f>
        <v>0</v>
      </c>
      <c r="Q366" s="181" t="b">
        <f>COUNTIF('Account Data'!$A$1:$A$1000,"*"&amp;A366&amp;"*")&gt;0</f>
        <v>0</v>
      </c>
      <c r="R366" s="182" t="b">
        <f t="shared" si="97"/>
        <v>0</v>
      </c>
      <c r="S366" s="182" t="b">
        <f t="shared" si="102"/>
        <v>0</v>
      </c>
      <c r="T366" s="181" t="b">
        <f>COUNTIF('New Items'!$A$1:$A$175,A366)&gt;0</f>
        <v>0</v>
      </c>
      <c r="U366" s="181" t="b">
        <f>COUNTIF(Discontinued!$A$1:$A$150,A366)&gt;0</f>
        <v>0</v>
      </c>
    </row>
    <row r="367" spans="1:21" s="8" customFormat="1" ht="12" thickBot="1" x14ac:dyDescent="0.25">
      <c r="A367" s="152">
        <v>10001113</v>
      </c>
      <c r="B367" s="10" t="s">
        <v>4803</v>
      </c>
      <c r="C367" s="12" t="s">
        <v>2706</v>
      </c>
      <c r="D367" s="11" t="s">
        <v>4780</v>
      </c>
      <c r="E367" s="12" t="s">
        <v>757</v>
      </c>
      <c r="F367" s="13">
        <v>24</v>
      </c>
      <c r="G367" s="22">
        <f>Overview!$B$22</f>
        <v>36</v>
      </c>
      <c r="H367" s="114">
        <f t="shared" si="98"/>
        <v>36</v>
      </c>
      <c r="I367" s="114">
        <f>Overview!$E$22</f>
        <v>0</v>
      </c>
      <c r="J367" s="115">
        <f t="shared" si="99"/>
        <v>0</v>
      </c>
      <c r="K367" s="116">
        <f>Overview!$H$22</f>
        <v>0</v>
      </c>
      <c r="L367" s="117" t="e">
        <f t="shared" si="100"/>
        <v>#DIV/0!</v>
      </c>
      <c r="M367" s="179" t="s">
        <v>953</v>
      </c>
      <c r="N367" s="179" t="s">
        <v>3377</v>
      </c>
      <c r="O367" s="141">
        <f t="shared" si="101"/>
        <v>0</v>
      </c>
      <c r="P367" s="181" t="b">
        <f>COUNTIF('Facility Data'!$A$1:$A$1500,"*"&amp;A367&amp;"*")&gt;0</f>
        <v>0</v>
      </c>
      <c r="Q367" s="181" t="b">
        <f>COUNTIF('Account Data'!$A$1:$A$1000,"*"&amp;A367&amp;"*")&gt;0</f>
        <v>0</v>
      </c>
      <c r="R367" s="182" t="b">
        <f t="shared" si="97"/>
        <v>0</v>
      </c>
      <c r="S367" s="182" t="b">
        <f t="shared" si="102"/>
        <v>0</v>
      </c>
      <c r="T367" s="181" t="b">
        <f>COUNTIF('New Items'!$A$1:$A$175,A367)&gt;0</f>
        <v>0</v>
      </c>
      <c r="U367" s="181" t="b">
        <f>COUNTIF(Discontinued!$A$1:$A$150,A367)&gt;0</f>
        <v>0</v>
      </c>
    </row>
    <row r="368" spans="1:21" s="8" customFormat="1" ht="13.5" thickBot="1" x14ac:dyDescent="0.25">
      <c r="A368" s="300" t="s">
        <v>3371</v>
      </c>
      <c r="B368" s="301"/>
      <c r="C368" s="301"/>
      <c r="D368" s="301"/>
      <c r="E368" s="301"/>
      <c r="F368" s="301"/>
      <c r="G368" s="301"/>
      <c r="H368" s="301"/>
      <c r="I368" s="301"/>
      <c r="J368" s="301"/>
      <c r="K368" s="301"/>
      <c r="L368" s="302"/>
      <c r="M368" s="179"/>
      <c r="N368" s="179" t="s">
        <v>3372</v>
      </c>
      <c r="O368" s="141">
        <f>AVERAGE(O369:O405)</f>
        <v>0</v>
      </c>
      <c r="P368" s="181" t="b">
        <f>COUNTIF(P369:P405,TRUE)&gt;0</f>
        <v>1</v>
      </c>
      <c r="Q368" s="181" t="b">
        <f>COUNTIF(Q369:Q405,TRUE)&gt;0</f>
        <v>1</v>
      </c>
      <c r="R368" s="181" t="b">
        <f>COUNTIF(R369:R405,TRUE)&gt;0</f>
        <v>1</v>
      </c>
      <c r="S368" s="181" t="b">
        <f>COUNTIF(S369:S405,TRUE)&gt;0</f>
        <v>1</v>
      </c>
      <c r="T368" s="181" t="b">
        <f>COUNTIF(T369:T405,TRUE)&gt;0</f>
        <v>0</v>
      </c>
      <c r="U368" s="249"/>
    </row>
    <row r="369" spans="1:21" s="8" customFormat="1" ht="11.25" x14ac:dyDescent="0.2">
      <c r="A369" s="152">
        <v>10000042</v>
      </c>
      <c r="B369" s="10" t="s">
        <v>1300</v>
      </c>
      <c r="C369" s="12" t="s">
        <v>1301</v>
      </c>
      <c r="D369" s="11" t="s">
        <v>1299</v>
      </c>
      <c r="E369" s="12" t="s">
        <v>757</v>
      </c>
      <c r="F369" s="13">
        <v>24</v>
      </c>
      <c r="G369" s="22">
        <f>Overview!$B$23</f>
        <v>36</v>
      </c>
      <c r="H369" s="114">
        <f t="shared" ref="H369:H405" si="109">G369-I369</f>
        <v>36</v>
      </c>
      <c r="I369" s="114">
        <f>Overview!$E$23</f>
        <v>0</v>
      </c>
      <c r="J369" s="115">
        <f t="shared" ref="J369:J405" si="110">I369/F369</f>
        <v>0</v>
      </c>
      <c r="K369" s="116">
        <f>Overview!$H$23</f>
        <v>0</v>
      </c>
      <c r="L369" s="117" t="e">
        <f t="shared" ref="L369:L405" si="111">(K369-J369)/K369</f>
        <v>#DIV/0!</v>
      </c>
      <c r="M369" s="179"/>
      <c r="N369" s="179" t="s">
        <v>3372</v>
      </c>
      <c r="O369" s="141">
        <f t="shared" ref="O369:O405" si="112">I369</f>
        <v>0</v>
      </c>
      <c r="P369" s="181" t="b">
        <f>COUNTIF('Facility Data'!$A$1:$A$1500,"*"&amp;A369&amp;"*")&gt;0</f>
        <v>1</v>
      </c>
      <c r="Q369" s="181" t="b">
        <f>COUNTIF('Account Data'!$A$1:$A$1000,"*"&amp;A369&amp;"*")&gt;0</f>
        <v>0</v>
      </c>
      <c r="R369" s="182" t="b">
        <f t="shared" ref="R369:R405" si="113">IF(OR(P369=TRUE,T369=TRUE),TRUE,FALSE)</f>
        <v>1</v>
      </c>
      <c r="S369" s="182" t="b">
        <f t="shared" ref="S369:S405" si="114">IF(OR(Q369=TRUE,T369=TRUE),TRUE,FALSE)</f>
        <v>0</v>
      </c>
      <c r="T369" s="181" t="b">
        <f>COUNTIF('New Items'!$A$1:$A$175,A369)&gt;0</f>
        <v>0</v>
      </c>
      <c r="U369" s="181" t="b">
        <f>COUNTIF(Discontinued!$A$1:$A$150,A369)&gt;0</f>
        <v>0</v>
      </c>
    </row>
    <row r="370" spans="1:21" s="8" customFormat="1" ht="11.25" x14ac:dyDescent="0.2">
      <c r="A370" s="152">
        <v>10100151</v>
      </c>
      <c r="B370" s="10" t="s">
        <v>2912</v>
      </c>
      <c r="C370" s="12" t="s">
        <v>1301</v>
      </c>
      <c r="D370" s="11" t="s">
        <v>2916</v>
      </c>
      <c r="E370" s="12" t="s">
        <v>757</v>
      </c>
      <c r="F370" s="13">
        <v>24</v>
      </c>
      <c r="G370" s="22">
        <f>Overview!$B$23</f>
        <v>36</v>
      </c>
      <c r="H370" s="114">
        <f t="shared" si="109"/>
        <v>36</v>
      </c>
      <c r="I370" s="114">
        <f>Overview!$E$23</f>
        <v>0</v>
      </c>
      <c r="J370" s="115">
        <f t="shared" si="110"/>
        <v>0</v>
      </c>
      <c r="K370" s="116">
        <f>Overview!$H$23</f>
        <v>0</v>
      </c>
      <c r="L370" s="117" t="e">
        <f t="shared" si="111"/>
        <v>#DIV/0!</v>
      </c>
      <c r="M370" s="179"/>
      <c r="N370" s="179" t="s">
        <v>3372</v>
      </c>
      <c r="O370" s="141">
        <f t="shared" si="112"/>
        <v>0</v>
      </c>
      <c r="P370" s="181" t="b">
        <f>COUNTIF('Facility Data'!$A$1:$A$1500,"*"&amp;A370&amp;"*")&gt;0</f>
        <v>0</v>
      </c>
      <c r="Q370" s="181" t="b">
        <f>COUNTIF('Account Data'!$A$1:$A$1000,"*"&amp;A370&amp;"*")&gt;0</f>
        <v>0</v>
      </c>
      <c r="R370" s="182" t="b">
        <f t="shared" si="113"/>
        <v>0</v>
      </c>
      <c r="S370" s="182" t="b">
        <f t="shared" si="114"/>
        <v>0</v>
      </c>
      <c r="T370" s="181" t="b">
        <f>COUNTIF('New Items'!$A$1:$A$175,A370)&gt;0</f>
        <v>0</v>
      </c>
      <c r="U370" s="181" t="b">
        <f>COUNTIF(Discontinued!$A$1:$A$150,A370)&gt;0</f>
        <v>0</v>
      </c>
    </row>
    <row r="371" spans="1:21" s="8" customFormat="1" ht="11.25" x14ac:dyDescent="0.2">
      <c r="A371" s="152">
        <v>10128112</v>
      </c>
      <c r="B371" s="10" t="s">
        <v>3855</v>
      </c>
      <c r="C371" s="12" t="s">
        <v>1301</v>
      </c>
      <c r="D371" s="11" t="s">
        <v>3856</v>
      </c>
      <c r="E371" s="12" t="s">
        <v>757</v>
      </c>
      <c r="F371" s="13">
        <v>24</v>
      </c>
      <c r="G371" s="22">
        <f>Overview!$B$23</f>
        <v>36</v>
      </c>
      <c r="H371" s="114">
        <f>G371-I371</f>
        <v>36</v>
      </c>
      <c r="I371" s="114">
        <f>Overview!$E$23</f>
        <v>0</v>
      </c>
      <c r="J371" s="115">
        <f>I371/F371</f>
        <v>0</v>
      </c>
      <c r="K371" s="116">
        <f>Overview!$H$23</f>
        <v>0</v>
      </c>
      <c r="L371" s="117" t="e">
        <f>(K371-J371)/K371</f>
        <v>#DIV/0!</v>
      </c>
      <c r="M371" s="179"/>
      <c r="N371" s="179" t="s">
        <v>3372</v>
      </c>
      <c r="O371" s="141">
        <f>I371</f>
        <v>0</v>
      </c>
      <c r="P371" s="181" t="b">
        <f>COUNTIF('Facility Data'!$A$1:$A$1500,"*"&amp;A371&amp;"*")&gt;0</f>
        <v>0</v>
      </c>
      <c r="Q371" s="181" t="b">
        <f>COUNTIF('Account Data'!$A$1:$A$1000,"*"&amp;A371&amp;"*")&gt;0</f>
        <v>0</v>
      </c>
      <c r="R371" s="182" t="b">
        <f t="shared" si="113"/>
        <v>0</v>
      </c>
      <c r="S371" s="182" t="b">
        <f>IF(OR(Q371=TRUE,T371=TRUE),TRUE,FALSE)</f>
        <v>0</v>
      </c>
      <c r="T371" s="181" t="b">
        <f>COUNTIF('New Items'!$A$1:$A$175,A371)&gt;0</f>
        <v>0</v>
      </c>
      <c r="U371" s="181" t="b">
        <f>COUNTIF(Discontinued!$A$1:$A$150,A371)&gt;0</f>
        <v>0</v>
      </c>
    </row>
    <row r="372" spans="1:21" s="8" customFormat="1" ht="11.25" x14ac:dyDescent="0.2">
      <c r="A372" s="152">
        <v>10001136</v>
      </c>
      <c r="B372" s="10" t="s">
        <v>1427</v>
      </c>
      <c r="C372" s="12" t="s">
        <v>1428</v>
      </c>
      <c r="D372" s="11" t="s">
        <v>1386</v>
      </c>
      <c r="E372" s="12" t="s">
        <v>757</v>
      </c>
      <c r="F372" s="13">
        <v>24</v>
      </c>
      <c r="G372" s="22">
        <f>Overview!$B$23</f>
        <v>36</v>
      </c>
      <c r="H372" s="114">
        <f t="shared" si="109"/>
        <v>36</v>
      </c>
      <c r="I372" s="114">
        <f>Overview!$E$23</f>
        <v>0</v>
      </c>
      <c r="J372" s="115">
        <f t="shared" si="110"/>
        <v>0</v>
      </c>
      <c r="K372" s="116">
        <f>Overview!$H$23</f>
        <v>0</v>
      </c>
      <c r="L372" s="117" t="e">
        <f t="shared" si="111"/>
        <v>#DIV/0!</v>
      </c>
      <c r="M372" s="179"/>
      <c r="N372" s="179" t="s">
        <v>3372</v>
      </c>
      <c r="O372" s="141">
        <f t="shared" si="112"/>
        <v>0</v>
      </c>
      <c r="P372" s="181" t="b">
        <f>COUNTIF('Facility Data'!$A$1:$A$1500,"*"&amp;A372&amp;"*")&gt;0</f>
        <v>1</v>
      </c>
      <c r="Q372" s="181" t="b">
        <f>COUNTIF('Account Data'!$A$1:$A$1000,"*"&amp;A372&amp;"*")&gt;0</f>
        <v>0</v>
      </c>
      <c r="R372" s="182" t="b">
        <f t="shared" si="113"/>
        <v>1</v>
      </c>
      <c r="S372" s="182" t="b">
        <f t="shared" si="114"/>
        <v>0</v>
      </c>
      <c r="T372" s="181" t="b">
        <f>COUNTIF('New Items'!$A$1:$A$175,A372)&gt;0</f>
        <v>0</v>
      </c>
      <c r="U372" s="181" t="b">
        <f>COUNTIF(Discontinued!$A$1:$A$150,A372)&gt;0</f>
        <v>0</v>
      </c>
    </row>
    <row r="373" spans="1:21" s="8" customFormat="1" ht="11.25" x14ac:dyDescent="0.2">
      <c r="A373" s="152">
        <v>10001142</v>
      </c>
      <c r="B373" s="10" t="s">
        <v>1429</v>
      </c>
      <c r="C373" s="12" t="s">
        <v>1430</v>
      </c>
      <c r="D373" s="11" t="s">
        <v>1387</v>
      </c>
      <c r="E373" s="12" t="s">
        <v>757</v>
      </c>
      <c r="F373" s="13">
        <v>24</v>
      </c>
      <c r="G373" s="22">
        <f>Overview!$B$23</f>
        <v>36</v>
      </c>
      <c r="H373" s="114">
        <f t="shared" si="109"/>
        <v>36</v>
      </c>
      <c r="I373" s="114">
        <f>Overview!$E$23</f>
        <v>0</v>
      </c>
      <c r="J373" s="115">
        <f t="shared" si="110"/>
        <v>0</v>
      </c>
      <c r="K373" s="116">
        <f>Overview!$H$23</f>
        <v>0</v>
      </c>
      <c r="L373" s="117" t="e">
        <f t="shared" si="111"/>
        <v>#DIV/0!</v>
      </c>
      <c r="M373" s="179"/>
      <c r="N373" s="179" t="s">
        <v>3372</v>
      </c>
      <c r="O373" s="141">
        <f t="shared" si="112"/>
        <v>0</v>
      </c>
      <c r="P373" s="181" t="b">
        <f>COUNTIF('Facility Data'!$A$1:$A$1500,"*"&amp;A373&amp;"*")&gt;0</f>
        <v>1</v>
      </c>
      <c r="Q373" s="181" t="b">
        <f>COUNTIF('Account Data'!$A$1:$A$1000,"*"&amp;A373&amp;"*")&gt;0</f>
        <v>0</v>
      </c>
      <c r="R373" s="182" t="b">
        <f t="shared" si="113"/>
        <v>1</v>
      </c>
      <c r="S373" s="182" t="b">
        <f t="shared" si="114"/>
        <v>0</v>
      </c>
      <c r="T373" s="181" t="b">
        <f>COUNTIF('New Items'!$A$1:$A$175,A373)&gt;0</f>
        <v>0</v>
      </c>
      <c r="U373" s="181" t="b">
        <f>COUNTIF(Discontinued!$A$1:$A$150,A373)&gt;0</f>
        <v>0</v>
      </c>
    </row>
    <row r="374" spans="1:21" s="8" customFormat="1" ht="11.25" x14ac:dyDescent="0.2">
      <c r="A374" s="152">
        <v>10001128</v>
      </c>
      <c r="B374" s="10" t="s">
        <v>189</v>
      </c>
      <c r="C374" s="12" t="s">
        <v>190</v>
      </c>
      <c r="D374" s="11" t="s">
        <v>640</v>
      </c>
      <c r="E374" s="12" t="s">
        <v>757</v>
      </c>
      <c r="F374" s="13">
        <v>24</v>
      </c>
      <c r="G374" s="22">
        <f>Overview!$B$23</f>
        <v>36</v>
      </c>
      <c r="H374" s="114">
        <f t="shared" si="109"/>
        <v>36</v>
      </c>
      <c r="I374" s="114">
        <f>Overview!$E$23</f>
        <v>0</v>
      </c>
      <c r="J374" s="115">
        <f t="shared" si="110"/>
        <v>0</v>
      </c>
      <c r="K374" s="116">
        <f>Overview!$H$23</f>
        <v>0</v>
      </c>
      <c r="L374" s="117" t="e">
        <f t="shared" si="111"/>
        <v>#DIV/0!</v>
      </c>
      <c r="M374" s="179"/>
      <c r="N374" s="179" t="s">
        <v>3372</v>
      </c>
      <c r="O374" s="141">
        <f t="shared" si="112"/>
        <v>0</v>
      </c>
      <c r="P374" s="181" t="b">
        <f>COUNTIF('Facility Data'!$A$1:$A$1500,"*"&amp;A374&amp;"*")&gt;0</f>
        <v>1</v>
      </c>
      <c r="Q374" s="181" t="b">
        <f>COUNTIF('Account Data'!$A$1:$A$1000,"*"&amp;A374&amp;"*")&gt;0</f>
        <v>1</v>
      </c>
      <c r="R374" s="182" t="b">
        <f t="shared" si="113"/>
        <v>1</v>
      </c>
      <c r="S374" s="182" t="b">
        <f t="shared" si="114"/>
        <v>1</v>
      </c>
      <c r="T374" s="181" t="b">
        <f>COUNTIF('New Items'!$A$1:$A$175,A374)&gt;0</f>
        <v>0</v>
      </c>
      <c r="U374" s="181" t="b">
        <f>COUNTIF(Discontinued!$A$1:$A$150,A374)&gt;0</f>
        <v>0</v>
      </c>
    </row>
    <row r="375" spans="1:21" s="8" customFormat="1" ht="11.25" x14ac:dyDescent="0.2">
      <c r="A375" s="152">
        <v>10126828</v>
      </c>
      <c r="B375" s="10" t="s">
        <v>3851</v>
      </c>
      <c r="C375" s="12" t="s">
        <v>190</v>
      </c>
      <c r="D375" s="11" t="s">
        <v>3852</v>
      </c>
      <c r="E375" s="12" t="s">
        <v>757</v>
      </c>
      <c r="F375" s="13">
        <v>24</v>
      </c>
      <c r="G375" s="22">
        <f>Overview!$B$23</f>
        <v>36</v>
      </c>
      <c r="H375" s="114">
        <f>G375-I375</f>
        <v>36</v>
      </c>
      <c r="I375" s="114">
        <f>Overview!$E$23</f>
        <v>0</v>
      </c>
      <c r="J375" s="115">
        <f>I375/F375</f>
        <v>0</v>
      </c>
      <c r="K375" s="116">
        <f>Overview!$H$23</f>
        <v>0</v>
      </c>
      <c r="L375" s="117" t="e">
        <f>(K375-J375)/K375</f>
        <v>#DIV/0!</v>
      </c>
      <c r="M375" s="179"/>
      <c r="N375" s="179" t="s">
        <v>3372</v>
      </c>
      <c r="O375" s="141">
        <f>I375</f>
        <v>0</v>
      </c>
      <c r="P375" s="181" t="b">
        <f>COUNTIF('Facility Data'!$A$1:$A$1500,"*"&amp;A375&amp;"*")&gt;0</f>
        <v>0</v>
      </c>
      <c r="Q375" s="181" t="b">
        <f>COUNTIF('Account Data'!$A$1:$A$1000,"*"&amp;A375&amp;"*")&gt;0</f>
        <v>0</v>
      </c>
      <c r="R375" s="182" t="b">
        <f t="shared" si="113"/>
        <v>0</v>
      </c>
      <c r="S375" s="182" t="b">
        <f>IF(OR(Q375=TRUE,T375=TRUE),TRUE,FALSE)</f>
        <v>0</v>
      </c>
      <c r="T375" s="181" t="b">
        <f>COUNTIF('New Items'!$A$1:$A$175,A375)&gt;0</f>
        <v>0</v>
      </c>
      <c r="U375" s="181" t="b">
        <f>COUNTIF(Discontinued!$A$1:$A$150,A375)&gt;0</f>
        <v>0</v>
      </c>
    </row>
    <row r="376" spans="1:21" s="8" customFormat="1" ht="11.25" x14ac:dyDescent="0.2">
      <c r="A376" s="152">
        <v>10100152</v>
      </c>
      <c r="B376" s="10" t="s">
        <v>2911</v>
      </c>
      <c r="C376" s="12" t="s">
        <v>190</v>
      </c>
      <c r="D376" s="11" t="s">
        <v>2914</v>
      </c>
      <c r="E376" s="12" t="s">
        <v>757</v>
      </c>
      <c r="F376" s="13">
        <v>24</v>
      </c>
      <c r="G376" s="22">
        <f>Overview!$B$23</f>
        <v>36</v>
      </c>
      <c r="H376" s="114">
        <f t="shared" si="109"/>
        <v>36</v>
      </c>
      <c r="I376" s="114">
        <f>Overview!$E$23</f>
        <v>0</v>
      </c>
      <c r="J376" s="115">
        <f t="shared" si="110"/>
        <v>0</v>
      </c>
      <c r="K376" s="116">
        <f>Overview!$H$23</f>
        <v>0</v>
      </c>
      <c r="L376" s="117" t="e">
        <f t="shared" si="111"/>
        <v>#DIV/0!</v>
      </c>
      <c r="M376" s="179"/>
      <c r="N376" s="179" t="s">
        <v>3372</v>
      </c>
      <c r="O376" s="141">
        <f t="shared" si="112"/>
        <v>0</v>
      </c>
      <c r="P376" s="181" t="b">
        <f>COUNTIF('Facility Data'!$A$1:$A$1500,"*"&amp;A376&amp;"*")&gt;0</f>
        <v>0</v>
      </c>
      <c r="Q376" s="181" t="b">
        <f>COUNTIF('Account Data'!$A$1:$A$1000,"*"&amp;A376&amp;"*")&gt;0</f>
        <v>0</v>
      </c>
      <c r="R376" s="182" t="b">
        <f t="shared" si="113"/>
        <v>0</v>
      </c>
      <c r="S376" s="182" t="b">
        <f t="shared" si="114"/>
        <v>0</v>
      </c>
      <c r="T376" s="181" t="b">
        <f>COUNTIF('New Items'!$A$1:$A$175,A376)&gt;0</f>
        <v>0</v>
      </c>
      <c r="U376" s="181" t="b">
        <f>COUNTIF(Discontinued!$A$1:$A$150,A376)&gt;0</f>
        <v>0</v>
      </c>
    </row>
    <row r="377" spans="1:21" s="8" customFormat="1" ht="11.25" x14ac:dyDescent="0.2">
      <c r="A377" s="152">
        <v>10128111</v>
      </c>
      <c r="B377" s="10" t="s">
        <v>3853</v>
      </c>
      <c r="C377" s="12" t="s">
        <v>190</v>
      </c>
      <c r="D377" s="11" t="s">
        <v>3854</v>
      </c>
      <c r="E377" s="12" t="s">
        <v>757</v>
      </c>
      <c r="F377" s="13">
        <v>24</v>
      </c>
      <c r="G377" s="22">
        <f>Overview!$B$23</f>
        <v>36</v>
      </c>
      <c r="H377" s="114">
        <f>G377-I377</f>
        <v>36</v>
      </c>
      <c r="I377" s="114">
        <f>Overview!$E$23</f>
        <v>0</v>
      </c>
      <c r="J377" s="115">
        <f>I377/F377</f>
        <v>0</v>
      </c>
      <c r="K377" s="116">
        <f>Overview!$H$23</f>
        <v>0</v>
      </c>
      <c r="L377" s="117" t="e">
        <f>(K377-J377)/K377</f>
        <v>#DIV/0!</v>
      </c>
      <c r="M377" s="179"/>
      <c r="N377" s="179" t="s">
        <v>3372</v>
      </c>
      <c r="O377" s="141">
        <f>I377</f>
        <v>0</v>
      </c>
      <c r="P377" s="181" t="b">
        <f>COUNTIF('Facility Data'!$A$1:$A$1500,"*"&amp;A377&amp;"*")&gt;0</f>
        <v>0</v>
      </c>
      <c r="Q377" s="181" t="b">
        <f>COUNTIF('Account Data'!$A$1:$A$1000,"*"&amp;A377&amp;"*")&gt;0</f>
        <v>0</v>
      </c>
      <c r="R377" s="182" t="b">
        <f t="shared" si="113"/>
        <v>0</v>
      </c>
      <c r="S377" s="182" t="b">
        <f>IF(OR(Q377=TRUE,T377=TRUE),TRUE,FALSE)</f>
        <v>0</v>
      </c>
      <c r="T377" s="181" t="b">
        <f>COUNTIF('New Items'!$A$1:$A$175,A377)&gt;0</f>
        <v>0</v>
      </c>
      <c r="U377" s="181" t="b">
        <f>COUNTIF(Discontinued!$A$1:$A$150,A377)&gt;0</f>
        <v>0</v>
      </c>
    </row>
    <row r="378" spans="1:21" s="8" customFormat="1" ht="11.25" x14ac:dyDescent="0.2">
      <c r="A378" s="152">
        <v>10001141</v>
      </c>
      <c r="B378" s="10" t="s">
        <v>2440</v>
      </c>
      <c r="C378" s="12" t="s">
        <v>2441</v>
      </c>
      <c r="D378" s="11" t="s">
        <v>2442</v>
      </c>
      <c r="E378" s="12" t="s">
        <v>757</v>
      </c>
      <c r="F378" s="13">
        <v>24</v>
      </c>
      <c r="G378" s="22">
        <f>Overview!$B$23</f>
        <v>36</v>
      </c>
      <c r="H378" s="114">
        <f t="shared" si="109"/>
        <v>36</v>
      </c>
      <c r="I378" s="114">
        <f>Overview!$E$23</f>
        <v>0</v>
      </c>
      <c r="J378" s="115">
        <f t="shared" si="110"/>
        <v>0</v>
      </c>
      <c r="K378" s="116">
        <f>Overview!$H$23</f>
        <v>0</v>
      </c>
      <c r="L378" s="117" t="e">
        <f t="shared" si="111"/>
        <v>#DIV/0!</v>
      </c>
      <c r="M378" s="179"/>
      <c r="N378" s="179" t="s">
        <v>3372</v>
      </c>
      <c r="O378" s="141">
        <f t="shared" si="112"/>
        <v>0</v>
      </c>
      <c r="P378" s="181" t="b">
        <f>COUNTIF('Facility Data'!$A$1:$A$1500,"*"&amp;A378&amp;"*")&gt;0</f>
        <v>0</v>
      </c>
      <c r="Q378" s="181" t="b">
        <f>COUNTIF('Account Data'!$A$1:$A$1000,"*"&amp;A378&amp;"*")&gt;0</f>
        <v>0</v>
      </c>
      <c r="R378" s="182" t="b">
        <f t="shared" si="113"/>
        <v>0</v>
      </c>
      <c r="S378" s="182" t="b">
        <f t="shared" si="114"/>
        <v>0</v>
      </c>
      <c r="T378" s="181" t="b">
        <f>COUNTIF('New Items'!$A$1:$A$175,A378)&gt;0</f>
        <v>0</v>
      </c>
      <c r="U378" s="181" t="b">
        <f>COUNTIF(Discontinued!$A$1:$A$150,A378)&gt;0</f>
        <v>0</v>
      </c>
    </row>
    <row r="379" spans="1:21" s="8" customFormat="1" ht="11.25" x14ac:dyDescent="0.2">
      <c r="A379" s="152">
        <v>10001100</v>
      </c>
      <c r="B379" s="10" t="s">
        <v>1425</v>
      </c>
      <c r="C379" s="12" t="s">
        <v>1426</v>
      </c>
      <c r="D379" s="11" t="s">
        <v>662</v>
      </c>
      <c r="E379" s="12" t="s">
        <v>757</v>
      </c>
      <c r="F379" s="13">
        <v>24</v>
      </c>
      <c r="G379" s="22">
        <f>Overview!$B$23</f>
        <v>36</v>
      </c>
      <c r="H379" s="114">
        <f t="shared" si="109"/>
        <v>36</v>
      </c>
      <c r="I379" s="114">
        <f>Overview!$E$23</f>
        <v>0</v>
      </c>
      <c r="J379" s="115">
        <f t="shared" si="110"/>
        <v>0</v>
      </c>
      <c r="K379" s="116">
        <f>Overview!$H$23</f>
        <v>0</v>
      </c>
      <c r="L379" s="117" t="e">
        <f t="shared" si="111"/>
        <v>#DIV/0!</v>
      </c>
      <c r="M379" s="179"/>
      <c r="N379" s="179" t="s">
        <v>3372</v>
      </c>
      <c r="O379" s="141">
        <f t="shared" si="112"/>
        <v>0</v>
      </c>
      <c r="P379" s="181" t="b">
        <f>COUNTIF('Facility Data'!$A$1:$A$1500,"*"&amp;A379&amp;"*")&gt;0</f>
        <v>1</v>
      </c>
      <c r="Q379" s="181" t="b">
        <f>COUNTIF('Account Data'!$A$1:$A$1000,"*"&amp;A379&amp;"*")&gt;0</f>
        <v>0</v>
      </c>
      <c r="R379" s="182" t="b">
        <f t="shared" si="113"/>
        <v>1</v>
      </c>
      <c r="S379" s="182" t="b">
        <f t="shared" si="114"/>
        <v>0</v>
      </c>
      <c r="T379" s="181" t="b">
        <f>COUNTIF('New Items'!$A$1:$A$175,A379)&gt;0</f>
        <v>0</v>
      </c>
      <c r="U379" s="181" t="b">
        <f>COUNTIF(Discontinued!$A$1:$A$150,A379)&gt;0</f>
        <v>0</v>
      </c>
    </row>
    <row r="380" spans="1:21" s="8" customFormat="1" ht="11.25" x14ac:dyDescent="0.2">
      <c r="A380" s="152">
        <v>10100153</v>
      </c>
      <c r="B380" s="10" t="s">
        <v>2913</v>
      </c>
      <c r="C380" s="12" t="s">
        <v>1426</v>
      </c>
      <c r="D380" s="11" t="s">
        <v>2915</v>
      </c>
      <c r="E380" s="12" t="s">
        <v>757</v>
      </c>
      <c r="F380" s="13">
        <v>24</v>
      </c>
      <c r="G380" s="22">
        <f>Overview!$B$23</f>
        <v>36</v>
      </c>
      <c r="H380" s="114">
        <f>G380-I380</f>
        <v>36</v>
      </c>
      <c r="I380" s="114">
        <f>Overview!$E$23</f>
        <v>0</v>
      </c>
      <c r="J380" s="115">
        <f>I380/F380</f>
        <v>0</v>
      </c>
      <c r="K380" s="116">
        <f>Overview!$H$23</f>
        <v>0</v>
      </c>
      <c r="L380" s="117" t="e">
        <f>(K380-J380)/K380</f>
        <v>#DIV/0!</v>
      </c>
      <c r="M380" s="179"/>
      <c r="N380" s="179" t="s">
        <v>3372</v>
      </c>
      <c r="O380" s="141">
        <f>I380</f>
        <v>0</v>
      </c>
      <c r="P380" s="181" t="b">
        <f>COUNTIF('Facility Data'!$A$1:$A$1500,"*"&amp;A380&amp;"*")&gt;0</f>
        <v>0</v>
      </c>
      <c r="Q380" s="181" t="b">
        <f>COUNTIF('Account Data'!$A$1:$A$1000,"*"&amp;A380&amp;"*")&gt;0</f>
        <v>0</v>
      </c>
      <c r="R380" s="182" t="b">
        <f t="shared" si="113"/>
        <v>0</v>
      </c>
      <c r="S380" s="182" t="b">
        <f>IF(OR(Q380=TRUE,T380=TRUE),TRUE,FALSE)</f>
        <v>0</v>
      </c>
      <c r="T380" s="181" t="b">
        <f>COUNTIF('New Items'!$A$1:$A$175,A380)&gt;0</f>
        <v>0</v>
      </c>
      <c r="U380" s="181" t="b">
        <f>COUNTIF(Discontinued!$A$1:$A$150,A380)&gt;0</f>
        <v>0</v>
      </c>
    </row>
    <row r="381" spans="1:21" s="8" customFormat="1" ht="11.25" x14ac:dyDescent="0.2">
      <c r="A381" s="152">
        <v>10011968</v>
      </c>
      <c r="B381" s="10" t="s">
        <v>1575</v>
      </c>
      <c r="C381" s="12" t="s">
        <v>1576</v>
      </c>
      <c r="D381" s="11" t="s">
        <v>1572</v>
      </c>
      <c r="E381" s="12" t="s">
        <v>757</v>
      </c>
      <c r="F381" s="13">
        <v>24</v>
      </c>
      <c r="G381" s="22">
        <f>Overview!$B$23</f>
        <v>36</v>
      </c>
      <c r="H381" s="114">
        <f t="shared" si="109"/>
        <v>36</v>
      </c>
      <c r="I381" s="114">
        <f>Overview!$E$23</f>
        <v>0</v>
      </c>
      <c r="J381" s="115">
        <f t="shared" si="110"/>
        <v>0</v>
      </c>
      <c r="K381" s="116">
        <f>Overview!$H$23</f>
        <v>0</v>
      </c>
      <c r="L381" s="117" t="e">
        <f t="shared" si="111"/>
        <v>#DIV/0!</v>
      </c>
      <c r="M381" s="179" t="s">
        <v>2421</v>
      </c>
      <c r="N381" s="179" t="s">
        <v>3372</v>
      </c>
      <c r="O381" s="141">
        <f t="shared" si="112"/>
        <v>0</v>
      </c>
      <c r="P381" s="181" t="b">
        <f>COUNTIF('Facility Data'!$A$1:$A$1500,"*"&amp;A381&amp;"*")&gt;0</f>
        <v>0</v>
      </c>
      <c r="Q381" s="181" t="b">
        <f>COUNTIF('Account Data'!$A$1:$A$1000,"*"&amp;A381&amp;"*")&gt;0</f>
        <v>0</v>
      </c>
      <c r="R381" s="182" t="b">
        <f t="shared" si="113"/>
        <v>0</v>
      </c>
      <c r="S381" s="182" t="b">
        <f t="shared" si="114"/>
        <v>0</v>
      </c>
      <c r="T381" s="181" t="b">
        <f>COUNTIF('New Items'!$A$1:$A$175,A381)&gt;0</f>
        <v>0</v>
      </c>
      <c r="U381" s="181" t="b">
        <f>COUNTIF(Discontinued!$A$1:$A$150,A381)&gt;0</f>
        <v>0</v>
      </c>
    </row>
    <row r="382" spans="1:21" s="8" customFormat="1" ht="11.25" x14ac:dyDescent="0.2">
      <c r="A382" s="152">
        <v>10001176</v>
      </c>
      <c r="B382" s="10" t="s">
        <v>2454</v>
      </c>
      <c r="C382" s="12" t="s">
        <v>2455</v>
      </c>
      <c r="D382" s="11" t="s">
        <v>1655</v>
      </c>
      <c r="E382" s="12" t="s">
        <v>757</v>
      </c>
      <c r="F382" s="13">
        <v>24</v>
      </c>
      <c r="G382" s="22">
        <f>Overview!$B$23</f>
        <v>36</v>
      </c>
      <c r="H382" s="114">
        <f t="shared" si="109"/>
        <v>36</v>
      </c>
      <c r="I382" s="114">
        <f>Overview!$E$23</f>
        <v>0</v>
      </c>
      <c r="J382" s="115">
        <f t="shared" si="110"/>
        <v>0</v>
      </c>
      <c r="K382" s="116">
        <f>Overview!$H$23</f>
        <v>0</v>
      </c>
      <c r="L382" s="117" t="e">
        <f t="shared" si="111"/>
        <v>#DIV/0!</v>
      </c>
      <c r="M382" s="179" t="s">
        <v>2422</v>
      </c>
      <c r="N382" s="179" t="s">
        <v>3372</v>
      </c>
      <c r="O382" s="141">
        <f t="shared" si="112"/>
        <v>0</v>
      </c>
      <c r="P382" s="181" t="b">
        <f>COUNTIF('Facility Data'!$A$1:$A$1500,"*"&amp;A382&amp;"*")&gt;0</f>
        <v>0</v>
      </c>
      <c r="Q382" s="181" t="b">
        <f>COUNTIF('Account Data'!$A$1:$A$1000,"*"&amp;A382&amp;"*")&gt;0</f>
        <v>0</v>
      </c>
      <c r="R382" s="182" t="b">
        <f t="shared" si="113"/>
        <v>0</v>
      </c>
      <c r="S382" s="182" t="b">
        <f t="shared" si="114"/>
        <v>0</v>
      </c>
      <c r="T382" s="181" t="b">
        <f>COUNTIF('New Items'!$A$1:$A$175,A382)&gt;0</f>
        <v>0</v>
      </c>
      <c r="U382" s="181" t="b">
        <f>COUNTIF(Discontinued!$A$1:$A$150,A382)&gt;0</f>
        <v>0</v>
      </c>
    </row>
    <row r="383" spans="1:21" s="8" customFormat="1" ht="11.25" x14ac:dyDescent="0.2">
      <c r="A383" s="160">
        <v>10021991</v>
      </c>
      <c r="B383" s="231" t="s">
        <v>3658</v>
      </c>
      <c r="C383" s="118" t="s">
        <v>3660</v>
      </c>
      <c r="D383" s="119" t="s">
        <v>3659</v>
      </c>
      <c r="E383" s="12" t="s">
        <v>757</v>
      </c>
      <c r="F383" s="13">
        <v>24</v>
      </c>
      <c r="G383" s="22">
        <f>Overview!$B$23</f>
        <v>36</v>
      </c>
      <c r="H383" s="114">
        <f>G383-I383</f>
        <v>36</v>
      </c>
      <c r="I383" s="114">
        <f>Overview!$E$23</f>
        <v>0</v>
      </c>
      <c r="J383" s="115">
        <f>I383/F383</f>
        <v>0</v>
      </c>
      <c r="K383" s="116">
        <f>Overview!$H$23</f>
        <v>0</v>
      </c>
      <c r="L383" s="117" t="e">
        <f>(K383-J383)/K383</f>
        <v>#DIV/0!</v>
      </c>
      <c r="M383" s="179" t="s">
        <v>921</v>
      </c>
      <c r="N383" s="179" t="s">
        <v>3372</v>
      </c>
      <c r="O383" s="141">
        <f>I383</f>
        <v>0</v>
      </c>
      <c r="P383" s="181" t="b">
        <f>COUNTIF('Facility Data'!$A$1:$A$1500,"*"&amp;A383&amp;"*")&gt;0</f>
        <v>0</v>
      </c>
      <c r="Q383" s="181" t="b">
        <f>COUNTIF('Account Data'!$A$1:$A$1000,"*"&amp;A383&amp;"*")&gt;0</f>
        <v>0</v>
      </c>
      <c r="R383" s="182" t="b">
        <f t="shared" si="113"/>
        <v>0</v>
      </c>
      <c r="S383" s="182" t="b">
        <f>IF(OR(Q383=TRUE,T383=TRUE),TRUE,FALSE)</f>
        <v>0</v>
      </c>
      <c r="T383" s="181" t="b">
        <f>COUNTIF('New Items'!$A$1:$A$175,A383)&gt;0</f>
        <v>0</v>
      </c>
      <c r="U383" s="181" t="b">
        <f>COUNTIF(Discontinued!$A$1:$A$150,A383)&gt;0</f>
        <v>0</v>
      </c>
    </row>
    <row r="384" spans="1:21" s="8" customFormat="1" ht="11.25" x14ac:dyDescent="0.2">
      <c r="A384" s="152">
        <v>10021992</v>
      </c>
      <c r="B384" s="10" t="s">
        <v>3271</v>
      </c>
      <c r="C384" s="12" t="s">
        <v>933</v>
      </c>
      <c r="D384" s="11" t="s">
        <v>923</v>
      </c>
      <c r="E384" s="12" t="s">
        <v>757</v>
      </c>
      <c r="F384" s="13">
        <v>24</v>
      </c>
      <c r="G384" s="22">
        <f>Overview!$B$23</f>
        <v>36</v>
      </c>
      <c r="H384" s="114">
        <f t="shared" si="109"/>
        <v>36</v>
      </c>
      <c r="I384" s="114">
        <f>Overview!$E$23</f>
        <v>0</v>
      </c>
      <c r="J384" s="115">
        <f t="shared" si="110"/>
        <v>0</v>
      </c>
      <c r="K384" s="116">
        <f>Overview!$H$23</f>
        <v>0</v>
      </c>
      <c r="L384" s="117" t="e">
        <f t="shared" si="111"/>
        <v>#DIV/0!</v>
      </c>
      <c r="M384" s="179" t="s">
        <v>921</v>
      </c>
      <c r="N384" s="179" t="s">
        <v>3372</v>
      </c>
      <c r="O384" s="141">
        <f t="shared" si="112"/>
        <v>0</v>
      </c>
      <c r="P384" s="181" t="b">
        <f>COUNTIF('Facility Data'!$A$1:$A$1500,"*"&amp;A384&amp;"*")&gt;0</f>
        <v>0</v>
      </c>
      <c r="Q384" s="181" t="b">
        <f>COUNTIF('Account Data'!$A$1:$A$1000,"*"&amp;A384&amp;"*")&gt;0</f>
        <v>1</v>
      </c>
      <c r="R384" s="182" t="b">
        <f t="shared" si="113"/>
        <v>0</v>
      </c>
      <c r="S384" s="182" t="b">
        <f t="shared" si="114"/>
        <v>1</v>
      </c>
      <c r="T384" s="181" t="b">
        <f>COUNTIF('New Items'!$A$1:$A$175,A384)&gt;0</f>
        <v>0</v>
      </c>
      <c r="U384" s="181" t="b">
        <f>COUNTIF(Discontinued!$A$1:$A$150,A384)&gt;0</f>
        <v>0</v>
      </c>
    </row>
    <row r="385" spans="1:21" s="8" customFormat="1" ht="11.25" x14ac:dyDescent="0.2">
      <c r="A385" s="152">
        <v>10021990</v>
      </c>
      <c r="B385" s="10" t="s">
        <v>3270</v>
      </c>
      <c r="C385" s="12" t="s">
        <v>932</v>
      </c>
      <c r="D385" s="11" t="s">
        <v>922</v>
      </c>
      <c r="E385" s="12" t="s">
        <v>757</v>
      </c>
      <c r="F385" s="13">
        <v>24</v>
      </c>
      <c r="G385" s="22">
        <f>Overview!$B$23</f>
        <v>36</v>
      </c>
      <c r="H385" s="114">
        <f t="shared" si="109"/>
        <v>36</v>
      </c>
      <c r="I385" s="114">
        <f>Overview!$E$23</f>
        <v>0</v>
      </c>
      <c r="J385" s="115">
        <f t="shared" si="110"/>
        <v>0</v>
      </c>
      <c r="K385" s="116">
        <f>Overview!$H$23</f>
        <v>0</v>
      </c>
      <c r="L385" s="117" t="e">
        <f t="shared" si="111"/>
        <v>#DIV/0!</v>
      </c>
      <c r="M385" s="179" t="s">
        <v>921</v>
      </c>
      <c r="N385" s="179" t="s">
        <v>3372</v>
      </c>
      <c r="O385" s="141">
        <f t="shared" si="112"/>
        <v>0</v>
      </c>
      <c r="P385" s="181" t="b">
        <f>COUNTIF('Facility Data'!$A$1:$A$1500,"*"&amp;A385&amp;"*")&gt;0</f>
        <v>0</v>
      </c>
      <c r="Q385" s="181" t="b">
        <f>COUNTIF('Account Data'!$A$1:$A$1000,"*"&amp;A385&amp;"*")&gt;0</f>
        <v>1</v>
      </c>
      <c r="R385" s="182" t="b">
        <f t="shared" si="113"/>
        <v>0</v>
      </c>
      <c r="S385" s="182" t="b">
        <f t="shared" si="114"/>
        <v>1</v>
      </c>
      <c r="T385" s="181" t="b">
        <f>COUNTIF('New Items'!$A$1:$A$175,A385)&gt;0</f>
        <v>0</v>
      </c>
      <c r="U385" s="181" t="b">
        <f>COUNTIF(Discontinued!$A$1:$A$150,A385)&gt;0</f>
        <v>0</v>
      </c>
    </row>
    <row r="386" spans="1:21" s="8" customFormat="1" ht="11.25" x14ac:dyDescent="0.2">
      <c r="A386" s="152">
        <v>10021993</v>
      </c>
      <c r="B386" s="10" t="s">
        <v>3272</v>
      </c>
      <c r="C386" s="12" t="s">
        <v>934</v>
      </c>
      <c r="D386" s="11" t="s">
        <v>924</v>
      </c>
      <c r="E386" s="12" t="s">
        <v>757</v>
      </c>
      <c r="F386" s="13">
        <v>24</v>
      </c>
      <c r="G386" s="22">
        <f>Overview!$B$23</f>
        <v>36</v>
      </c>
      <c r="H386" s="114">
        <f t="shared" si="109"/>
        <v>36</v>
      </c>
      <c r="I386" s="114">
        <f>Overview!$E$23</f>
        <v>0</v>
      </c>
      <c r="J386" s="115">
        <f t="shared" si="110"/>
        <v>0</v>
      </c>
      <c r="K386" s="116">
        <f>Overview!$H$23</f>
        <v>0</v>
      </c>
      <c r="L386" s="117" t="e">
        <f t="shared" si="111"/>
        <v>#DIV/0!</v>
      </c>
      <c r="M386" s="179" t="s">
        <v>921</v>
      </c>
      <c r="N386" s="179" t="s">
        <v>3372</v>
      </c>
      <c r="O386" s="141">
        <f t="shared" si="112"/>
        <v>0</v>
      </c>
      <c r="P386" s="181" t="b">
        <f>COUNTIF('Facility Data'!$A$1:$A$1500,"*"&amp;A386&amp;"*")&gt;0</f>
        <v>0</v>
      </c>
      <c r="Q386" s="181" t="b">
        <f>COUNTIF('Account Data'!$A$1:$A$1000,"*"&amp;A386&amp;"*")&gt;0</f>
        <v>1</v>
      </c>
      <c r="R386" s="182" t="b">
        <f t="shared" si="113"/>
        <v>0</v>
      </c>
      <c r="S386" s="182" t="b">
        <f t="shared" si="114"/>
        <v>1</v>
      </c>
      <c r="T386" s="181" t="b">
        <f>COUNTIF('New Items'!$A$1:$A$175,A386)&gt;0</f>
        <v>0</v>
      </c>
      <c r="U386" s="181" t="b">
        <f>COUNTIF(Discontinued!$A$1:$A$150,A386)&gt;0</f>
        <v>0</v>
      </c>
    </row>
    <row r="387" spans="1:21" s="8" customFormat="1" ht="11.25" x14ac:dyDescent="0.2">
      <c r="A387" s="152">
        <v>10000039</v>
      </c>
      <c r="B387" s="10" t="s">
        <v>1302</v>
      </c>
      <c r="C387" s="12" t="s">
        <v>1303</v>
      </c>
      <c r="D387" s="11" t="s">
        <v>1272</v>
      </c>
      <c r="E387" s="12" t="s">
        <v>757</v>
      </c>
      <c r="F387" s="13">
        <v>24</v>
      </c>
      <c r="G387" s="22">
        <f>Overview!$B$23</f>
        <v>36</v>
      </c>
      <c r="H387" s="114">
        <f t="shared" si="109"/>
        <v>36</v>
      </c>
      <c r="I387" s="114">
        <f>Overview!$E$23</f>
        <v>0</v>
      </c>
      <c r="J387" s="115">
        <f t="shared" si="110"/>
        <v>0</v>
      </c>
      <c r="K387" s="116">
        <f>Overview!$H$23</f>
        <v>0</v>
      </c>
      <c r="L387" s="117" t="e">
        <f t="shared" si="111"/>
        <v>#DIV/0!</v>
      </c>
      <c r="M387" s="179"/>
      <c r="N387" s="179" t="s">
        <v>3372</v>
      </c>
      <c r="O387" s="141">
        <f t="shared" si="112"/>
        <v>0</v>
      </c>
      <c r="P387" s="181" t="b">
        <f>COUNTIF('Facility Data'!$A$1:$A$1500,"*"&amp;A387&amp;"*")&gt;0</f>
        <v>0</v>
      </c>
      <c r="Q387" s="181" t="b">
        <f>COUNTIF('Account Data'!$A$1:$A$1000,"*"&amp;A387&amp;"*")&gt;0</f>
        <v>0</v>
      </c>
      <c r="R387" s="182" t="b">
        <f t="shared" si="113"/>
        <v>0</v>
      </c>
      <c r="S387" s="182" t="b">
        <f t="shared" si="114"/>
        <v>0</v>
      </c>
      <c r="T387" s="181" t="b">
        <f>COUNTIF('New Items'!$A$1:$A$175,A387)&gt;0</f>
        <v>0</v>
      </c>
      <c r="U387" s="181" t="b">
        <f>COUNTIF(Discontinued!$A$1:$A$150,A387)&gt;0</f>
        <v>0</v>
      </c>
    </row>
    <row r="388" spans="1:21" s="8" customFormat="1" ht="11.25" x14ac:dyDescent="0.2">
      <c r="A388" s="152">
        <v>10001134</v>
      </c>
      <c r="B388" s="10" t="s">
        <v>1290</v>
      </c>
      <c r="C388" s="12" t="s">
        <v>1291</v>
      </c>
      <c r="D388" s="11" t="s">
        <v>649</v>
      </c>
      <c r="E388" s="12" t="s">
        <v>757</v>
      </c>
      <c r="F388" s="13">
        <v>24</v>
      </c>
      <c r="G388" s="22">
        <f>Overview!$B$23</f>
        <v>36</v>
      </c>
      <c r="H388" s="114">
        <f t="shared" si="109"/>
        <v>36</v>
      </c>
      <c r="I388" s="114">
        <f>Overview!$E$23</f>
        <v>0</v>
      </c>
      <c r="J388" s="115">
        <f t="shared" si="110"/>
        <v>0</v>
      </c>
      <c r="K388" s="116">
        <f>Overview!$H$23</f>
        <v>0</v>
      </c>
      <c r="L388" s="117" t="e">
        <f t="shared" si="111"/>
        <v>#DIV/0!</v>
      </c>
      <c r="M388" s="179"/>
      <c r="N388" s="179" t="s">
        <v>3372</v>
      </c>
      <c r="O388" s="141">
        <f t="shared" si="112"/>
        <v>0</v>
      </c>
      <c r="P388" s="181" t="b">
        <f>COUNTIF('Facility Data'!$A$1:$A$1500,"*"&amp;A388&amp;"*")&gt;0</f>
        <v>0</v>
      </c>
      <c r="Q388" s="181" t="b">
        <f>COUNTIF('Account Data'!$A$1:$A$1000,"*"&amp;A388&amp;"*")&gt;0</f>
        <v>0</v>
      </c>
      <c r="R388" s="182" t="b">
        <f t="shared" si="113"/>
        <v>0</v>
      </c>
      <c r="S388" s="182" t="b">
        <f t="shared" si="114"/>
        <v>0</v>
      </c>
      <c r="T388" s="181" t="b">
        <f>COUNTIF('New Items'!$A$1:$A$175,A388)&gt;0</f>
        <v>0</v>
      </c>
      <c r="U388" s="181" t="b">
        <f>COUNTIF(Discontinued!$A$1:$A$150,A388)&gt;0</f>
        <v>0</v>
      </c>
    </row>
    <row r="389" spans="1:21" s="8" customFormat="1" ht="11.25" x14ac:dyDescent="0.2">
      <c r="A389" s="152">
        <v>10081259</v>
      </c>
      <c r="B389" s="10" t="s">
        <v>2964</v>
      </c>
      <c r="C389" s="12" t="s">
        <v>2965</v>
      </c>
      <c r="D389" s="11" t="s">
        <v>2764</v>
      </c>
      <c r="E389" s="12" t="s">
        <v>757</v>
      </c>
      <c r="F389" s="13">
        <v>24</v>
      </c>
      <c r="G389" s="22">
        <f>Overview!$B$23</f>
        <v>36</v>
      </c>
      <c r="H389" s="114">
        <f t="shared" si="109"/>
        <v>36</v>
      </c>
      <c r="I389" s="114">
        <f>Overview!$E$23</f>
        <v>0</v>
      </c>
      <c r="J389" s="115">
        <f t="shared" si="110"/>
        <v>0</v>
      </c>
      <c r="K389" s="116">
        <f>Overview!$H$23</f>
        <v>0</v>
      </c>
      <c r="L389" s="117" t="e">
        <f t="shared" si="111"/>
        <v>#DIV/0!</v>
      </c>
      <c r="M389" s="179" t="s">
        <v>3499</v>
      </c>
      <c r="N389" s="179" t="s">
        <v>3372</v>
      </c>
      <c r="O389" s="141">
        <f t="shared" si="112"/>
        <v>0</v>
      </c>
      <c r="P389" s="181" t="b">
        <f>COUNTIF('Facility Data'!$A$1:$A$1500,"*"&amp;A389&amp;"*")&gt;0</f>
        <v>0</v>
      </c>
      <c r="Q389" s="181" t="b">
        <f>COUNTIF('Account Data'!$A$1:$A$1000,"*"&amp;A389&amp;"*")&gt;0</f>
        <v>0</v>
      </c>
      <c r="R389" s="182" t="b">
        <f t="shared" si="113"/>
        <v>0</v>
      </c>
      <c r="S389" s="182" t="b">
        <f t="shared" si="114"/>
        <v>0</v>
      </c>
      <c r="T389" s="181" t="b">
        <f>COUNTIF('New Items'!$A$1:$A$175,A389)&gt;0</f>
        <v>0</v>
      </c>
      <c r="U389" s="181" t="b">
        <f>COUNTIF(Discontinued!$A$1:$A$150,A389)&gt;0</f>
        <v>0</v>
      </c>
    </row>
    <row r="390" spans="1:21" s="8" customFormat="1" ht="11.25" x14ac:dyDescent="0.2">
      <c r="A390" s="152">
        <v>10001123</v>
      </c>
      <c r="B390" s="10" t="s">
        <v>185</v>
      </c>
      <c r="C390" s="12" t="s">
        <v>186</v>
      </c>
      <c r="D390" s="11" t="s">
        <v>655</v>
      </c>
      <c r="E390" s="12" t="s">
        <v>757</v>
      </c>
      <c r="F390" s="13">
        <v>24</v>
      </c>
      <c r="G390" s="22">
        <f>Overview!$B$23</f>
        <v>36</v>
      </c>
      <c r="H390" s="114">
        <f t="shared" si="109"/>
        <v>36</v>
      </c>
      <c r="I390" s="114">
        <f>Overview!$E$23</f>
        <v>0</v>
      </c>
      <c r="J390" s="115">
        <f t="shared" si="110"/>
        <v>0</v>
      </c>
      <c r="K390" s="116">
        <f>Overview!$H$23</f>
        <v>0</v>
      </c>
      <c r="L390" s="117" t="e">
        <f t="shared" si="111"/>
        <v>#DIV/0!</v>
      </c>
      <c r="M390" s="179"/>
      <c r="N390" s="179" t="s">
        <v>3372</v>
      </c>
      <c r="O390" s="141">
        <f t="shared" si="112"/>
        <v>0</v>
      </c>
      <c r="P390" s="181" t="b">
        <f>COUNTIF('Facility Data'!$A$1:$A$1500,"*"&amp;A390&amp;"*")&gt;0</f>
        <v>1</v>
      </c>
      <c r="Q390" s="181" t="b">
        <f>COUNTIF('Account Data'!$A$1:$A$1000,"*"&amp;A390&amp;"*")&gt;0</f>
        <v>1</v>
      </c>
      <c r="R390" s="182" t="b">
        <f t="shared" si="113"/>
        <v>1</v>
      </c>
      <c r="S390" s="182" t="b">
        <f t="shared" si="114"/>
        <v>1</v>
      </c>
      <c r="T390" s="181" t="b">
        <f>COUNTIF('New Items'!$A$1:$A$175,A390)&gt;0</f>
        <v>0</v>
      </c>
      <c r="U390" s="181" t="b">
        <f>COUNTIF(Discontinued!$A$1:$A$150,A390)&gt;0</f>
        <v>0</v>
      </c>
    </row>
    <row r="391" spans="1:21" s="8" customFormat="1" ht="11.25" x14ac:dyDescent="0.2">
      <c r="A391" s="152">
        <v>10000041</v>
      </c>
      <c r="B391" s="10" t="s">
        <v>1297</v>
      </c>
      <c r="C391" s="12" t="s">
        <v>1298</v>
      </c>
      <c r="D391" s="11" t="s">
        <v>639</v>
      </c>
      <c r="E391" s="12" t="s">
        <v>757</v>
      </c>
      <c r="F391" s="13">
        <v>24</v>
      </c>
      <c r="G391" s="22">
        <f>Overview!$B$23</f>
        <v>36</v>
      </c>
      <c r="H391" s="114">
        <f t="shared" si="109"/>
        <v>36</v>
      </c>
      <c r="I391" s="114">
        <f>Overview!$E$23</f>
        <v>0</v>
      </c>
      <c r="J391" s="115">
        <f t="shared" si="110"/>
        <v>0</v>
      </c>
      <c r="K391" s="116">
        <f>Overview!$H$23</f>
        <v>0</v>
      </c>
      <c r="L391" s="117" t="e">
        <f t="shared" si="111"/>
        <v>#DIV/0!</v>
      </c>
      <c r="M391" s="179" t="s">
        <v>930</v>
      </c>
      <c r="N391" s="179" t="s">
        <v>3372</v>
      </c>
      <c r="O391" s="141">
        <f t="shared" si="112"/>
        <v>0</v>
      </c>
      <c r="P391" s="181" t="b">
        <f>COUNTIF('Facility Data'!$A$1:$A$1500,"*"&amp;A391&amp;"*")&gt;0</f>
        <v>0</v>
      </c>
      <c r="Q391" s="181" t="b">
        <f>COUNTIF('Account Data'!$A$1:$A$1000,"*"&amp;A391&amp;"*")&gt;0</f>
        <v>0</v>
      </c>
      <c r="R391" s="182" t="b">
        <f t="shared" si="113"/>
        <v>0</v>
      </c>
      <c r="S391" s="182" t="b">
        <f t="shared" si="114"/>
        <v>0</v>
      </c>
      <c r="T391" s="181" t="b">
        <f>COUNTIF('New Items'!$A$1:$A$175,A391)&gt;0</f>
        <v>0</v>
      </c>
      <c r="U391" s="181" t="b">
        <f>COUNTIF(Discontinued!$A$1:$A$150,A391)&gt;0</f>
        <v>0</v>
      </c>
    </row>
    <row r="392" spans="1:21" s="8" customFormat="1" ht="11.25" x14ac:dyDescent="0.2">
      <c r="A392" s="152">
        <v>10001111</v>
      </c>
      <c r="B392" s="10" t="s">
        <v>191</v>
      </c>
      <c r="C392" s="12" t="s">
        <v>192</v>
      </c>
      <c r="D392" s="11" t="s">
        <v>660</v>
      </c>
      <c r="E392" s="12" t="s">
        <v>757</v>
      </c>
      <c r="F392" s="13">
        <v>24</v>
      </c>
      <c r="G392" s="22">
        <f>Overview!$B$23</f>
        <v>36</v>
      </c>
      <c r="H392" s="114">
        <f t="shared" si="109"/>
        <v>36</v>
      </c>
      <c r="I392" s="114">
        <f>Overview!$E$23</f>
        <v>0</v>
      </c>
      <c r="J392" s="115">
        <f t="shared" si="110"/>
        <v>0</v>
      </c>
      <c r="K392" s="116">
        <f>Overview!$H$23</f>
        <v>0</v>
      </c>
      <c r="L392" s="117" t="e">
        <f t="shared" si="111"/>
        <v>#DIV/0!</v>
      </c>
      <c r="M392" s="179"/>
      <c r="N392" s="179" t="s">
        <v>3372</v>
      </c>
      <c r="O392" s="141">
        <f t="shared" si="112"/>
        <v>0</v>
      </c>
      <c r="P392" s="181" t="b">
        <f>COUNTIF('Facility Data'!$A$1:$A$1500,"*"&amp;A392&amp;"*")&gt;0</f>
        <v>1</v>
      </c>
      <c r="Q392" s="181" t="b">
        <f>COUNTIF('Account Data'!$A$1:$A$1000,"*"&amp;A392&amp;"*")&gt;0</f>
        <v>1</v>
      </c>
      <c r="R392" s="182" t="b">
        <f t="shared" si="113"/>
        <v>1</v>
      </c>
      <c r="S392" s="182" t="b">
        <f t="shared" si="114"/>
        <v>1</v>
      </c>
      <c r="T392" s="181" t="b">
        <f>COUNTIF('New Items'!$A$1:$A$175,A392)&gt;0</f>
        <v>0</v>
      </c>
      <c r="U392" s="181" t="b">
        <f>COUNTIF(Discontinued!$A$1:$A$150,A392)&gt;0</f>
        <v>0</v>
      </c>
    </row>
    <row r="393" spans="1:21" s="8" customFormat="1" ht="11.25" x14ac:dyDescent="0.2">
      <c r="A393" s="152">
        <v>10001124</v>
      </c>
      <c r="B393" s="10" t="s">
        <v>2996</v>
      </c>
      <c r="C393" s="12" t="s">
        <v>2997</v>
      </c>
      <c r="D393" s="11" t="s">
        <v>1697</v>
      </c>
      <c r="E393" s="12" t="s">
        <v>757</v>
      </c>
      <c r="F393" s="13">
        <v>24</v>
      </c>
      <c r="G393" s="22">
        <f>Overview!$B$23</f>
        <v>36</v>
      </c>
      <c r="H393" s="114">
        <f t="shared" si="109"/>
        <v>36</v>
      </c>
      <c r="I393" s="114">
        <f>Overview!$E$23</f>
        <v>0</v>
      </c>
      <c r="J393" s="115">
        <f t="shared" si="110"/>
        <v>0</v>
      </c>
      <c r="K393" s="116">
        <f>Overview!$H$23</f>
        <v>0</v>
      </c>
      <c r="L393" s="117" t="e">
        <f t="shared" si="111"/>
        <v>#DIV/0!</v>
      </c>
      <c r="M393" s="179" t="s">
        <v>944</v>
      </c>
      <c r="N393" s="179" t="s">
        <v>3372</v>
      </c>
      <c r="O393" s="141">
        <f t="shared" si="112"/>
        <v>0</v>
      </c>
      <c r="P393" s="181" t="b">
        <f>COUNTIF('Facility Data'!$A$1:$A$1500,"*"&amp;A393&amp;"*")&gt;0</f>
        <v>0</v>
      </c>
      <c r="Q393" s="181" t="b">
        <f>COUNTIF('Account Data'!$A$1:$A$1000,"*"&amp;A393&amp;"*")&gt;0</f>
        <v>0</v>
      </c>
      <c r="R393" s="182" t="b">
        <f t="shared" si="113"/>
        <v>0</v>
      </c>
      <c r="S393" s="182" t="b">
        <f t="shared" si="114"/>
        <v>0</v>
      </c>
      <c r="T393" s="181" t="b">
        <f>COUNTIF('New Items'!$A$1:$A$175,A393)&gt;0</f>
        <v>0</v>
      </c>
      <c r="U393" s="181" t="b">
        <f>COUNTIF(Discontinued!$A$1:$A$150,A393)&gt;0</f>
        <v>0</v>
      </c>
    </row>
    <row r="394" spans="1:21" s="8" customFormat="1" ht="11.25" x14ac:dyDescent="0.2">
      <c r="A394" s="152">
        <v>10001751</v>
      </c>
      <c r="B394" s="10" t="s">
        <v>163</v>
      </c>
      <c r="C394" s="12" t="s">
        <v>164</v>
      </c>
      <c r="D394" s="11" t="s">
        <v>648</v>
      </c>
      <c r="E394" s="12" t="s">
        <v>757</v>
      </c>
      <c r="F394" s="13">
        <v>24</v>
      </c>
      <c r="G394" s="22">
        <f>Overview!$B$23</f>
        <v>36</v>
      </c>
      <c r="H394" s="114">
        <f t="shared" si="109"/>
        <v>36</v>
      </c>
      <c r="I394" s="114">
        <f>Overview!$E$23</f>
        <v>0</v>
      </c>
      <c r="J394" s="115">
        <f t="shared" si="110"/>
        <v>0</v>
      </c>
      <c r="K394" s="116">
        <f>Overview!$H$23</f>
        <v>0</v>
      </c>
      <c r="L394" s="117" t="e">
        <f t="shared" si="111"/>
        <v>#DIV/0!</v>
      </c>
      <c r="M394" s="179"/>
      <c r="N394" s="179" t="s">
        <v>3372</v>
      </c>
      <c r="O394" s="141">
        <f t="shared" si="112"/>
        <v>0</v>
      </c>
      <c r="P394" s="181" t="b">
        <f>COUNTIF('Facility Data'!$A$1:$A$1500,"*"&amp;A394&amp;"*")&gt;0</f>
        <v>0</v>
      </c>
      <c r="Q394" s="181" t="b">
        <f>COUNTIF('Account Data'!$A$1:$A$1000,"*"&amp;A394&amp;"*")&gt;0</f>
        <v>1</v>
      </c>
      <c r="R394" s="182" t="b">
        <f t="shared" si="113"/>
        <v>0</v>
      </c>
      <c r="S394" s="182" t="b">
        <f t="shared" si="114"/>
        <v>1</v>
      </c>
      <c r="T394" s="181" t="b">
        <f>COUNTIF('New Items'!$A$1:$A$175,A394)&gt;0</f>
        <v>0</v>
      </c>
      <c r="U394" s="181" t="b">
        <f>COUNTIF(Discontinued!$A$1:$A$150,A394)&gt;0</f>
        <v>0</v>
      </c>
    </row>
    <row r="395" spans="1:21" s="8" customFormat="1" ht="11.25" x14ac:dyDescent="0.2">
      <c r="A395" s="152">
        <v>10001704</v>
      </c>
      <c r="B395" s="10" t="s">
        <v>171</v>
      </c>
      <c r="C395" s="12" t="s">
        <v>172</v>
      </c>
      <c r="D395" s="11" t="s">
        <v>635</v>
      </c>
      <c r="E395" s="12" t="s">
        <v>757</v>
      </c>
      <c r="F395" s="13">
        <v>24</v>
      </c>
      <c r="G395" s="22">
        <f>Overview!$B$23</f>
        <v>36</v>
      </c>
      <c r="H395" s="114">
        <f t="shared" si="109"/>
        <v>36</v>
      </c>
      <c r="I395" s="114">
        <f>Overview!$E$23</f>
        <v>0</v>
      </c>
      <c r="J395" s="115">
        <f t="shared" si="110"/>
        <v>0</v>
      </c>
      <c r="K395" s="116">
        <f>Overview!$H$23</f>
        <v>0</v>
      </c>
      <c r="L395" s="117" t="e">
        <f t="shared" si="111"/>
        <v>#DIV/0!</v>
      </c>
      <c r="M395" s="179"/>
      <c r="N395" s="179" t="s">
        <v>3372</v>
      </c>
      <c r="O395" s="141">
        <f t="shared" si="112"/>
        <v>0</v>
      </c>
      <c r="P395" s="181" t="b">
        <f>COUNTIF('Facility Data'!$A$1:$A$1500,"*"&amp;A395&amp;"*")&gt;0</f>
        <v>1</v>
      </c>
      <c r="Q395" s="181" t="b">
        <f>COUNTIF('Account Data'!$A$1:$A$1000,"*"&amp;A395&amp;"*")&gt;0</f>
        <v>1</v>
      </c>
      <c r="R395" s="182" t="b">
        <f t="shared" si="113"/>
        <v>1</v>
      </c>
      <c r="S395" s="182" t="b">
        <f t="shared" si="114"/>
        <v>1</v>
      </c>
      <c r="T395" s="181" t="b">
        <f>COUNTIF('New Items'!$A$1:$A$175,A395)&gt;0</f>
        <v>0</v>
      </c>
      <c r="U395" s="181" t="b">
        <f>COUNTIF(Discontinued!$A$1:$A$150,A395)&gt;0</f>
        <v>0</v>
      </c>
    </row>
    <row r="396" spans="1:21" s="8" customFormat="1" ht="11.25" x14ac:dyDescent="0.2">
      <c r="A396" s="152">
        <v>10087783</v>
      </c>
      <c r="B396" s="10" t="s">
        <v>173</v>
      </c>
      <c r="C396" s="12" t="s">
        <v>174</v>
      </c>
      <c r="D396" s="11" t="s">
        <v>651</v>
      </c>
      <c r="E396" s="12" t="s">
        <v>757</v>
      </c>
      <c r="F396" s="13">
        <v>24</v>
      </c>
      <c r="G396" s="22">
        <f>Overview!$B$23</f>
        <v>36</v>
      </c>
      <c r="H396" s="114">
        <f t="shared" si="109"/>
        <v>36</v>
      </c>
      <c r="I396" s="114">
        <f>Overview!$E$23</f>
        <v>0</v>
      </c>
      <c r="J396" s="115">
        <f t="shared" si="110"/>
        <v>0</v>
      </c>
      <c r="K396" s="116">
        <f>Overview!$H$23</f>
        <v>0</v>
      </c>
      <c r="L396" s="117" t="e">
        <f t="shared" si="111"/>
        <v>#DIV/0!</v>
      </c>
      <c r="M396" s="179" t="s">
        <v>4369</v>
      </c>
      <c r="N396" s="179" t="s">
        <v>3372</v>
      </c>
      <c r="O396" s="141">
        <f t="shared" si="112"/>
        <v>0</v>
      </c>
      <c r="P396" s="181" t="b">
        <f>COUNTIF('Facility Data'!$A$1:$A$1500,"*"&amp;A396&amp;"*")&gt;0</f>
        <v>0</v>
      </c>
      <c r="Q396" s="181" t="b">
        <f>COUNTIF('Account Data'!$A$1:$A$1000,"*"&amp;A396&amp;"*")&gt;0</f>
        <v>1</v>
      </c>
      <c r="R396" s="182" t="b">
        <f t="shared" si="113"/>
        <v>0</v>
      </c>
      <c r="S396" s="182" t="b">
        <f t="shared" si="114"/>
        <v>1</v>
      </c>
      <c r="T396" s="181" t="b">
        <f>COUNTIF('New Items'!$A$1:$A$175,A396)&gt;0</f>
        <v>0</v>
      </c>
      <c r="U396" s="181" t="b">
        <f>COUNTIF(Discontinued!$A$1:$A$150,A396)&gt;0</f>
        <v>0</v>
      </c>
    </row>
    <row r="397" spans="1:21" s="8" customFormat="1" ht="11.25" x14ac:dyDescent="0.2">
      <c r="A397" s="152">
        <v>10001130</v>
      </c>
      <c r="B397" s="10" t="s">
        <v>165</v>
      </c>
      <c r="C397" s="12" t="s">
        <v>166</v>
      </c>
      <c r="D397" s="11" t="s">
        <v>650</v>
      </c>
      <c r="E397" s="12" t="s">
        <v>757</v>
      </c>
      <c r="F397" s="13">
        <v>24</v>
      </c>
      <c r="G397" s="22">
        <f>Overview!$B$23</f>
        <v>36</v>
      </c>
      <c r="H397" s="114">
        <f t="shared" si="109"/>
        <v>36</v>
      </c>
      <c r="I397" s="114">
        <f>Overview!$E$23</f>
        <v>0</v>
      </c>
      <c r="J397" s="115">
        <f t="shared" si="110"/>
        <v>0</v>
      </c>
      <c r="K397" s="116">
        <f>Overview!$H$23</f>
        <v>0</v>
      </c>
      <c r="L397" s="117" t="e">
        <f t="shared" si="111"/>
        <v>#DIV/0!</v>
      </c>
      <c r="M397" s="179" t="s">
        <v>4369</v>
      </c>
      <c r="N397" s="179" t="s">
        <v>3372</v>
      </c>
      <c r="O397" s="141">
        <f t="shared" si="112"/>
        <v>0</v>
      </c>
      <c r="P397" s="181" t="b">
        <f>COUNTIF('Facility Data'!$A$1:$A$1500,"*"&amp;A397&amp;"*")&gt;0</f>
        <v>1</v>
      </c>
      <c r="Q397" s="181" t="b">
        <f>COUNTIF('Account Data'!$A$1:$A$1000,"*"&amp;A397&amp;"*")&gt;0</f>
        <v>1</v>
      </c>
      <c r="R397" s="182" t="b">
        <f t="shared" si="113"/>
        <v>1</v>
      </c>
      <c r="S397" s="182" t="b">
        <f t="shared" si="114"/>
        <v>1</v>
      </c>
      <c r="T397" s="181" t="b">
        <f>COUNTIF('New Items'!$A$1:$A$175,A397)&gt;0</f>
        <v>0</v>
      </c>
      <c r="U397" s="181" t="b">
        <f>COUNTIF(Discontinued!$A$1:$A$150,A397)&gt;0</f>
        <v>0</v>
      </c>
    </row>
    <row r="398" spans="1:21" s="8" customFormat="1" ht="11.25" x14ac:dyDescent="0.2">
      <c r="A398" s="152">
        <v>10001129</v>
      </c>
      <c r="B398" s="10" t="s">
        <v>4801</v>
      </c>
      <c r="C398" s="12" t="s">
        <v>168</v>
      </c>
      <c r="D398" s="11" t="s">
        <v>4755</v>
      </c>
      <c r="E398" s="12" t="s">
        <v>757</v>
      </c>
      <c r="F398" s="13">
        <v>24</v>
      </c>
      <c r="G398" s="22">
        <f>Overview!$B$23</f>
        <v>36</v>
      </c>
      <c r="H398" s="114">
        <f>G398-I398</f>
        <v>36</v>
      </c>
      <c r="I398" s="114">
        <f>Overview!$E$23</f>
        <v>0</v>
      </c>
      <c r="J398" s="115">
        <f>I398/F398</f>
        <v>0</v>
      </c>
      <c r="K398" s="116">
        <f>Overview!$H$23</f>
        <v>0</v>
      </c>
      <c r="L398" s="117" t="e">
        <f>(K398-J398)/K398</f>
        <v>#DIV/0!</v>
      </c>
      <c r="M398" s="179" t="s">
        <v>4369</v>
      </c>
      <c r="N398" s="179" t="s">
        <v>3372</v>
      </c>
      <c r="O398" s="141">
        <f>I398</f>
        <v>0</v>
      </c>
      <c r="P398" s="181" t="b">
        <f>COUNTIF('Facility Data'!$A$1:$A$1500,"*"&amp;A398&amp;"*")&gt;0</f>
        <v>1</v>
      </c>
      <c r="Q398" s="181" t="b">
        <f>COUNTIF('Account Data'!$A$1:$A$1000,"*"&amp;A398&amp;"*")&gt;0</f>
        <v>1</v>
      </c>
      <c r="R398" s="182" t="b">
        <f>IF(OR(P398=TRUE,T398=TRUE),TRUE,FALSE)</f>
        <v>1</v>
      </c>
      <c r="S398" s="182" t="b">
        <f>IF(OR(Q398=TRUE,T398=TRUE),TRUE,FALSE)</f>
        <v>1</v>
      </c>
      <c r="T398" s="181" t="b">
        <f>COUNTIF('New Items'!$A$1:$A$175,A398)&gt;0</f>
        <v>0</v>
      </c>
      <c r="U398" s="181" t="b">
        <f>COUNTIF(Discontinued!$A$1:$A$150,A398)&gt;0</f>
        <v>0</v>
      </c>
    </row>
    <row r="399" spans="1:21" s="8" customFormat="1" ht="11.25" x14ac:dyDescent="0.2">
      <c r="A399" s="152">
        <v>10000045</v>
      </c>
      <c r="B399" s="10" t="s">
        <v>1292</v>
      </c>
      <c r="C399" s="12" t="s">
        <v>1293</v>
      </c>
      <c r="D399" s="11" t="s">
        <v>1061</v>
      </c>
      <c r="E399" s="12" t="s">
        <v>757</v>
      </c>
      <c r="F399" s="13">
        <v>24</v>
      </c>
      <c r="G399" s="22">
        <f>Overview!$B$23</f>
        <v>36</v>
      </c>
      <c r="H399" s="114">
        <f t="shared" si="109"/>
        <v>36</v>
      </c>
      <c r="I399" s="114">
        <f>Overview!$E$23</f>
        <v>0</v>
      </c>
      <c r="J399" s="115">
        <f t="shared" si="110"/>
        <v>0</v>
      </c>
      <c r="K399" s="116">
        <f>Overview!$H$23</f>
        <v>0</v>
      </c>
      <c r="L399" s="117" t="e">
        <f t="shared" si="111"/>
        <v>#DIV/0!</v>
      </c>
      <c r="M399" s="179" t="s">
        <v>4369</v>
      </c>
      <c r="N399" s="179" t="s">
        <v>3372</v>
      </c>
      <c r="O399" s="141">
        <f t="shared" si="112"/>
        <v>0</v>
      </c>
      <c r="P399" s="181" t="b">
        <f>COUNTIF('Facility Data'!$A$1:$A$1500,"*"&amp;A399&amp;"*")&gt;0</f>
        <v>0</v>
      </c>
      <c r="Q399" s="181" t="b">
        <f>COUNTIF('Account Data'!$A$1:$A$1000,"*"&amp;A399&amp;"*")&gt;0</f>
        <v>0</v>
      </c>
      <c r="R399" s="182" t="b">
        <f t="shared" si="113"/>
        <v>0</v>
      </c>
      <c r="S399" s="182" t="b">
        <f t="shared" si="114"/>
        <v>0</v>
      </c>
      <c r="T399" s="181" t="b">
        <f>COUNTIF('New Items'!$A$1:$A$175,A399)&gt;0</f>
        <v>0</v>
      </c>
      <c r="U399" s="181" t="b">
        <f>COUNTIF(Discontinued!$A$1:$A$150,A399)&gt;0</f>
        <v>0</v>
      </c>
    </row>
    <row r="400" spans="1:21" s="8" customFormat="1" ht="11.25" x14ac:dyDescent="0.2">
      <c r="A400" s="152">
        <v>10087800</v>
      </c>
      <c r="B400" s="10" t="s">
        <v>1295</v>
      </c>
      <c r="C400" s="12" t="s">
        <v>1296</v>
      </c>
      <c r="D400" s="11" t="s">
        <v>1294</v>
      </c>
      <c r="E400" s="12" t="s">
        <v>757</v>
      </c>
      <c r="F400" s="13">
        <v>24</v>
      </c>
      <c r="G400" s="22">
        <f>Overview!$B$23</f>
        <v>36</v>
      </c>
      <c r="H400" s="114">
        <f t="shared" si="109"/>
        <v>36</v>
      </c>
      <c r="I400" s="114">
        <f>Overview!$E$23</f>
        <v>0</v>
      </c>
      <c r="J400" s="115">
        <f t="shared" si="110"/>
        <v>0</v>
      </c>
      <c r="K400" s="116">
        <f>Overview!$H$23</f>
        <v>0</v>
      </c>
      <c r="L400" s="117" t="e">
        <f t="shared" si="111"/>
        <v>#DIV/0!</v>
      </c>
      <c r="M400" s="179" t="s">
        <v>4369</v>
      </c>
      <c r="N400" s="179" t="s">
        <v>3372</v>
      </c>
      <c r="O400" s="141">
        <f t="shared" si="112"/>
        <v>0</v>
      </c>
      <c r="P400" s="181" t="b">
        <f>COUNTIF('Facility Data'!$A$1:$A$1500,"*"&amp;A400&amp;"*")&gt;0</f>
        <v>0</v>
      </c>
      <c r="Q400" s="181" t="b">
        <f>COUNTIF('Account Data'!$A$1:$A$1000,"*"&amp;A400&amp;"*")&gt;0</f>
        <v>0</v>
      </c>
      <c r="R400" s="182" t="b">
        <f t="shared" si="113"/>
        <v>0</v>
      </c>
      <c r="S400" s="182" t="b">
        <f t="shared" si="114"/>
        <v>0</v>
      </c>
      <c r="T400" s="181" t="b">
        <f>COUNTIF('New Items'!$A$1:$A$175,A400)&gt;0</f>
        <v>0</v>
      </c>
      <c r="U400" s="181" t="b">
        <f>COUNTIF(Discontinued!$A$1:$A$150,A400)&gt;0</f>
        <v>0</v>
      </c>
    </row>
    <row r="401" spans="1:21" s="8" customFormat="1" ht="11.25" x14ac:dyDescent="0.2">
      <c r="A401" s="152">
        <v>10001705</v>
      </c>
      <c r="B401" s="10" t="s">
        <v>169</v>
      </c>
      <c r="C401" s="12" t="s">
        <v>170</v>
      </c>
      <c r="D401" s="11" t="s">
        <v>634</v>
      </c>
      <c r="E401" s="12" t="s">
        <v>757</v>
      </c>
      <c r="F401" s="13">
        <v>24</v>
      </c>
      <c r="G401" s="22">
        <f>Overview!$B$23</f>
        <v>36</v>
      </c>
      <c r="H401" s="114">
        <f t="shared" si="109"/>
        <v>36</v>
      </c>
      <c r="I401" s="114">
        <f>Overview!$E$23</f>
        <v>0</v>
      </c>
      <c r="J401" s="115">
        <f t="shared" si="110"/>
        <v>0</v>
      </c>
      <c r="K401" s="116">
        <f>Overview!$H$23</f>
        <v>0</v>
      </c>
      <c r="L401" s="117" t="e">
        <f t="shared" si="111"/>
        <v>#DIV/0!</v>
      </c>
      <c r="M401" s="179" t="s">
        <v>4369</v>
      </c>
      <c r="N401" s="179" t="s">
        <v>3372</v>
      </c>
      <c r="O401" s="141">
        <f t="shared" si="112"/>
        <v>0</v>
      </c>
      <c r="P401" s="181" t="b">
        <f>COUNTIF('Facility Data'!$A$1:$A$1500,"*"&amp;A401&amp;"*")&gt;0</f>
        <v>1</v>
      </c>
      <c r="Q401" s="181" t="b">
        <f>COUNTIF('Account Data'!$A$1:$A$1000,"*"&amp;A401&amp;"*")&gt;0</f>
        <v>1</v>
      </c>
      <c r="R401" s="182" t="b">
        <f t="shared" si="113"/>
        <v>1</v>
      </c>
      <c r="S401" s="182" t="b">
        <f t="shared" si="114"/>
        <v>1</v>
      </c>
      <c r="T401" s="181" t="b">
        <f>COUNTIF('New Items'!$A$1:$A$175,A401)&gt;0</f>
        <v>0</v>
      </c>
      <c r="U401" s="181" t="b">
        <f>COUNTIF(Discontinued!$A$1:$A$150,A401)&gt;0</f>
        <v>0</v>
      </c>
    </row>
    <row r="402" spans="1:21" s="8" customFormat="1" ht="11.25" x14ac:dyDescent="0.2">
      <c r="A402" s="160">
        <v>10120687</v>
      </c>
      <c r="B402" s="231" t="s">
        <v>3794</v>
      </c>
      <c r="C402" s="118" t="s">
        <v>1060</v>
      </c>
      <c r="D402" s="119" t="s">
        <v>1054</v>
      </c>
      <c r="E402" s="118" t="s">
        <v>757</v>
      </c>
      <c r="F402" s="120">
        <v>24</v>
      </c>
      <c r="G402" s="121">
        <f>Overview!$B$23</f>
        <v>36</v>
      </c>
      <c r="H402" s="114">
        <f t="shared" si="109"/>
        <v>36</v>
      </c>
      <c r="I402" s="114">
        <f>Overview!$E$23</f>
        <v>0</v>
      </c>
      <c r="J402" s="115">
        <f t="shared" si="110"/>
        <v>0</v>
      </c>
      <c r="K402" s="116">
        <f>Overview!$H$23</f>
        <v>0</v>
      </c>
      <c r="L402" s="117" t="e">
        <f t="shared" si="111"/>
        <v>#DIV/0!</v>
      </c>
      <c r="M402" s="179" t="s">
        <v>4369</v>
      </c>
      <c r="N402" s="179" t="s">
        <v>3372</v>
      </c>
      <c r="O402" s="141">
        <f t="shared" si="112"/>
        <v>0</v>
      </c>
      <c r="P402" s="181" t="b">
        <f>COUNTIF('Facility Data'!$A$1:$A$1500,"*"&amp;A402&amp;"*")&gt;0</f>
        <v>1</v>
      </c>
      <c r="Q402" s="181" t="b">
        <f>COUNTIF('Account Data'!$A$1:$A$1000,"*"&amp;A402&amp;"*")&gt;0</f>
        <v>0</v>
      </c>
      <c r="R402" s="182" t="b">
        <f t="shared" si="113"/>
        <v>1</v>
      </c>
      <c r="S402" s="182" t="b">
        <f t="shared" si="114"/>
        <v>0</v>
      </c>
      <c r="T402" s="181" t="b">
        <f>COUNTIF('New Items'!$A$1:$A$175,A402)&gt;0</f>
        <v>0</v>
      </c>
      <c r="U402" s="181" t="b">
        <f>COUNTIF(Discontinued!$A$1:$A$150,A402)&gt;0</f>
        <v>0</v>
      </c>
    </row>
    <row r="403" spans="1:21" s="8" customFormat="1" ht="11.25" x14ac:dyDescent="0.2">
      <c r="A403" s="152">
        <v>10027683</v>
      </c>
      <c r="B403" s="10" t="s">
        <v>187</v>
      </c>
      <c r="C403" s="12" t="s">
        <v>188</v>
      </c>
      <c r="D403" s="11" t="s">
        <v>656</v>
      </c>
      <c r="E403" s="12" t="s">
        <v>757</v>
      </c>
      <c r="F403" s="13">
        <v>24</v>
      </c>
      <c r="G403" s="22">
        <f>Overview!$B$23</f>
        <v>36</v>
      </c>
      <c r="H403" s="114">
        <f t="shared" ref="H403" si="115">G403-I403</f>
        <v>36</v>
      </c>
      <c r="I403" s="114">
        <f>Overview!$E$23</f>
        <v>0</v>
      </c>
      <c r="J403" s="115">
        <f t="shared" ref="J403" si="116">I403/F403</f>
        <v>0</v>
      </c>
      <c r="K403" s="116">
        <f>Overview!$H$23</f>
        <v>0</v>
      </c>
      <c r="L403" s="117" t="e">
        <f t="shared" ref="L403" si="117">(K403-J403)/K403</f>
        <v>#DIV/0!</v>
      </c>
      <c r="M403" s="179" t="s">
        <v>952</v>
      </c>
      <c r="N403" s="179" t="s">
        <v>3372</v>
      </c>
      <c r="O403" s="141">
        <f t="shared" ref="O403" si="118">I403</f>
        <v>0</v>
      </c>
      <c r="P403" s="181" t="b">
        <f>COUNTIF('Facility Data'!$A$1:$A$1500,"*"&amp;A403&amp;"*")&gt;0</f>
        <v>0</v>
      </c>
      <c r="Q403" s="181" t="b">
        <f>COUNTIF('Account Data'!$A$1:$A$1000,"*"&amp;A403&amp;"*")&gt;0</f>
        <v>1</v>
      </c>
      <c r="R403" s="182" t="b">
        <f t="shared" ref="R403" si="119">IF(OR(P403=TRUE,T403=TRUE),TRUE,FALSE)</f>
        <v>0</v>
      </c>
      <c r="S403" s="182" t="b">
        <f t="shared" ref="S403" si="120">IF(OR(Q403=TRUE,T403=TRUE),TRUE,FALSE)</f>
        <v>1</v>
      </c>
      <c r="T403" s="181" t="b">
        <f>COUNTIF('New Items'!$A$1:$A$175,A403)&gt;0</f>
        <v>0</v>
      </c>
      <c r="U403" s="181" t="b">
        <f>COUNTIF(Discontinued!$A$1:$A$150,A403)&gt;0</f>
        <v>0</v>
      </c>
    </row>
    <row r="404" spans="1:21" s="8" customFormat="1" ht="11.25" x14ac:dyDescent="0.2">
      <c r="A404" s="152">
        <v>10001112</v>
      </c>
      <c r="B404" s="10" t="s">
        <v>2703</v>
      </c>
      <c r="C404" s="12" t="s">
        <v>2704</v>
      </c>
      <c r="D404" s="11" t="s">
        <v>4116</v>
      </c>
      <c r="E404" s="12" t="s">
        <v>757</v>
      </c>
      <c r="F404" s="13">
        <v>24</v>
      </c>
      <c r="G404" s="22">
        <f>Overview!$B$23</f>
        <v>36</v>
      </c>
      <c r="H404" s="114">
        <f t="shared" si="109"/>
        <v>36</v>
      </c>
      <c r="I404" s="114">
        <f>Overview!$E$23</f>
        <v>0</v>
      </c>
      <c r="J404" s="115">
        <f t="shared" si="110"/>
        <v>0</v>
      </c>
      <c r="K404" s="116">
        <f>Overview!$H$23</f>
        <v>0</v>
      </c>
      <c r="L404" s="117" t="e">
        <f t="shared" si="111"/>
        <v>#DIV/0!</v>
      </c>
      <c r="M404" s="179" t="s">
        <v>952</v>
      </c>
      <c r="N404" s="179" t="s">
        <v>3372</v>
      </c>
      <c r="O404" s="141">
        <f t="shared" si="112"/>
        <v>0</v>
      </c>
      <c r="P404" s="181" t="b">
        <f>COUNTIF('Facility Data'!$A$1:$A$1500,"*"&amp;A404&amp;"*")&gt;0</f>
        <v>0</v>
      </c>
      <c r="Q404" s="181" t="b">
        <f>COUNTIF('Account Data'!$A$1:$A$1000,"*"&amp;A404&amp;"*")&gt;0</f>
        <v>0</v>
      </c>
      <c r="R404" s="182" t="b">
        <f t="shared" si="113"/>
        <v>0</v>
      </c>
      <c r="S404" s="182" t="b">
        <f t="shared" si="114"/>
        <v>0</v>
      </c>
      <c r="T404" s="181" t="b">
        <f>COUNTIF('New Items'!$A$1:$A$175,A404)&gt;0</f>
        <v>0</v>
      </c>
      <c r="U404" s="181" t="b">
        <f>COUNTIF(Discontinued!$A$1:$A$150,A404)&gt;0</f>
        <v>0</v>
      </c>
    </row>
    <row r="405" spans="1:21" s="8" customFormat="1" ht="12" thickBot="1" x14ac:dyDescent="0.25">
      <c r="A405" s="152">
        <v>10001113</v>
      </c>
      <c r="B405" s="10" t="s">
        <v>4803</v>
      </c>
      <c r="C405" s="12" t="s">
        <v>2706</v>
      </c>
      <c r="D405" s="11" t="s">
        <v>4780</v>
      </c>
      <c r="E405" s="12" t="s">
        <v>757</v>
      </c>
      <c r="F405" s="13">
        <v>24</v>
      </c>
      <c r="G405" s="22">
        <f>Overview!$B$23</f>
        <v>36</v>
      </c>
      <c r="H405" s="114">
        <f t="shared" si="109"/>
        <v>36</v>
      </c>
      <c r="I405" s="114">
        <f>Overview!$E$23</f>
        <v>0</v>
      </c>
      <c r="J405" s="115">
        <f t="shared" si="110"/>
        <v>0</v>
      </c>
      <c r="K405" s="116">
        <f>Overview!$H$23</f>
        <v>0</v>
      </c>
      <c r="L405" s="117" t="e">
        <f t="shared" si="111"/>
        <v>#DIV/0!</v>
      </c>
      <c r="M405" s="179" t="s">
        <v>953</v>
      </c>
      <c r="N405" s="179" t="s">
        <v>3372</v>
      </c>
      <c r="O405" s="141">
        <f t="shared" si="112"/>
        <v>0</v>
      </c>
      <c r="P405" s="181" t="b">
        <f>COUNTIF('Facility Data'!$A$1:$A$1500,"*"&amp;A405&amp;"*")&gt;0</f>
        <v>0</v>
      </c>
      <c r="Q405" s="181" t="b">
        <f>COUNTIF('Account Data'!$A$1:$A$1000,"*"&amp;A405&amp;"*")&gt;0</f>
        <v>0</v>
      </c>
      <c r="R405" s="182" t="b">
        <f t="shared" si="113"/>
        <v>0</v>
      </c>
      <c r="S405" s="182" t="b">
        <f t="shared" si="114"/>
        <v>0</v>
      </c>
      <c r="T405" s="181" t="b">
        <f>COUNTIF('New Items'!$A$1:$A$175,A405)&gt;0</f>
        <v>0</v>
      </c>
      <c r="U405" s="181" t="b">
        <f>COUNTIF(Discontinued!$A$1:$A$150,A405)&gt;0</f>
        <v>0</v>
      </c>
    </row>
    <row r="406" spans="1:21" s="8" customFormat="1" ht="13.5" thickBot="1" x14ac:dyDescent="0.25">
      <c r="A406" s="300" t="s">
        <v>4089</v>
      </c>
      <c r="B406" s="301"/>
      <c r="C406" s="301"/>
      <c r="D406" s="301"/>
      <c r="E406" s="301"/>
      <c r="F406" s="301"/>
      <c r="G406" s="301"/>
      <c r="H406" s="301"/>
      <c r="I406" s="301"/>
      <c r="J406" s="301"/>
      <c r="K406" s="301"/>
      <c r="L406" s="302"/>
      <c r="M406" s="179"/>
      <c r="N406" s="179" t="s">
        <v>4114</v>
      </c>
      <c r="O406" s="141">
        <f>AVERAGE(O407:O428)</f>
        <v>0</v>
      </c>
      <c r="P406" s="181" t="b">
        <f>COUNTIF(P407:P428,TRUE)&gt;0</f>
        <v>0</v>
      </c>
      <c r="Q406" s="181" t="b">
        <f>COUNTIF(Q407:Q428,TRUE)&gt;0</f>
        <v>0</v>
      </c>
      <c r="R406" s="181" t="b">
        <f>COUNTIF(R407:R428,TRUE)&gt;0</f>
        <v>0</v>
      </c>
      <c r="S406" s="181" t="b">
        <f>COUNTIF(S407:S428,TRUE)&gt;0</f>
        <v>0</v>
      </c>
      <c r="T406" s="181" t="b">
        <f>COUNTIF(T407:T428,TRUE)&gt;0</f>
        <v>0</v>
      </c>
      <c r="U406" s="249"/>
    </row>
    <row r="407" spans="1:21" s="8" customFormat="1" ht="11.25" x14ac:dyDescent="0.2">
      <c r="A407" s="152">
        <v>10001854</v>
      </c>
      <c r="B407" s="10" t="s">
        <v>2729</v>
      </c>
      <c r="C407" s="12" t="s">
        <v>4091</v>
      </c>
      <c r="D407" s="11" t="s">
        <v>643</v>
      </c>
      <c r="E407" s="12" t="s">
        <v>757</v>
      </c>
      <c r="F407" s="13">
        <v>24</v>
      </c>
      <c r="G407" s="22">
        <f>Overview!$B$24</f>
        <v>36</v>
      </c>
      <c r="H407" s="114">
        <f>G407-I407</f>
        <v>36</v>
      </c>
      <c r="I407" s="114">
        <f>Overview!$E$24</f>
        <v>0</v>
      </c>
      <c r="J407" s="115">
        <f>I407/F407</f>
        <v>0</v>
      </c>
      <c r="K407" s="116">
        <f>Overview!$H$24</f>
        <v>0</v>
      </c>
      <c r="L407" s="117" t="e">
        <f>(K407-J407)/K407</f>
        <v>#DIV/0!</v>
      </c>
      <c r="M407" s="179"/>
      <c r="N407" s="179" t="s">
        <v>4114</v>
      </c>
      <c r="O407" s="141">
        <f>I407</f>
        <v>0</v>
      </c>
      <c r="P407" s="181" t="b">
        <f>COUNTIF('Facility Data'!$A$1:$A$1500,"*"&amp;A407&amp;"*")&gt;0</f>
        <v>0</v>
      </c>
      <c r="Q407" s="181" t="b">
        <f>COUNTIF('Account Data'!$A$1:$A$1000,"*"&amp;A407&amp;"*")&gt;0</f>
        <v>0</v>
      </c>
      <c r="R407" s="182" t="b">
        <f t="shared" ref="R407:R428" si="121">IF(OR(P407=TRUE,T407=TRUE),TRUE,FALSE)</f>
        <v>0</v>
      </c>
      <c r="S407" s="182" t="b">
        <f>IF(OR(Q407=TRUE,T407=TRUE),TRUE,FALSE)</f>
        <v>0</v>
      </c>
      <c r="T407" s="181" t="b">
        <f>COUNTIF('New Items'!$A$1:$A$175,A407)&gt;0</f>
        <v>0</v>
      </c>
      <c r="U407" s="181" t="b">
        <f>COUNTIF(Discontinued!$A$1:$A$150,A407)&gt;0</f>
        <v>0</v>
      </c>
    </row>
    <row r="408" spans="1:21" s="8" customFormat="1" ht="11.25" x14ac:dyDescent="0.2">
      <c r="A408" s="152">
        <v>10001858</v>
      </c>
      <c r="B408" s="10" t="s">
        <v>4805</v>
      </c>
      <c r="C408" s="12" t="s">
        <v>4092</v>
      </c>
      <c r="D408" s="11" t="s">
        <v>4733</v>
      </c>
      <c r="E408" s="12" t="s">
        <v>757</v>
      </c>
      <c r="F408" s="13">
        <v>24</v>
      </c>
      <c r="G408" s="22">
        <f>Overview!$B$24</f>
        <v>36</v>
      </c>
      <c r="H408" s="114">
        <f>G408-I408</f>
        <v>36</v>
      </c>
      <c r="I408" s="114">
        <f>Overview!$E$24</f>
        <v>0</v>
      </c>
      <c r="J408" s="115">
        <f>I408/F408</f>
        <v>0</v>
      </c>
      <c r="K408" s="116">
        <f>Overview!$H$24</f>
        <v>0</v>
      </c>
      <c r="L408" s="117" t="e">
        <f>(K408-J408)/K408</f>
        <v>#DIV/0!</v>
      </c>
      <c r="M408" s="179"/>
      <c r="N408" s="179" t="s">
        <v>4114</v>
      </c>
      <c r="O408" s="141">
        <f>I408</f>
        <v>0</v>
      </c>
      <c r="P408" s="181" t="b">
        <f>COUNTIF('Facility Data'!$A$1:$A$1500,"*"&amp;A408&amp;"*")&gt;0</f>
        <v>0</v>
      </c>
      <c r="Q408" s="181" t="b">
        <f>COUNTIF('Account Data'!$A$1:$A$1000,"*"&amp;A408&amp;"*")&gt;0</f>
        <v>0</v>
      </c>
      <c r="R408" s="182" t="b">
        <f>IF(OR(P408=TRUE,T408=TRUE),TRUE,FALSE)</f>
        <v>0</v>
      </c>
      <c r="S408" s="182" t="b">
        <f>IF(OR(Q408=TRUE,T408=TRUE),TRUE,FALSE)</f>
        <v>0</v>
      </c>
      <c r="T408" s="181" t="b">
        <f>COUNTIF('New Items'!$A$1:$A$175,A408)&gt;0</f>
        <v>0</v>
      </c>
      <c r="U408" s="181" t="b">
        <f>COUNTIF(Discontinued!$A$1:$A$150,A408)&gt;0</f>
        <v>0</v>
      </c>
    </row>
    <row r="409" spans="1:21" s="8" customFormat="1" ht="11.25" x14ac:dyDescent="0.2">
      <c r="A409" s="152">
        <v>10001880</v>
      </c>
      <c r="B409" s="10" t="s">
        <v>2734</v>
      </c>
      <c r="C409" s="12" t="s">
        <v>4096</v>
      </c>
      <c r="D409" s="11" t="s">
        <v>646</v>
      </c>
      <c r="E409" s="12" t="s">
        <v>757</v>
      </c>
      <c r="F409" s="13">
        <v>24</v>
      </c>
      <c r="G409" s="22">
        <f>Overview!$B$24</f>
        <v>36</v>
      </c>
      <c r="H409" s="114">
        <f t="shared" ref="H409:H416" si="122">G409-I409</f>
        <v>36</v>
      </c>
      <c r="I409" s="114">
        <f>Overview!$E$24</f>
        <v>0</v>
      </c>
      <c r="J409" s="115">
        <f t="shared" ref="J409:J416" si="123">I409/F409</f>
        <v>0</v>
      </c>
      <c r="K409" s="116">
        <f>Overview!$H$24</f>
        <v>0</v>
      </c>
      <c r="L409" s="117" t="e">
        <f t="shared" ref="L409:L416" si="124">(K409-J409)/K409</f>
        <v>#DIV/0!</v>
      </c>
      <c r="M409" s="179" t="s">
        <v>4406</v>
      </c>
      <c r="N409" s="179" t="s">
        <v>4114</v>
      </c>
      <c r="O409" s="141">
        <f t="shared" ref="O409:O416" si="125">I409</f>
        <v>0</v>
      </c>
      <c r="P409" s="181" t="b">
        <f>COUNTIF('Facility Data'!$A$1:$A$1500,"*"&amp;A409&amp;"*")&gt;0</f>
        <v>0</v>
      </c>
      <c r="Q409" s="181" t="b">
        <f>COUNTIF('Account Data'!$A$1:$A$1000,"*"&amp;A409&amp;"*")&gt;0</f>
        <v>0</v>
      </c>
      <c r="R409" s="182" t="b">
        <f t="shared" si="121"/>
        <v>0</v>
      </c>
      <c r="S409" s="182" t="b">
        <f t="shared" ref="S409:S416" si="126">IF(OR(Q409=TRUE,T409=TRUE),TRUE,FALSE)</f>
        <v>0</v>
      </c>
      <c r="T409" s="181" t="b">
        <f>COUNTIF('New Items'!$A$1:$A$175,A409)&gt;0</f>
        <v>0</v>
      </c>
      <c r="U409" s="181" t="b">
        <f>COUNTIF(Discontinued!$A$1:$A$150,A409)&gt;0</f>
        <v>0</v>
      </c>
    </row>
    <row r="410" spans="1:21" s="8" customFormat="1" ht="11.25" x14ac:dyDescent="0.2">
      <c r="A410" s="152">
        <v>10001881</v>
      </c>
      <c r="B410" s="10" t="s">
        <v>2732</v>
      </c>
      <c r="C410" s="12" t="s">
        <v>4094</v>
      </c>
      <c r="D410" s="11" t="s">
        <v>645</v>
      </c>
      <c r="E410" s="12" t="s">
        <v>757</v>
      </c>
      <c r="F410" s="13">
        <v>24</v>
      </c>
      <c r="G410" s="22">
        <f>Overview!$B$24</f>
        <v>36</v>
      </c>
      <c r="H410" s="114">
        <f t="shared" si="122"/>
        <v>36</v>
      </c>
      <c r="I410" s="114">
        <f>Overview!$E$24</f>
        <v>0</v>
      </c>
      <c r="J410" s="115">
        <f t="shared" si="123"/>
        <v>0</v>
      </c>
      <c r="K410" s="116">
        <f>Overview!$H$24</f>
        <v>0</v>
      </c>
      <c r="L410" s="117" t="e">
        <f t="shared" si="124"/>
        <v>#DIV/0!</v>
      </c>
      <c r="M410" s="179" t="s">
        <v>4406</v>
      </c>
      <c r="N410" s="179" t="s">
        <v>4114</v>
      </c>
      <c r="O410" s="141">
        <f t="shared" si="125"/>
        <v>0</v>
      </c>
      <c r="P410" s="181" t="b">
        <f>COUNTIF('Facility Data'!$A$1:$A$1500,"*"&amp;A410&amp;"*")&gt;0</f>
        <v>0</v>
      </c>
      <c r="Q410" s="181" t="b">
        <f>COUNTIF('Account Data'!$A$1:$A$1000,"*"&amp;A410&amp;"*")&gt;0</f>
        <v>0</v>
      </c>
      <c r="R410" s="182" t="b">
        <f t="shared" si="121"/>
        <v>0</v>
      </c>
      <c r="S410" s="182" t="b">
        <f t="shared" si="126"/>
        <v>0</v>
      </c>
      <c r="T410" s="181" t="b">
        <f>COUNTIF('New Items'!$A$1:$A$175,A410)&gt;0</f>
        <v>0</v>
      </c>
      <c r="U410" s="181" t="b">
        <f>COUNTIF(Discontinued!$A$1:$A$150,A410)&gt;0</f>
        <v>0</v>
      </c>
    </row>
    <row r="411" spans="1:21" s="8" customFormat="1" ht="11.25" x14ac:dyDescent="0.2">
      <c r="A411" s="152">
        <v>10001882</v>
      </c>
      <c r="B411" s="10" t="s">
        <v>4806</v>
      </c>
      <c r="C411" s="12" t="s">
        <v>4095</v>
      </c>
      <c r="D411" s="11" t="s">
        <v>4735</v>
      </c>
      <c r="E411" s="12" t="s">
        <v>757</v>
      </c>
      <c r="F411" s="13">
        <v>24</v>
      </c>
      <c r="G411" s="22">
        <f>Overview!$B$24</f>
        <v>36</v>
      </c>
      <c r="H411" s="114">
        <f>G411-I411</f>
        <v>36</v>
      </c>
      <c r="I411" s="114">
        <f>Overview!$E$24</f>
        <v>0</v>
      </c>
      <c r="J411" s="115">
        <f>I411/F411</f>
        <v>0</v>
      </c>
      <c r="K411" s="116">
        <f>Overview!$H$24</f>
        <v>0</v>
      </c>
      <c r="L411" s="117" t="e">
        <f>(K411-J411)/K411</f>
        <v>#DIV/0!</v>
      </c>
      <c r="M411" s="179" t="s">
        <v>4406</v>
      </c>
      <c r="N411" s="179" t="s">
        <v>4114</v>
      </c>
      <c r="O411" s="141">
        <f>I411</f>
        <v>0</v>
      </c>
      <c r="P411" s="181" t="b">
        <f>COUNTIF('Facility Data'!$A$1:$A$1500,"*"&amp;A411&amp;"*")&gt;0</f>
        <v>0</v>
      </c>
      <c r="Q411" s="181" t="b">
        <f>COUNTIF('Account Data'!$A$1:$A$1000,"*"&amp;A411&amp;"*")&gt;0</f>
        <v>0</v>
      </c>
      <c r="R411" s="182" t="b">
        <f>IF(OR(P411=TRUE,T411=TRUE),TRUE,FALSE)</f>
        <v>0</v>
      </c>
      <c r="S411" s="182" t="b">
        <f>IF(OR(Q411=TRUE,T411=TRUE),TRUE,FALSE)</f>
        <v>0</v>
      </c>
      <c r="T411" s="181" t="b">
        <f>COUNTIF('New Items'!$A$1:$A$175,A411)&gt;0</f>
        <v>0</v>
      </c>
      <c r="U411" s="181" t="b">
        <f>COUNTIF(Discontinued!$A$1:$A$150,A411)&gt;0</f>
        <v>0</v>
      </c>
    </row>
    <row r="412" spans="1:21" s="8" customFormat="1" ht="11.25" x14ac:dyDescent="0.2">
      <c r="A412" s="152">
        <v>10003275</v>
      </c>
      <c r="B412" s="10" t="s">
        <v>2748</v>
      </c>
      <c r="C412" s="12" t="s">
        <v>4110</v>
      </c>
      <c r="D412" s="11" t="s">
        <v>1299</v>
      </c>
      <c r="E412" s="12" t="s">
        <v>757</v>
      </c>
      <c r="F412" s="13">
        <v>24</v>
      </c>
      <c r="G412" s="22">
        <f>Overview!$B$24</f>
        <v>36</v>
      </c>
      <c r="H412" s="114">
        <f t="shared" si="122"/>
        <v>36</v>
      </c>
      <c r="I412" s="114">
        <f>Overview!$E$24</f>
        <v>0</v>
      </c>
      <c r="J412" s="115">
        <f t="shared" si="123"/>
        <v>0</v>
      </c>
      <c r="K412" s="116">
        <f>Overview!$H$24</f>
        <v>0</v>
      </c>
      <c r="L412" s="117" t="e">
        <f t="shared" si="124"/>
        <v>#DIV/0!</v>
      </c>
      <c r="M412" s="179"/>
      <c r="N412" s="179" t="s">
        <v>4114</v>
      </c>
      <c r="O412" s="141">
        <f t="shared" si="125"/>
        <v>0</v>
      </c>
      <c r="P412" s="181" t="b">
        <f>COUNTIF('Facility Data'!$A$1:$A$1500,"*"&amp;A412&amp;"*")&gt;0</f>
        <v>0</v>
      </c>
      <c r="Q412" s="181" t="b">
        <f>COUNTIF('Account Data'!$A$1:$A$1000,"*"&amp;A412&amp;"*")&gt;0</f>
        <v>0</v>
      </c>
      <c r="R412" s="182" t="b">
        <f t="shared" si="121"/>
        <v>0</v>
      </c>
      <c r="S412" s="182" t="b">
        <f t="shared" si="126"/>
        <v>0</v>
      </c>
      <c r="T412" s="181" t="b">
        <f>COUNTIF('New Items'!$A$1:$A$175,A412)&gt;0</f>
        <v>0</v>
      </c>
      <c r="U412" s="181" t="b">
        <f>COUNTIF(Discontinued!$A$1:$A$150,A412)&gt;0</f>
        <v>0</v>
      </c>
    </row>
    <row r="413" spans="1:21" s="8" customFormat="1" ht="11.25" x14ac:dyDescent="0.2">
      <c r="A413" s="152">
        <v>10029260</v>
      </c>
      <c r="B413" s="10" t="s">
        <v>2747</v>
      </c>
      <c r="C413" s="12" t="s">
        <v>4109</v>
      </c>
      <c r="D413" s="11" t="s">
        <v>640</v>
      </c>
      <c r="E413" s="12" t="s">
        <v>757</v>
      </c>
      <c r="F413" s="13">
        <v>24</v>
      </c>
      <c r="G413" s="22">
        <f>Overview!$B$24</f>
        <v>36</v>
      </c>
      <c r="H413" s="114">
        <f t="shared" si="122"/>
        <v>36</v>
      </c>
      <c r="I413" s="114">
        <f>Overview!$E$24</f>
        <v>0</v>
      </c>
      <c r="J413" s="115">
        <f t="shared" si="123"/>
        <v>0</v>
      </c>
      <c r="K413" s="116">
        <f>Overview!$H$24</f>
        <v>0</v>
      </c>
      <c r="L413" s="117" t="e">
        <f t="shared" si="124"/>
        <v>#DIV/0!</v>
      </c>
      <c r="M413" s="179"/>
      <c r="N413" s="179" t="s">
        <v>4114</v>
      </c>
      <c r="O413" s="141">
        <f t="shared" si="125"/>
        <v>0</v>
      </c>
      <c r="P413" s="181" t="b">
        <f>COUNTIF('Facility Data'!$A$1:$A$1500,"*"&amp;A413&amp;"*")&gt;0</f>
        <v>0</v>
      </c>
      <c r="Q413" s="181" t="b">
        <f>COUNTIF('Account Data'!$A$1:$A$1000,"*"&amp;A413&amp;"*")&gt;0</f>
        <v>0</v>
      </c>
      <c r="R413" s="182" t="b">
        <f t="shared" si="121"/>
        <v>0</v>
      </c>
      <c r="S413" s="182" t="b">
        <f t="shared" si="126"/>
        <v>0</v>
      </c>
      <c r="T413" s="181" t="b">
        <f>COUNTIF('New Items'!$A$1:$A$175,A413)&gt;0</f>
        <v>0</v>
      </c>
      <c r="U413" s="181" t="b">
        <f>COUNTIF(Discontinued!$A$1:$A$150,A413)&gt;0</f>
        <v>0</v>
      </c>
    </row>
    <row r="414" spans="1:21" s="8" customFormat="1" ht="11.25" x14ac:dyDescent="0.2">
      <c r="A414" s="152">
        <v>10011971</v>
      </c>
      <c r="B414" s="10" t="s">
        <v>2746</v>
      </c>
      <c r="C414" s="12" t="s">
        <v>4108</v>
      </c>
      <c r="D414" s="11" t="s">
        <v>1572</v>
      </c>
      <c r="E414" s="12" t="s">
        <v>757</v>
      </c>
      <c r="F414" s="13">
        <v>24</v>
      </c>
      <c r="G414" s="22">
        <f>Overview!$B$24</f>
        <v>36</v>
      </c>
      <c r="H414" s="114">
        <f t="shared" si="122"/>
        <v>36</v>
      </c>
      <c r="I414" s="114">
        <f>Overview!$E$24</f>
        <v>0</v>
      </c>
      <c r="J414" s="115">
        <f t="shared" si="123"/>
        <v>0</v>
      </c>
      <c r="K414" s="116">
        <f>Overview!$H$24</f>
        <v>0</v>
      </c>
      <c r="L414" s="117" t="e">
        <f t="shared" si="124"/>
        <v>#DIV/0!</v>
      </c>
      <c r="M414" s="179" t="s">
        <v>2421</v>
      </c>
      <c r="N414" s="179" t="s">
        <v>4114</v>
      </c>
      <c r="O414" s="141">
        <f t="shared" si="125"/>
        <v>0</v>
      </c>
      <c r="P414" s="181" t="b">
        <f>COUNTIF('Facility Data'!$A$1:$A$1500,"*"&amp;A414&amp;"*")&gt;0</f>
        <v>0</v>
      </c>
      <c r="Q414" s="181" t="b">
        <f>COUNTIF('Account Data'!$A$1:$A$1000,"*"&amp;A414&amp;"*")&gt;0</f>
        <v>0</v>
      </c>
      <c r="R414" s="182" t="b">
        <f t="shared" si="121"/>
        <v>0</v>
      </c>
      <c r="S414" s="182" t="b">
        <f t="shared" si="126"/>
        <v>0</v>
      </c>
      <c r="T414" s="181" t="b">
        <f>COUNTIF('New Items'!$A$1:$A$175,A414)&gt;0</f>
        <v>0</v>
      </c>
      <c r="U414" s="181" t="b">
        <f>COUNTIF(Discontinued!$A$1:$A$150,A414)&gt;0</f>
        <v>0</v>
      </c>
    </row>
    <row r="415" spans="1:21" s="8" customFormat="1" ht="11.25" x14ac:dyDescent="0.2">
      <c r="A415" s="152">
        <v>10001887</v>
      </c>
      <c r="B415" s="10" t="s">
        <v>2741</v>
      </c>
      <c r="C415" s="12" t="s">
        <v>4103</v>
      </c>
      <c r="D415" s="11" t="s">
        <v>652</v>
      </c>
      <c r="E415" s="12" t="s">
        <v>757</v>
      </c>
      <c r="F415" s="13">
        <v>24</v>
      </c>
      <c r="G415" s="22">
        <f>Overview!$B$24</f>
        <v>36</v>
      </c>
      <c r="H415" s="114">
        <f t="shared" si="122"/>
        <v>36</v>
      </c>
      <c r="I415" s="114">
        <f>Overview!$E$24</f>
        <v>0</v>
      </c>
      <c r="J415" s="115">
        <f t="shared" si="123"/>
        <v>0</v>
      </c>
      <c r="K415" s="116">
        <f>Overview!$H$24</f>
        <v>0</v>
      </c>
      <c r="L415" s="117" t="e">
        <f t="shared" si="124"/>
        <v>#DIV/0!</v>
      </c>
      <c r="M415" s="179" t="s">
        <v>2422</v>
      </c>
      <c r="N415" s="179" t="s">
        <v>4114</v>
      </c>
      <c r="O415" s="141">
        <f t="shared" si="125"/>
        <v>0</v>
      </c>
      <c r="P415" s="181" t="b">
        <f>COUNTIF('Facility Data'!$A$1:$A$1500,"*"&amp;A415&amp;"*")&gt;0</f>
        <v>0</v>
      </c>
      <c r="Q415" s="181" t="b">
        <f>COUNTIF('Account Data'!$A$1:$A$1000,"*"&amp;A415&amp;"*")&gt;0</f>
        <v>0</v>
      </c>
      <c r="R415" s="182" t="b">
        <f t="shared" si="121"/>
        <v>0</v>
      </c>
      <c r="S415" s="182" t="b">
        <f t="shared" si="126"/>
        <v>0</v>
      </c>
      <c r="T415" s="181" t="b">
        <f>COUNTIF('New Items'!$A$1:$A$175,A415)&gt;0</f>
        <v>0</v>
      </c>
      <c r="U415" s="181" t="b">
        <f>COUNTIF(Discontinued!$A$1:$A$150,A415)&gt;0</f>
        <v>0</v>
      </c>
    </row>
    <row r="416" spans="1:21" s="8" customFormat="1" ht="11.25" x14ac:dyDescent="0.2">
      <c r="A416" s="152">
        <v>10001855</v>
      </c>
      <c r="B416" s="10" t="s">
        <v>2731</v>
      </c>
      <c r="C416" s="12" t="s">
        <v>4093</v>
      </c>
      <c r="D416" s="11" t="s">
        <v>633</v>
      </c>
      <c r="E416" s="12" t="s">
        <v>757</v>
      </c>
      <c r="F416" s="13">
        <v>24</v>
      </c>
      <c r="G416" s="22">
        <f>Overview!$B$24</f>
        <v>36</v>
      </c>
      <c r="H416" s="114">
        <f t="shared" si="122"/>
        <v>36</v>
      </c>
      <c r="I416" s="114">
        <f>Overview!$E$24</f>
        <v>0</v>
      </c>
      <c r="J416" s="115">
        <f t="shared" si="123"/>
        <v>0</v>
      </c>
      <c r="K416" s="116">
        <f>Overview!$H$24</f>
        <v>0</v>
      </c>
      <c r="L416" s="117" t="e">
        <f t="shared" si="124"/>
        <v>#DIV/0!</v>
      </c>
      <c r="M416" s="179"/>
      <c r="N416" s="179" t="s">
        <v>4114</v>
      </c>
      <c r="O416" s="141">
        <f t="shared" si="125"/>
        <v>0</v>
      </c>
      <c r="P416" s="181" t="b">
        <f>COUNTIF('Facility Data'!$A$1:$A$1500,"*"&amp;A416&amp;"*")&gt;0</f>
        <v>0</v>
      </c>
      <c r="Q416" s="181" t="b">
        <f>COUNTIF('Account Data'!$A$1:$A$1000,"*"&amp;A416&amp;"*")&gt;0</f>
        <v>0</v>
      </c>
      <c r="R416" s="182" t="b">
        <f t="shared" si="121"/>
        <v>0</v>
      </c>
      <c r="S416" s="182" t="b">
        <f t="shared" si="126"/>
        <v>0</v>
      </c>
      <c r="T416" s="181" t="b">
        <f>COUNTIF('New Items'!$A$1:$A$175,A416)&gt;0</f>
        <v>0</v>
      </c>
      <c r="U416" s="181" t="b">
        <f>COUNTIF(Discontinued!$A$1:$A$150,A416)&gt;0</f>
        <v>0</v>
      </c>
    </row>
    <row r="417" spans="1:21" s="8" customFormat="1" ht="11.25" x14ac:dyDescent="0.2">
      <c r="A417" s="152">
        <v>10001889</v>
      </c>
      <c r="B417" s="10" t="s">
        <v>2744</v>
      </c>
      <c r="C417" s="12" t="s">
        <v>4106</v>
      </c>
      <c r="D417" s="11" t="s">
        <v>655</v>
      </c>
      <c r="E417" s="12" t="s">
        <v>757</v>
      </c>
      <c r="F417" s="13">
        <v>24</v>
      </c>
      <c r="G417" s="22">
        <f>Overview!$B$24</f>
        <v>36</v>
      </c>
      <c r="H417" s="114">
        <f t="shared" ref="H417:H428" si="127">G417-I417</f>
        <v>36</v>
      </c>
      <c r="I417" s="114">
        <f>Overview!$E$24</f>
        <v>0</v>
      </c>
      <c r="J417" s="115">
        <f t="shared" ref="J417:J428" si="128">I417/F417</f>
        <v>0</v>
      </c>
      <c r="K417" s="116">
        <f>Overview!$H$24</f>
        <v>0</v>
      </c>
      <c r="L417" s="117" t="e">
        <f t="shared" ref="L417:L428" si="129">(K417-J417)/K417</f>
        <v>#DIV/0!</v>
      </c>
      <c r="M417" s="179" t="s">
        <v>921</v>
      </c>
      <c r="N417" s="179" t="s">
        <v>4114</v>
      </c>
      <c r="O417" s="141">
        <f t="shared" ref="O417:O428" si="130">I417</f>
        <v>0</v>
      </c>
      <c r="P417" s="181" t="b">
        <f>COUNTIF('Facility Data'!$A$1:$A$1500,"*"&amp;A417&amp;"*")&gt;0</f>
        <v>0</v>
      </c>
      <c r="Q417" s="181" t="b">
        <f>COUNTIF('Account Data'!$A$1:$A$1000,"*"&amp;A417&amp;"*")&gt;0</f>
        <v>0</v>
      </c>
      <c r="R417" s="182" t="b">
        <f t="shared" si="121"/>
        <v>0</v>
      </c>
      <c r="S417" s="182" t="b">
        <f t="shared" ref="S417:S428" si="131">IF(OR(Q417=TRUE,T417=TRUE),TRUE,FALSE)</f>
        <v>0</v>
      </c>
      <c r="T417" s="181" t="b">
        <f>COUNTIF('New Items'!$A$1:$A$175,A417)&gt;0</f>
        <v>0</v>
      </c>
      <c r="U417" s="181" t="b">
        <f>COUNTIF(Discontinued!$A$1:$A$150,A417)&gt;0</f>
        <v>0</v>
      </c>
    </row>
    <row r="418" spans="1:21" s="8" customFormat="1" ht="11.25" x14ac:dyDescent="0.2">
      <c r="A418" s="152">
        <v>10029261</v>
      </c>
      <c r="B418" s="10" t="s">
        <v>2749</v>
      </c>
      <c r="C418" s="12" t="s">
        <v>4111</v>
      </c>
      <c r="D418" s="11" t="s">
        <v>660</v>
      </c>
      <c r="E418" s="12" t="s">
        <v>757</v>
      </c>
      <c r="F418" s="13">
        <v>24</v>
      </c>
      <c r="G418" s="22">
        <f>Overview!$B$24</f>
        <v>36</v>
      </c>
      <c r="H418" s="114">
        <f t="shared" si="127"/>
        <v>36</v>
      </c>
      <c r="I418" s="114">
        <f>Overview!$E$24</f>
        <v>0</v>
      </c>
      <c r="J418" s="115">
        <f t="shared" si="128"/>
        <v>0</v>
      </c>
      <c r="K418" s="116">
        <f>Overview!$H$24</f>
        <v>0</v>
      </c>
      <c r="L418" s="117" t="e">
        <f t="shared" si="129"/>
        <v>#DIV/0!</v>
      </c>
      <c r="M418" s="179" t="s">
        <v>953</v>
      </c>
      <c r="N418" s="179" t="s">
        <v>4114</v>
      </c>
      <c r="O418" s="141">
        <f t="shared" si="130"/>
        <v>0</v>
      </c>
      <c r="P418" s="181" t="b">
        <f>COUNTIF('Facility Data'!$A$1:$A$1500,"*"&amp;A418&amp;"*")&gt;0</f>
        <v>0</v>
      </c>
      <c r="Q418" s="181" t="b">
        <f>COUNTIF('Account Data'!$A$1:$A$1000,"*"&amp;A418&amp;"*")&gt;0</f>
        <v>0</v>
      </c>
      <c r="R418" s="182" t="b">
        <f t="shared" si="121"/>
        <v>0</v>
      </c>
      <c r="S418" s="182" t="b">
        <f t="shared" si="131"/>
        <v>0</v>
      </c>
      <c r="T418" s="181" t="b">
        <f>COUNTIF('New Items'!$A$1:$A$175,A418)&gt;0</f>
        <v>0</v>
      </c>
      <c r="U418" s="181" t="b">
        <f>COUNTIF(Discontinued!$A$1:$A$150,A418)&gt;0</f>
        <v>0</v>
      </c>
    </row>
    <row r="419" spans="1:21" s="8" customFormat="1" ht="11.25" x14ac:dyDescent="0.2">
      <c r="A419" s="152">
        <v>10001892</v>
      </c>
      <c r="B419" s="10" t="s">
        <v>2743</v>
      </c>
      <c r="C419" s="12" t="s">
        <v>4105</v>
      </c>
      <c r="D419" s="11" t="s">
        <v>637</v>
      </c>
      <c r="E419" s="12" t="s">
        <v>757</v>
      </c>
      <c r="F419" s="13">
        <v>24</v>
      </c>
      <c r="G419" s="22">
        <f>Overview!$B$24</f>
        <v>36</v>
      </c>
      <c r="H419" s="114">
        <f t="shared" si="127"/>
        <v>36</v>
      </c>
      <c r="I419" s="114">
        <f>Overview!$E$24</f>
        <v>0</v>
      </c>
      <c r="J419" s="115">
        <f t="shared" si="128"/>
        <v>0</v>
      </c>
      <c r="K419" s="116">
        <f>Overview!$H$24</f>
        <v>0</v>
      </c>
      <c r="L419" s="117" t="e">
        <f t="shared" si="129"/>
        <v>#DIV/0!</v>
      </c>
      <c r="M419" s="179" t="s">
        <v>4370</v>
      </c>
      <c r="N419" s="179" t="s">
        <v>4114</v>
      </c>
      <c r="O419" s="141">
        <f t="shared" si="130"/>
        <v>0</v>
      </c>
      <c r="P419" s="181" t="b">
        <f>COUNTIF('Facility Data'!$A$1:$A$1500,"*"&amp;A419&amp;"*")&gt;0</f>
        <v>0</v>
      </c>
      <c r="Q419" s="181" t="b">
        <f>COUNTIF('Account Data'!$A$1:$A$1000,"*"&amp;A419&amp;"*")&gt;0</f>
        <v>0</v>
      </c>
      <c r="R419" s="182" t="b">
        <f t="shared" si="121"/>
        <v>0</v>
      </c>
      <c r="S419" s="182" t="b">
        <f t="shared" si="131"/>
        <v>0</v>
      </c>
      <c r="T419" s="181" t="b">
        <f>COUNTIF('New Items'!$A$1:$A$175,A419)&gt;0</f>
        <v>0</v>
      </c>
      <c r="U419" s="181" t="b">
        <f>COUNTIF(Discontinued!$A$1:$A$150,A419)&gt;0</f>
        <v>0</v>
      </c>
    </row>
    <row r="420" spans="1:21" s="8" customFormat="1" ht="11.25" x14ac:dyDescent="0.2">
      <c r="A420" s="152">
        <v>10001890</v>
      </c>
      <c r="B420" s="10" t="s">
        <v>2742</v>
      </c>
      <c r="C420" s="12" t="s">
        <v>4104</v>
      </c>
      <c r="D420" s="11" t="s">
        <v>636</v>
      </c>
      <c r="E420" s="12" t="s">
        <v>757</v>
      </c>
      <c r="F420" s="13">
        <v>24</v>
      </c>
      <c r="G420" s="22">
        <f>Overview!$B$24</f>
        <v>36</v>
      </c>
      <c r="H420" s="114">
        <f t="shared" si="127"/>
        <v>36</v>
      </c>
      <c r="I420" s="114">
        <f>Overview!$E$24</f>
        <v>0</v>
      </c>
      <c r="J420" s="115">
        <f t="shared" si="128"/>
        <v>0</v>
      </c>
      <c r="K420" s="116">
        <f>Overview!$H$24</f>
        <v>0</v>
      </c>
      <c r="L420" s="117" t="e">
        <f t="shared" si="129"/>
        <v>#DIV/0!</v>
      </c>
      <c r="M420" s="179" t="s">
        <v>4370</v>
      </c>
      <c r="N420" s="179" t="s">
        <v>4114</v>
      </c>
      <c r="O420" s="141">
        <f t="shared" si="130"/>
        <v>0</v>
      </c>
      <c r="P420" s="181" t="b">
        <f>COUNTIF('Facility Data'!$A$1:$A$1500,"*"&amp;A420&amp;"*")&gt;0</f>
        <v>0</v>
      </c>
      <c r="Q420" s="181" t="b">
        <f>COUNTIF('Account Data'!$A$1:$A$1000,"*"&amp;A420&amp;"*")&gt;0</f>
        <v>0</v>
      </c>
      <c r="R420" s="182" t="b">
        <f t="shared" si="121"/>
        <v>0</v>
      </c>
      <c r="S420" s="182" t="b">
        <f t="shared" si="131"/>
        <v>0</v>
      </c>
      <c r="T420" s="181" t="b">
        <f>COUNTIF('New Items'!$A$1:$A$175,A420)&gt;0</f>
        <v>0</v>
      </c>
      <c r="U420" s="181" t="b">
        <f>COUNTIF(Discontinued!$A$1:$A$150,A420)&gt;0</f>
        <v>0</v>
      </c>
    </row>
    <row r="421" spans="1:21" s="8" customFormat="1" ht="11.25" x14ac:dyDescent="0.2">
      <c r="A421" s="152">
        <v>10022241</v>
      </c>
      <c r="B421" s="10" t="s">
        <v>2738</v>
      </c>
      <c r="C421" s="12" t="s">
        <v>4100</v>
      </c>
      <c r="D421" s="11" t="s">
        <v>635</v>
      </c>
      <c r="E421" s="12" t="s">
        <v>757</v>
      </c>
      <c r="F421" s="13">
        <v>24</v>
      </c>
      <c r="G421" s="22">
        <f>Overview!$B$24</f>
        <v>36</v>
      </c>
      <c r="H421" s="114">
        <f t="shared" si="127"/>
        <v>36</v>
      </c>
      <c r="I421" s="114">
        <f>Overview!$E$24</f>
        <v>0</v>
      </c>
      <c r="J421" s="115">
        <f t="shared" si="128"/>
        <v>0</v>
      </c>
      <c r="K421" s="116">
        <f>Overview!$H$24</f>
        <v>0</v>
      </c>
      <c r="L421" s="117" t="e">
        <f t="shared" si="129"/>
        <v>#DIV/0!</v>
      </c>
      <c r="M421" s="179" t="s">
        <v>4369</v>
      </c>
      <c r="N421" s="179" t="s">
        <v>4114</v>
      </c>
      <c r="O421" s="141">
        <f t="shared" si="130"/>
        <v>0</v>
      </c>
      <c r="P421" s="181" t="b">
        <f>COUNTIF('Facility Data'!$A$1:$A$1500,"*"&amp;A421&amp;"*")&gt;0</f>
        <v>0</v>
      </c>
      <c r="Q421" s="181" t="b">
        <f>COUNTIF('Account Data'!$A$1:$A$1000,"*"&amp;A421&amp;"*")&gt;0</f>
        <v>0</v>
      </c>
      <c r="R421" s="182" t="b">
        <f t="shared" si="121"/>
        <v>0</v>
      </c>
      <c r="S421" s="182" t="b">
        <f t="shared" si="131"/>
        <v>0</v>
      </c>
      <c r="T421" s="181" t="b">
        <f>COUNTIF('New Items'!$A$1:$A$175,A421)&gt;0</f>
        <v>0</v>
      </c>
      <c r="U421" s="181" t="b">
        <f>COUNTIF(Discontinued!$A$1:$A$150,A421)&gt;0</f>
        <v>0</v>
      </c>
    </row>
    <row r="422" spans="1:21" s="8" customFormat="1" ht="11.25" x14ac:dyDescent="0.2">
      <c r="A422" s="152">
        <v>10088075</v>
      </c>
      <c r="B422" s="10" t="s">
        <v>2740</v>
      </c>
      <c r="C422" s="12" t="s">
        <v>4102</v>
      </c>
      <c r="D422" s="11" t="s">
        <v>651</v>
      </c>
      <c r="E422" s="12" t="s">
        <v>757</v>
      </c>
      <c r="F422" s="13">
        <v>24</v>
      </c>
      <c r="G422" s="22">
        <f>Overview!$B$24</f>
        <v>36</v>
      </c>
      <c r="H422" s="114">
        <f t="shared" si="127"/>
        <v>36</v>
      </c>
      <c r="I422" s="114">
        <f>Overview!$E$24</f>
        <v>0</v>
      </c>
      <c r="J422" s="115">
        <f t="shared" si="128"/>
        <v>0</v>
      </c>
      <c r="K422" s="116">
        <f>Overview!$H$24</f>
        <v>0</v>
      </c>
      <c r="L422" s="117" t="e">
        <f t="shared" si="129"/>
        <v>#DIV/0!</v>
      </c>
      <c r="M422" s="179" t="s">
        <v>4369</v>
      </c>
      <c r="N422" s="179" t="s">
        <v>4114</v>
      </c>
      <c r="O422" s="141">
        <f t="shared" si="130"/>
        <v>0</v>
      </c>
      <c r="P422" s="181" t="b">
        <f>COUNTIF('Facility Data'!$A$1:$A$1500,"*"&amp;A422&amp;"*")&gt;0</f>
        <v>0</v>
      </c>
      <c r="Q422" s="181" t="b">
        <f>COUNTIF('Account Data'!$A$1:$A$1000,"*"&amp;A422&amp;"*")&gt;0</f>
        <v>0</v>
      </c>
      <c r="R422" s="182" t="b">
        <f t="shared" si="121"/>
        <v>0</v>
      </c>
      <c r="S422" s="182" t="b">
        <f t="shared" si="131"/>
        <v>0</v>
      </c>
      <c r="T422" s="181" t="b">
        <f>COUNTIF('New Items'!$A$1:$A$175,A422)&gt;0</f>
        <v>0</v>
      </c>
      <c r="U422" s="181" t="b">
        <f>COUNTIF(Discontinued!$A$1:$A$150,A422)&gt;0</f>
        <v>0</v>
      </c>
    </row>
    <row r="423" spans="1:21" s="8" customFormat="1" ht="11.25" x14ac:dyDescent="0.2">
      <c r="A423" s="152">
        <v>10001894</v>
      </c>
      <c r="B423" s="10" t="s">
        <v>2735</v>
      </c>
      <c r="C423" s="12" t="s">
        <v>4097</v>
      </c>
      <c r="D423" s="11" t="s">
        <v>650</v>
      </c>
      <c r="E423" s="12" t="s">
        <v>757</v>
      </c>
      <c r="F423" s="13">
        <v>24</v>
      </c>
      <c r="G423" s="22">
        <f>Overview!$B$24</f>
        <v>36</v>
      </c>
      <c r="H423" s="114">
        <f t="shared" si="127"/>
        <v>36</v>
      </c>
      <c r="I423" s="114">
        <f>Overview!$E$24</f>
        <v>0</v>
      </c>
      <c r="J423" s="115">
        <f t="shared" si="128"/>
        <v>0</v>
      </c>
      <c r="K423" s="116">
        <f>Overview!$H$24</f>
        <v>0</v>
      </c>
      <c r="L423" s="117" t="e">
        <f t="shared" si="129"/>
        <v>#DIV/0!</v>
      </c>
      <c r="M423" s="179" t="s">
        <v>4369</v>
      </c>
      <c r="N423" s="179" t="s">
        <v>4114</v>
      </c>
      <c r="O423" s="141">
        <f t="shared" si="130"/>
        <v>0</v>
      </c>
      <c r="P423" s="181" t="b">
        <f>COUNTIF('Facility Data'!$A$1:$A$1500,"*"&amp;A423&amp;"*")&gt;0</f>
        <v>0</v>
      </c>
      <c r="Q423" s="181" t="b">
        <f>COUNTIF('Account Data'!$A$1:$A$1000,"*"&amp;A423&amp;"*")&gt;0</f>
        <v>0</v>
      </c>
      <c r="R423" s="182" t="b">
        <f t="shared" si="121"/>
        <v>0</v>
      </c>
      <c r="S423" s="182" t="b">
        <f t="shared" si="131"/>
        <v>0</v>
      </c>
      <c r="T423" s="181" t="b">
        <f>COUNTIF('New Items'!$A$1:$A$175,A423)&gt;0</f>
        <v>0</v>
      </c>
      <c r="U423" s="181" t="b">
        <f>COUNTIF(Discontinued!$A$1:$A$150,A423)&gt;0</f>
        <v>0</v>
      </c>
    </row>
    <row r="424" spans="1:21" s="8" customFormat="1" ht="11.25" x14ac:dyDescent="0.2">
      <c r="A424" s="152">
        <v>10001895</v>
      </c>
      <c r="B424" s="10" t="s">
        <v>4807</v>
      </c>
      <c r="C424" s="12" t="s">
        <v>4098</v>
      </c>
      <c r="D424" s="11" t="s">
        <v>4755</v>
      </c>
      <c r="E424" s="12" t="s">
        <v>757</v>
      </c>
      <c r="F424" s="13">
        <v>24</v>
      </c>
      <c r="G424" s="22">
        <f>Overview!$B$24</f>
        <v>36</v>
      </c>
      <c r="H424" s="114">
        <f>G424-I424</f>
        <v>36</v>
      </c>
      <c r="I424" s="114">
        <f>Overview!$E$24</f>
        <v>0</v>
      </c>
      <c r="J424" s="115">
        <f>I424/F424</f>
        <v>0</v>
      </c>
      <c r="K424" s="116">
        <f>Overview!$H$24</f>
        <v>0</v>
      </c>
      <c r="L424" s="117" t="e">
        <f>(K424-J424)/K424</f>
        <v>#DIV/0!</v>
      </c>
      <c r="M424" s="179" t="s">
        <v>4369</v>
      </c>
      <c r="N424" s="179" t="s">
        <v>4114</v>
      </c>
      <c r="O424" s="141">
        <f>I424</f>
        <v>0</v>
      </c>
      <c r="P424" s="181" t="b">
        <f>COUNTIF('Facility Data'!$A$1:$A$1500,"*"&amp;A424&amp;"*")&gt;0</f>
        <v>0</v>
      </c>
      <c r="Q424" s="181" t="b">
        <f>COUNTIF('Account Data'!$A$1:$A$1000,"*"&amp;A424&amp;"*")&gt;0</f>
        <v>0</v>
      </c>
      <c r="R424" s="182" t="b">
        <f>IF(OR(P424=TRUE,T424=TRUE),TRUE,FALSE)</f>
        <v>0</v>
      </c>
      <c r="S424" s="182" t="b">
        <f>IF(OR(Q424=TRUE,T424=TRUE),TRUE,FALSE)</f>
        <v>0</v>
      </c>
      <c r="T424" s="181" t="b">
        <f>COUNTIF('New Items'!$A$1:$A$175,A424)&gt;0</f>
        <v>0</v>
      </c>
      <c r="U424" s="181" t="b">
        <f>COUNTIF(Discontinued!$A$1:$A$150,A424)&gt;0</f>
        <v>0</v>
      </c>
    </row>
    <row r="425" spans="1:21" s="8" customFormat="1" ht="11.25" x14ac:dyDescent="0.2">
      <c r="A425" s="152">
        <v>10036212</v>
      </c>
      <c r="B425" s="10" t="s">
        <v>2739</v>
      </c>
      <c r="C425" s="12" t="s">
        <v>4101</v>
      </c>
      <c r="D425" s="11" t="s">
        <v>1061</v>
      </c>
      <c r="E425" s="12" t="s">
        <v>757</v>
      </c>
      <c r="F425" s="13">
        <v>24</v>
      </c>
      <c r="G425" s="22">
        <f>Overview!$B$24</f>
        <v>36</v>
      </c>
      <c r="H425" s="114">
        <f t="shared" si="127"/>
        <v>36</v>
      </c>
      <c r="I425" s="114">
        <f>Overview!$E$24</f>
        <v>0</v>
      </c>
      <c r="J425" s="115">
        <f t="shared" si="128"/>
        <v>0</v>
      </c>
      <c r="K425" s="116">
        <f>Overview!$H$24</f>
        <v>0</v>
      </c>
      <c r="L425" s="117" t="e">
        <f t="shared" si="129"/>
        <v>#DIV/0!</v>
      </c>
      <c r="M425" s="179" t="s">
        <v>4369</v>
      </c>
      <c r="N425" s="179" t="s">
        <v>4114</v>
      </c>
      <c r="O425" s="141">
        <f t="shared" si="130"/>
        <v>0</v>
      </c>
      <c r="P425" s="181" t="b">
        <f>COUNTIF('Facility Data'!$A$1:$A$1500,"*"&amp;A425&amp;"*")&gt;0</f>
        <v>0</v>
      </c>
      <c r="Q425" s="181" t="b">
        <f>COUNTIF('Account Data'!$A$1:$A$1000,"*"&amp;A425&amp;"*")&gt;0</f>
        <v>0</v>
      </c>
      <c r="R425" s="182" t="b">
        <f t="shared" si="121"/>
        <v>0</v>
      </c>
      <c r="S425" s="182" t="b">
        <f t="shared" si="131"/>
        <v>0</v>
      </c>
      <c r="T425" s="181" t="b">
        <f>COUNTIF('New Items'!$A$1:$A$175,A425)&gt;0</f>
        <v>0</v>
      </c>
      <c r="U425" s="181" t="b">
        <f>COUNTIF(Discontinued!$A$1:$A$150,A425)&gt;0</f>
        <v>0</v>
      </c>
    </row>
    <row r="426" spans="1:21" s="8" customFormat="1" ht="11.25" x14ac:dyDescent="0.2">
      <c r="A426" s="152">
        <v>10022242</v>
      </c>
      <c r="B426" s="10" t="s">
        <v>2737</v>
      </c>
      <c r="C426" s="12" t="s">
        <v>4099</v>
      </c>
      <c r="D426" s="11" t="s">
        <v>634</v>
      </c>
      <c r="E426" s="12" t="s">
        <v>757</v>
      </c>
      <c r="F426" s="13">
        <v>24</v>
      </c>
      <c r="G426" s="22">
        <f>Overview!$B$24</f>
        <v>36</v>
      </c>
      <c r="H426" s="114">
        <f t="shared" si="127"/>
        <v>36</v>
      </c>
      <c r="I426" s="114">
        <f>Overview!$E$24</f>
        <v>0</v>
      </c>
      <c r="J426" s="115">
        <f t="shared" si="128"/>
        <v>0</v>
      </c>
      <c r="K426" s="116">
        <f>Overview!$H$24</f>
        <v>0</v>
      </c>
      <c r="L426" s="117" t="e">
        <f t="shared" si="129"/>
        <v>#DIV/0!</v>
      </c>
      <c r="M426" s="179" t="s">
        <v>4369</v>
      </c>
      <c r="N426" s="179" t="s">
        <v>4114</v>
      </c>
      <c r="O426" s="141">
        <f t="shared" si="130"/>
        <v>0</v>
      </c>
      <c r="P426" s="181" t="b">
        <f>COUNTIF('Facility Data'!$A$1:$A$1500,"*"&amp;A426&amp;"*")&gt;0</f>
        <v>0</v>
      </c>
      <c r="Q426" s="181" t="b">
        <f>COUNTIF('Account Data'!$A$1:$A$1000,"*"&amp;A426&amp;"*")&gt;0</f>
        <v>0</v>
      </c>
      <c r="R426" s="182" t="b">
        <f t="shared" si="121"/>
        <v>0</v>
      </c>
      <c r="S426" s="182" t="b">
        <f t="shared" si="131"/>
        <v>0</v>
      </c>
      <c r="T426" s="181" t="b">
        <f>COUNTIF('New Items'!$A$1:$A$175,A426)&gt;0</f>
        <v>0</v>
      </c>
      <c r="U426" s="181" t="b">
        <f>COUNTIF(Discontinued!$A$1:$A$150,A426)&gt;0</f>
        <v>0</v>
      </c>
    </row>
    <row r="427" spans="1:21" s="8" customFormat="1" ht="11.25" x14ac:dyDescent="0.2">
      <c r="A427" s="152">
        <v>10133175</v>
      </c>
      <c r="B427" s="10" t="s">
        <v>4112</v>
      </c>
      <c r="C427" s="12" t="s">
        <v>4113</v>
      </c>
      <c r="D427" s="11" t="s">
        <v>1054</v>
      </c>
      <c r="E427" s="12" t="s">
        <v>757</v>
      </c>
      <c r="F427" s="13">
        <v>24</v>
      </c>
      <c r="G427" s="22">
        <f>Overview!$B$24</f>
        <v>36</v>
      </c>
      <c r="H427" s="114">
        <f t="shared" si="127"/>
        <v>36</v>
      </c>
      <c r="I427" s="114">
        <f>Overview!$E$24</f>
        <v>0</v>
      </c>
      <c r="J427" s="115">
        <f t="shared" si="128"/>
        <v>0</v>
      </c>
      <c r="K427" s="116">
        <f>Overview!$H$24</f>
        <v>0</v>
      </c>
      <c r="L427" s="117" t="e">
        <f t="shared" si="129"/>
        <v>#DIV/0!</v>
      </c>
      <c r="M427" s="179" t="s">
        <v>4369</v>
      </c>
      <c r="N427" s="179" t="s">
        <v>4114</v>
      </c>
      <c r="O427" s="141">
        <f t="shared" si="130"/>
        <v>0</v>
      </c>
      <c r="P427" s="181" t="b">
        <f>COUNTIF('Facility Data'!$A$1:$A$1500,"*"&amp;A427&amp;"*")&gt;0</f>
        <v>0</v>
      </c>
      <c r="Q427" s="181" t="b">
        <f>COUNTIF('Account Data'!$A$1:$A$1000,"*"&amp;A427&amp;"*")&gt;0</f>
        <v>0</v>
      </c>
      <c r="R427" s="182" t="b">
        <f t="shared" si="121"/>
        <v>0</v>
      </c>
      <c r="S427" s="182" t="b">
        <f t="shared" si="131"/>
        <v>0</v>
      </c>
      <c r="T427" s="181" t="b">
        <f>COUNTIF('New Items'!$A$1:$A$175,A427)&gt;0</f>
        <v>0</v>
      </c>
      <c r="U427" s="181" t="b">
        <f>COUNTIF(Discontinued!$A$1:$A$150,A427)&gt;0</f>
        <v>0</v>
      </c>
    </row>
    <row r="428" spans="1:21" s="8" customFormat="1" ht="12" thickBot="1" x14ac:dyDescent="0.25">
      <c r="A428" s="152">
        <v>10023919</v>
      </c>
      <c r="B428" s="10" t="s">
        <v>2745</v>
      </c>
      <c r="C428" s="12" t="s">
        <v>4107</v>
      </c>
      <c r="D428" s="11" t="s">
        <v>656</v>
      </c>
      <c r="E428" s="12" t="s">
        <v>757</v>
      </c>
      <c r="F428" s="13">
        <v>24</v>
      </c>
      <c r="G428" s="22">
        <f>Overview!$B$24</f>
        <v>36</v>
      </c>
      <c r="H428" s="114">
        <f t="shared" si="127"/>
        <v>36</v>
      </c>
      <c r="I428" s="114">
        <f>Overview!$E$24</f>
        <v>0</v>
      </c>
      <c r="J428" s="115">
        <f t="shared" si="128"/>
        <v>0</v>
      </c>
      <c r="K428" s="116">
        <f>Overview!$H$24</f>
        <v>0</v>
      </c>
      <c r="L428" s="117" t="e">
        <f t="shared" si="129"/>
        <v>#DIV/0!</v>
      </c>
      <c r="M428" s="179" t="s">
        <v>952</v>
      </c>
      <c r="N428" s="179" t="s">
        <v>4114</v>
      </c>
      <c r="O428" s="141">
        <f t="shared" si="130"/>
        <v>0</v>
      </c>
      <c r="P428" s="181" t="b">
        <f>COUNTIF('Facility Data'!$A$1:$A$1500,"*"&amp;A428&amp;"*")&gt;0</f>
        <v>0</v>
      </c>
      <c r="Q428" s="181" t="b">
        <f>COUNTIF('Account Data'!$A$1:$A$1000,"*"&amp;A428&amp;"*")&gt;0</f>
        <v>0</v>
      </c>
      <c r="R428" s="182" t="b">
        <f t="shared" si="121"/>
        <v>0</v>
      </c>
      <c r="S428" s="182" t="b">
        <f t="shared" si="131"/>
        <v>0</v>
      </c>
      <c r="T428" s="181" t="b">
        <f>COUNTIF('New Items'!$A$1:$A$175,A428)&gt;0</f>
        <v>0</v>
      </c>
      <c r="U428" s="181" t="b">
        <f>COUNTIF(Discontinued!$A$1:$A$150,A428)&gt;0</f>
        <v>0</v>
      </c>
    </row>
    <row r="429" spans="1:21" s="8" customFormat="1" ht="13.5" thickBot="1" x14ac:dyDescent="0.25">
      <c r="A429" s="300" t="s">
        <v>285</v>
      </c>
      <c r="B429" s="301"/>
      <c r="C429" s="301"/>
      <c r="D429" s="301"/>
      <c r="E429" s="301"/>
      <c r="F429" s="301"/>
      <c r="G429" s="301"/>
      <c r="H429" s="301"/>
      <c r="I429" s="301"/>
      <c r="J429" s="301"/>
      <c r="K429" s="301"/>
      <c r="L429" s="302"/>
      <c r="M429" s="179"/>
      <c r="N429" s="179" t="s">
        <v>968</v>
      </c>
      <c r="O429" s="141">
        <f>AVERAGE(O430:O442)</f>
        <v>0</v>
      </c>
      <c r="P429" s="181" t="b">
        <f>COUNTIF(P430:P442,TRUE)&gt;0</f>
        <v>1</v>
      </c>
      <c r="Q429" s="181" t="b">
        <f>COUNTIF(Q430:Q442,TRUE)&gt;0</f>
        <v>1</v>
      </c>
      <c r="R429" s="181" t="b">
        <f>COUNTIF(R430:R442,TRUE)&gt;0</f>
        <v>1</v>
      </c>
      <c r="S429" s="181" t="b">
        <f>COUNTIF(S430:S442,TRUE)&gt;0</f>
        <v>1</v>
      </c>
      <c r="T429" s="181" t="b">
        <f>COUNTIF(T430:T442,TRUE)&gt;0</f>
        <v>0</v>
      </c>
      <c r="U429" s="249"/>
    </row>
    <row r="430" spans="1:21" s="8" customFormat="1" ht="11.25" x14ac:dyDescent="0.2">
      <c r="A430" s="152">
        <v>10001315</v>
      </c>
      <c r="B430" s="10" t="s">
        <v>197</v>
      </c>
      <c r="C430" s="12" t="s">
        <v>198</v>
      </c>
      <c r="D430" s="11" t="s">
        <v>643</v>
      </c>
      <c r="E430" s="12" t="s">
        <v>761</v>
      </c>
      <c r="F430" s="13">
        <v>15</v>
      </c>
      <c r="G430" s="22">
        <f>Overview!$B$25</f>
        <v>24</v>
      </c>
      <c r="H430" s="23">
        <f t="shared" ref="H430:H442" si="132">G430-I430</f>
        <v>24</v>
      </c>
      <c r="I430" s="23">
        <f>Overview!$E$25</f>
        <v>0</v>
      </c>
      <c r="J430" s="24">
        <f t="shared" ref="J430:J442" si="133">I430/F430</f>
        <v>0</v>
      </c>
      <c r="K430" s="50">
        <f>Overview!$H$25</f>
        <v>0</v>
      </c>
      <c r="L430" s="51" t="e">
        <f t="shared" ref="L430:L442" si="134">(K430-J430)/K430</f>
        <v>#DIV/0!</v>
      </c>
      <c r="M430" s="179"/>
      <c r="N430" s="179" t="s">
        <v>968</v>
      </c>
      <c r="O430" s="141">
        <f t="shared" ref="O430:O442" si="135">I430</f>
        <v>0</v>
      </c>
      <c r="P430" s="181" t="b">
        <f>COUNTIF('Facility Data'!$A$1:$A$1500,"*"&amp;A430&amp;"*")&gt;0</f>
        <v>1</v>
      </c>
      <c r="Q430" s="181" t="b">
        <f>COUNTIF('Account Data'!$A$1:$A$1000,"*"&amp;A430&amp;"*")&gt;0</f>
        <v>1</v>
      </c>
      <c r="R430" s="182" t="b">
        <f t="shared" ref="R430:R442" si="136">IF(OR(P430=TRUE,T430=TRUE),TRUE,FALSE)</f>
        <v>1</v>
      </c>
      <c r="S430" s="182" t="b">
        <f t="shared" ref="S430:S442" si="137">IF(OR(Q430=TRUE,T430=TRUE),TRUE,FALSE)</f>
        <v>1</v>
      </c>
      <c r="T430" s="181" t="b">
        <f>COUNTIF('New Items'!$A$1:$A$175,A430)&gt;0</f>
        <v>0</v>
      </c>
      <c r="U430" s="181" t="b">
        <f>COUNTIF(Discontinued!$A$1:$A$150,A430)&gt;0</f>
        <v>0</v>
      </c>
    </row>
    <row r="431" spans="1:21" s="8" customFormat="1" ht="11.25" x14ac:dyDescent="0.2">
      <c r="A431" s="152">
        <v>10001323</v>
      </c>
      <c r="B431" s="10" t="s">
        <v>199</v>
      </c>
      <c r="C431" s="12" t="s">
        <v>200</v>
      </c>
      <c r="D431" s="11" t="s">
        <v>645</v>
      </c>
      <c r="E431" s="12" t="s">
        <v>761</v>
      </c>
      <c r="F431" s="13">
        <v>15</v>
      </c>
      <c r="G431" s="22">
        <f>Overview!$B$25</f>
        <v>24</v>
      </c>
      <c r="H431" s="23">
        <f t="shared" si="132"/>
        <v>24</v>
      </c>
      <c r="I431" s="23">
        <f>Overview!$E$25</f>
        <v>0</v>
      </c>
      <c r="J431" s="24">
        <f t="shared" si="133"/>
        <v>0</v>
      </c>
      <c r="K431" s="50">
        <f>Overview!$H$25</f>
        <v>0</v>
      </c>
      <c r="L431" s="51" t="e">
        <f t="shared" si="134"/>
        <v>#DIV/0!</v>
      </c>
      <c r="M431" s="179" t="s">
        <v>4406</v>
      </c>
      <c r="N431" s="179" t="s">
        <v>968</v>
      </c>
      <c r="O431" s="141">
        <f t="shared" si="135"/>
        <v>0</v>
      </c>
      <c r="P431" s="181" t="b">
        <f>COUNTIF('Facility Data'!$A$1:$A$1500,"*"&amp;A431&amp;"*")&gt;0</f>
        <v>0</v>
      </c>
      <c r="Q431" s="181" t="b">
        <f>COUNTIF('Account Data'!$A$1:$A$1000,"*"&amp;A431&amp;"*")&gt;0</f>
        <v>1</v>
      </c>
      <c r="R431" s="182" t="b">
        <f t="shared" si="136"/>
        <v>0</v>
      </c>
      <c r="S431" s="182" t="b">
        <f t="shared" si="137"/>
        <v>1</v>
      </c>
      <c r="T431" s="181" t="b">
        <f>COUNTIF('New Items'!$A$1:$A$175,A431)&gt;0</f>
        <v>0</v>
      </c>
      <c r="U431" s="181" t="b">
        <f>COUNTIF(Discontinued!$A$1:$A$150,A431)&gt;0</f>
        <v>0</v>
      </c>
    </row>
    <row r="432" spans="1:21" s="8" customFormat="1" ht="11.25" x14ac:dyDescent="0.2">
      <c r="A432" s="152">
        <v>10000069</v>
      </c>
      <c r="B432" s="10" t="s">
        <v>1570</v>
      </c>
      <c r="C432" s="12" t="s">
        <v>1571</v>
      </c>
      <c r="D432" s="11" t="s">
        <v>640</v>
      </c>
      <c r="E432" s="12" t="s">
        <v>761</v>
      </c>
      <c r="F432" s="13">
        <v>15</v>
      </c>
      <c r="G432" s="22">
        <f>Overview!$B$25</f>
        <v>24</v>
      </c>
      <c r="H432" s="23">
        <f t="shared" si="132"/>
        <v>24</v>
      </c>
      <c r="I432" s="23">
        <f>Overview!$E$25</f>
        <v>0</v>
      </c>
      <c r="J432" s="24">
        <f t="shared" si="133"/>
        <v>0</v>
      </c>
      <c r="K432" s="50">
        <f>Overview!$H$25</f>
        <v>0</v>
      </c>
      <c r="L432" s="51" t="e">
        <f t="shared" si="134"/>
        <v>#DIV/0!</v>
      </c>
      <c r="M432" s="179"/>
      <c r="N432" s="179" t="s">
        <v>968</v>
      </c>
      <c r="O432" s="141">
        <f t="shared" si="135"/>
        <v>0</v>
      </c>
      <c r="P432" s="181" t="b">
        <f>COUNTIF('Facility Data'!$A$1:$A$1500,"*"&amp;A432&amp;"*")&gt;0</f>
        <v>1</v>
      </c>
      <c r="Q432" s="181" t="b">
        <f>COUNTIF('Account Data'!$A$1:$A$1000,"*"&amp;A432&amp;"*")&gt;0</f>
        <v>0</v>
      </c>
      <c r="R432" s="182" t="b">
        <f t="shared" si="136"/>
        <v>1</v>
      </c>
      <c r="S432" s="182" t="b">
        <f t="shared" si="137"/>
        <v>0</v>
      </c>
      <c r="T432" s="181" t="b">
        <f>COUNTIF('New Items'!$A$1:$A$175,A432)&gt;0</f>
        <v>0</v>
      </c>
      <c r="U432" s="181" t="b">
        <f>COUNTIF(Discontinued!$A$1:$A$150,A432)&gt;0</f>
        <v>0</v>
      </c>
    </row>
    <row r="433" spans="1:21" s="8" customFormat="1" ht="11.25" x14ac:dyDescent="0.2">
      <c r="A433" s="152">
        <v>10001335</v>
      </c>
      <c r="B433" s="10" t="s">
        <v>203</v>
      </c>
      <c r="C433" s="12" t="s">
        <v>204</v>
      </c>
      <c r="D433" s="11" t="s">
        <v>652</v>
      </c>
      <c r="E433" s="12" t="s">
        <v>761</v>
      </c>
      <c r="F433" s="13">
        <v>15</v>
      </c>
      <c r="G433" s="22">
        <f>Overview!$B$25</f>
        <v>24</v>
      </c>
      <c r="H433" s="23">
        <f t="shared" si="132"/>
        <v>24</v>
      </c>
      <c r="I433" s="23">
        <f>Overview!$E$25</f>
        <v>0</v>
      </c>
      <c r="J433" s="24">
        <f t="shared" si="133"/>
        <v>0</v>
      </c>
      <c r="K433" s="50">
        <f>Overview!$H$25</f>
        <v>0</v>
      </c>
      <c r="L433" s="51" t="e">
        <f t="shared" si="134"/>
        <v>#DIV/0!</v>
      </c>
      <c r="M433" s="179"/>
      <c r="N433" s="179" t="s">
        <v>968</v>
      </c>
      <c r="O433" s="141">
        <f t="shared" si="135"/>
        <v>0</v>
      </c>
      <c r="P433" s="181" t="b">
        <f>COUNTIF('Facility Data'!$A$1:$A$1500,"*"&amp;A433&amp;"*")&gt;0</f>
        <v>1</v>
      </c>
      <c r="Q433" s="181" t="b">
        <f>COUNTIF('Account Data'!$A$1:$A$1000,"*"&amp;A433&amp;"*")&gt;0</f>
        <v>1</v>
      </c>
      <c r="R433" s="182" t="b">
        <f t="shared" si="136"/>
        <v>1</v>
      </c>
      <c r="S433" s="182" t="b">
        <f t="shared" si="137"/>
        <v>1</v>
      </c>
      <c r="T433" s="181" t="b">
        <f>COUNTIF('New Items'!$A$1:$A$175,A433)&gt;0</f>
        <v>0</v>
      </c>
      <c r="U433" s="181" t="b">
        <f>COUNTIF(Discontinued!$A$1:$A$150,A433)&gt;0</f>
        <v>0</v>
      </c>
    </row>
    <row r="434" spans="1:21" s="8" customFormat="1" ht="11.25" x14ac:dyDescent="0.2">
      <c r="A434" s="152">
        <v>10004677</v>
      </c>
      <c r="B434" s="10" t="s">
        <v>4808</v>
      </c>
      <c r="C434" s="12" t="s">
        <v>2937</v>
      </c>
      <c r="D434" s="11" t="s">
        <v>4737</v>
      </c>
      <c r="E434" s="12" t="s">
        <v>761</v>
      </c>
      <c r="F434" s="13">
        <v>15</v>
      </c>
      <c r="G434" s="22">
        <f>Overview!$B$25</f>
        <v>24</v>
      </c>
      <c r="H434" s="23">
        <f>G434-I434</f>
        <v>24</v>
      </c>
      <c r="I434" s="23">
        <f>Overview!$E$25</f>
        <v>0</v>
      </c>
      <c r="J434" s="24">
        <f>I434/F434</f>
        <v>0</v>
      </c>
      <c r="K434" s="50">
        <f>Overview!$H$25</f>
        <v>0</v>
      </c>
      <c r="L434" s="51" t="e">
        <f>(K434-J434)/K434</f>
        <v>#DIV/0!</v>
      </c>
      <c r="M434" s="179"/>
      <c r="N434" s="179" t="s">
        <v>968</v>
      </c>
      <c r="O434" s="141">
        <f>I434</f>
        <v>0</v>
      </c>
      <c r="P434" s="181" t="b">
        <f>COUNTIF('Facility Data'!$A$1:$A$1500,"*"&amp;A434&amp;"*")&gt;0</f>
        <v>0</v>
      </c>
      <c r="Q434" s="181" t="b">
        <f>COUNTIF('Account Data'!$A$1:$A$1000,"*"&amp;A434&amp;"*")&gt;0</f>
        <v>0</v>
      </c>
      <c r="R434" s="182" t="b">
        <f t="shared" si="136"/>
        <v>0</v>
      </c>
      <c r="S434" s="182" t="b">
        <f>IF(OR(Q434=TRUE,T434=TRUE),TRUE,FALSE)</f>
        <v>0</v>
      </c>
      <c r="T434" s="181" t="b">
        <f>COUNTIF('New Items'!$A$1:$A$175,A434)&gt;0</f>
        <v>0</v>
      </c>
      <c r="U434" s="181" t="b">
        <f>COUNTIF(Discontinued!$A$1:$A$150,A434)&gt;0</f>
        <v>0</v>
      </c>
    </row>
    <row r="435" spans="1:21" s="8" customFormat="1" ht="11.25" x14ac:dyDescent="0.2">
      <c r="A435" s="152">
        <v>10001318</v>
      </c>
      <c r="B435" s="10" t="s">
        <v>195</v>
      </c>
      <c r="C435" s="12" t="s">
        <v>196</v>
      </c>
      <c r="D435" s="11" t="s">
        <v>631</v>
      </c>
      <c r="E435" s="12" t="s">
        <v>761</v>
      </c>
      <c r="F435" s="13">
        <v>15</v>
      </c>
      <c r="G435" s="22">
        <f>Overview!$B$25</f>
        <v>24</v>
      </c>
      <c r="H435" s="23">
        <f t="shared" si="132"/>
        <v>24</v>
      </c>
      <c r="I435" s="23">
        <f>Overview!$E$25</f>
        <v>0</v>
      </c>
      <c r="J435" s="24">
        <f t="shared" si="133"/>
        <v>0</v>
      </c>
      <c r="K435" s="50">
        <f>Overview!$H$25</f>
        <v>0</v>
      </c>
      <c r="L435" s="51" t="e">
        <f t="shared" si="134"/>
        <v>#DIV/0!</v>
      </c>
      <c r="M435" s="179" t="s">
        <v>951</v>
      </c>
      <c r="N435" s="179" t="s">
        <v>968</v>
      </c>
      <c r="O435" s="141">
        <f t="shared" si="135"/>
        <v>0</v>
      </c>
      <c r="P435" s="181" t="b">
        <f>COUNTIF('Facility Data'!$A$1:$A$1500,"*"&amp;A435&amp;"*")&gt;0</f>
        <v>0</v>
      </c>
      <c r="Q435" s="181" t="b">
        <f>COUNTIF('Account Data'!$A$1:$A$1000,"*"&amp;A435&amp;"*")&gt;0</f>
        <v>1</v>
      </c>
      <c r="R435" s="182" t="b">
        <f t="shared" si="136"/>
        <v>0</v>
      </c>
      <c r="S435" s="182" t="b">
        <f t="shared" si="137"/>
        <v>1</v>
      </c>
      <c r="T435" s="181" t="b">
        <f>COUNTIF('New Items'!$A$1:$A$175,A435)&gt;0</f>
        <v>0</v>
      </c>
      <c r="U435" s="181" t="b">
        <f>COUNTIF(Discontinued!$A$1:$A$150,A435)&gt;0</f>
        <v>0</v>
      </c>
    </row>
    <row r="436" spans="1:21" s="8" customFormat="1" ht="11.25" x14ac:dyDescent="0.2">
      <c r="A436" s="152">
        <v>10001317</v>
      </c>
      <c r="B436" s="10" t="s">
        <v>193</v>
      </c>
      <c r="C436" s="12" t="s">
        <v>194</v>
      </c>
      <c r="D436" s="11" t="s">
        <v>629</v>
      </c>
      <c r="E436" s="12" t="s">
        <v>761</v>
      </c>
      <c r="F436" s="13">
        <v>15</v>
      </c>
      <c r="G436" s="22">
        <f>Overview!$B$25</f>
        <v>24</v>
      </c>
      <c r="H436" s="23">
        <f t="shared" si="132"/>
        <v>24</v>
      </c>
      <c r="I436" s="23">
        <f>Overview!$E$25</f>
        <v>0</v>
      </c>
      <c r="J436" s="24">
        <f t="shared" si="133"/>
        <v>0</v>
      </c>
      <c r="K436" s="50">
        <f>Overview!$H$25</f>
        <v>0</v>
      </c>
      <c r="L436" s="51" t="e">
        <f t="shared" si="134"/>
        <v>#DIV/0!</v>
      </c>
      <c r="M436" s="179" t="s">
        <v>951</v>
      </c>
      <c r="N436" s="179" t="s">
        <v>968</v>
      </c>
      <c r="O436" s="141">
        <f t="shared" si="135"/>
        <v>0</v>
      </c>
      <c r="P436" s="181" t="b">
        <f>COUNTIF('Facility Data'!$A$1:$A$1500,"*"&amp;A436&amp;"*")&gt;0</f>
        <v>0</v>
      </c>
      <c r="Q436" s="181" t="b">
        <f>COUNTIF('Account Data'!$A$1:$A$1000,"*"&amp;A436&amp;"*")&gt;0</f>
        <v>1</v>
      </c>
      <c r="R436" s="182" t="b">
        <f t="shared" si="136"/>
        <v>0</v>
      </c>
      <c r="S436" s="182" t="b">
        <f t="shared" si="137"/>
        <v>1</v>
      </c>
      <c r="T436" s="181" t="b">
        <f>COUNTIF('New Items'!$A$1:$A$175,A436)&gt;0</f>
        <v>0</v>
      </c>
      <c r="U436" s="181" t="b">
        <f>COUNTIF(Discontinued!$A$1:$A$150,A436)&gt;0</f>
        <v>0</v>
      </c>
    </row>
    <row r="437" spans="1:21" s="8" customFormat="1" ht="11.25" x14ac:dyDescent="0.2">
      <c r="A437" s="152">
        <v>10001325</v>
      </c>
      <c r="B437" s="10" t="s">
        <v>2436</v>
      </c>
      <c r="C437" s="12" t="s">
        <v>2437</v>
      </c>
      <c r="D437" s="11" t="s">
        <v>655</v>
      </c>
      <c r="E437" s="12" t="s">
        <v>761</v>
      </c>
      <c r="F437" s="13">
        <v>15</v>
      </c>
      <c r="G437" s="22">
        <f>Overview!$B$25</f>
        <v>24</v>
      </c>
      <c r="H437" s="23">
        <f t="shared" si="132"/>
        <v>24</v>
      </c>
      <c r="I437" s="23">
        <f>Overview!$E$25</f>
        <v>0</v>
      </c>
      <c r="J437" s="24">
        <f t="shared" si="133"/>
        <v>0</v>
      </c>
      <c r="K437" s="50">
        <f>Overview!$H$25</f>
        <v>0</v>
      </c>
      <c r="L437" s="51" t="e">
        <f t="shared" si="134"/>
        <v>#DIV/0!</v>
      </c>
      <c r="M437" s="179"/>
      <c r="N437" s="179" t="s">
        <v>968</v>
      </c>
      <c r="O437" s="141">
        <f t="shared" si="135"/>
        <v>0</v>
      </c>
      <c r="P437" s="181" t="b">
        <f>COUNTIF('Facility Data'!$A$1:$A$1500,"*"&amp;A437&amp;"*")&gt;0</f>
        <v>0</v>
      </c>
      <c r="Q437" s="181" t="b">
        <f>COUNTIF('Account Data'!$A$1:$A$1000,"*"&amp;A437&amp;"*")&gt;0</f>
        <v>0</v>
      </c>
      <c r="R437" s="182" t="b">
        <f t="shared" si="136"/>
        <v>0</v>
      </c>
      <c r="S437" s="182" t="b">
        <f t="shared" si="137"/>
        <v>0</v>
      </c>
      <c r="T437" s="181" t="b">
        <f>COUNTIF('New Items'!$A$1:$A$175,A437)&gt;0</f>
        <v>0</v>
      </c>
      <c r="U437" s="181" t="b">
        <f>COUNTIF(Discontinued!$A$1:$A$150,A437)&gt;0</f>
        <v>0</v>
      </c>
    </row>
    <row r="438" spans="1:21" s="8" customFormat="1" ht="11.25" x14ac:dyDescent="0.2">
      <c r="A438" s="152">
        <v>10001319</v>
      </c>
      <c r="B438" s="10" t="s">
        <v>207</v>
      </c>
      <c r="C438" s="12" t="s">
        <v>208</v>
      </c>
      <c r="D438" s="11" t="s">
        <v>660</v>
      </c>
      <c r="E438" s="12" t="s">
        <v>761</v>
      </c>
      <c r="F438" s="13">
        <v>15</v>
      </c>
      <c r="G438" s="22">
        <f>Overview!$B$25</f>
        <v>24</v>
      </c>
      <c r="H438" s="23">
        <f t="shared" si="132"/>
        <v>24</v>
      </c>
      <c r="I438" s="23">
        <f>Overview!$E$25</f>
        <v>0</v>
      </c>
      <c r="J438" s="24">
        <f t="shared" si="133"/>
        <v>0</v>
      </c>
      <c r="K438" s="50">
        <f>Overview!$H$25</f>
        <v>0</v>
      </c>
      <c r="L438" s="51" t="e">
        <f t="shared" si="134"/>
        <v>#DIV/0!</v>
      </c>
      <c r="M438" s="179"/>
      <c r="N438" s="179" t="s">
        <v>968</v>
      </c>
      <c r="O438" s="141">
        <f t="shared" si="135"/>
        <v>0</v>
      </c>
      <c r="P438" s="181" t="b">
        <f>COUNTIF('Facility Data'!$A$1:$A$1500,"*"&amp;A438&amp;"*")&gt;0</f>
        <v>0</v>
      </c>
      <c r="Q438" s="181" t="b">
        <f>COUNTIF('Account Data'!$A$1:$A$1000,"*"&amp;A438&amp;"*")&gt;0</f>
        <v>1</v>
      </c>
      <c r="R438" s="182" t="b">
        <f t="shared" si="136"/>
        <v>0</v>
      </c>
      <c r="S438" s="182" t="b">
        <f t="shared" si="137"/>
        <v>1</v>
      </c>
      <c r="T438" s="181" t="b">
        <f>COUNTIF('New Items'!$A$1:$A$175,A438)&gt;0</f>
        <v>0</v>
      </c>
      <c r="U438" s="181" t="b">
        <f>COUNTIF(Discontinued!$A$1:$A$150,A438)&gt;0</f>
        <v>0</v>
      </c>
    </row>
    <row r="439" spans="1:21" s="8" customFormat="1" ht="11.25" x14ac:dyDescent="0.2">
      <c r="A439" s="152">
        <v>10001329</v>
      </c>
      <c r="B439" s="10" t="s">
        <v>3831</v>
      </c>
      <c r="C439" s="12" t="s">
        <v>2999</v>
      </c>
      <c r="D439" s="11" t="s">
        <v>1697</v>
      </c>
      <c r="E439" s="12" t="s">
        <v>761</v>
      </c>
      <c r="F439" s="13">
        <v>15</v>
      </c>
      <c r="G439" s="22">
        <f>Overview!$B$25</f>
        <v>24</v>
      </c>
      <c r="H439" s="23">
        <f>G439-I439</f>
        <v>24</v>
      </c>
      <c r="I439" s="23">
        <f>Overview!$E$25</f>
        <v>0</v>
      </c>
      <c r="J439" s="24">
        <f>I439/F439</f>
        <v>0</v>
      </c>
      <c r="K439" s="50">
        <f>Overview!$H$25</f>
        <v>0</v>
      </c>
      <c r="L439" s="51" t="e">
        <f>(K439-J439)/K439</f>
        <v>#DIV/0!</v>
      </c>
      <c r="M439" s="179"/>
      <c r="N439" s="179" t="s">
        <v>968</v>
      </c>
      <c r="O439" s="141">
        <f>I439</f>
        <v>0</v>
      </c>
      <c r="P439" s="181" t="b">
        <f>COUNTIF('Facility Data'!$A$1:$A$1500,"*"&amp;A439&amp;"*")&gt;0</f>
        <v>0</v>
      </c>
      <c r="Q439" s="181" t="b">
        <f>COUNTIF('Account Data'!$A$1:$A$1000,"*"&amp;A439&amp;"*")&gt;0</f>
        <v>0</v>
      </c>
      <c r="R439" s="182" t="b">
        <f t="shared" si="136"/>
        <v>0</v>
      </c>
      <c r="S439" s="182" t="b">
        <f>IF(OR(Q439=TRUE,T439=TRUE),TRUE,FALSE)</f>
        <v>0</v>
      </c>
      <c r="T439" s="181" t="b">
        <f>COUNTIF('New Items'!$A$1:$A$175,A439)&gt;0</f>
        <v>0</v>
      </c>
      <c r="U439" s="181" t="b">
        <f>COUNTIF(Discontinued!$A$1:$A$150,A439)&gt;0</f>
        <v>0</v>
      </c>
    </row>
    <row r="440" spans="1:21" s="8" customFormat="1" ht="11.25" x14ac:dyDescent="0.2">
      <c r="A440" s="152">
        <v>10001322</v>
      </c>
      <c r="B440" s="10" t="s">
        <v>205</v>
      </c>
      <c r="C440" s="12" t="s">
        <v>206</v>
      </c>
      <c r="D440" s="11" t="s">
        <v>636</v>
      </c>
      <c r="E440" s="12" t="s">
        <v>761</v>
      </c>
      <c r="F440" s="13">
        <v>15</v>
      </c>
      <c r="G440" s="22">
        <f>Overview!$B$25</f>
        <v>24</v>
      </c>
      <c r="H440" s="23">
        <f t="shared" si="132"/>
        <v>24</v>
      </c>
      <c r="I440" s="23">
        <f>Overview!$E$25</f>
        <v>0</v>
      </c>
      <c r="J440" s="24">
        <f t="shared" si="133"/>
        <v>0</v>
      </c>
      <c r="K440" s="50">
        <f>Overview!$H$25</f>
        <v>0</v>
      </c>
      <c r="L440" s="51" t="e">
        <f t="shared" si="134"/>
        <v>#DIV/0!</v>
      </c>
      <c r="M440" s="179" t="s">
        <v>4370</v>
      </c>
      <c r="N440" s="179" t="s">
        <v>968</v>
      </c>
      <c r="O440" s="141">
        <f t="shared" si="135"/>
        <v>0</v>
      </c>
      <c r="P440" s="181" t="b">
        <f>COUNTIF('Facility Data'!$A$1:$A$1500,"*"&amp;A440&amp;"*")&gt;0</f>
        <v>0</v>
      </c>
      <c r="Q440" s="181" t="b">
        <f>COUNTIF('Account Data'!$A$1:$A$1000,"*"&amp;A440&amp;"*")&gt;0</f>
        <v>1</v>
      </c>
      <c r="R440" s="182" t="b">
        <f t="shared" si="136"/>
        <v>0</v>
      </c>
      <c r="S440" s="182" t="b">
        <f t="shared" si="137"/>
        <v>1</v>
      </c>
      <c r="T440" s="181" t="b">
        <f>COUNTIF('New Items'!$A$1:$A$175,A440)&gt;0</f>
        <v>0</v>
      </c>
      <c r="U440" s="181" t="b">
        <f>COUNTIF(Discontinued!$A$1:$A$150,A440)&gt;0</f>
        <v>0</v>
      </c>
    </row>
    <row r="441" spans="1:21" s="8" customFormat="1" ht="11.25" x14ac:dyDescent="0.2">
      <c r="A441" s="152">
        <v>10001332</v>
      </c>
      <c r="B441" s="10" t="s">
        <v>201</v>
      </c>
      <c r="C441" s="12" t="s">
        <v>202</v>
      </c>
      <c r="D441" s="11" t="s">
        <v>650</v>
      </c>
      <c r="E441" s="12" t="s">
        <v>761</v>
      </c>
      <c r="F441" s="13">
        <v>15</v>
      </c>
      <c r="G441" s="22">
        <f>Overview!$B$25</f>
        <v>24</v>
      </c>
      <c r="H441" s="23">
        <f t="shared" si="132"/>
        <v>24</v>
      </c>
      <c r="I441" s="23">
        <f>Overview!$E$25</f>
        <v>0</v>
      </c>
      <c r="J441" s="24">
        <f t="shared" si="133"/>
        <v>0</v>
      </c>
      <c r="K441" s="50">
        <f>Overview!$H$25</f>
        <v>0</v>
      </c>
      <c r="L441" s="51" t="e">
        <f t="shared" si="134"/>
        <v>#DIV/0!</v>
      </c>
      <c r="M441" s="179" t="s">
        <v>4369</v>
      </c>
      <c r="N441" s="179" t="s">
        <v>968</v>
      </c>
      <c r="O441" s="141">
        <f t="shared" si="135"/>
        <v>0</v>
      </c>
      <c r="P441" s="181" t="b">
        <f>COUNTIF('Facility Data'!$A$1:$A$1500,"*"&amp;A441&amp;"*")&gt;0</f>
        <v>1</v>
      </c>
      <c r="Q441" s="181" t="b">
        <f>COUNTIF('Account Data'!$A$1:$A$1000,"*"&amp;A441&amp;"*")&gt;0</f>
        <v>1</v>
      </c>
      <c r="R441" s="182" t="b">
        <f t="shared" si="136"/>
        <v>1</v>
      </c>
      <c r="S441" s="182" t="b">
        <f t="shared" si="137"/>
        <v>1</v>
      </c>
      <c r="T441" s="181" t="b">
        <f>COUNTIF('New Items'!$A$1:$A$175,A441)&gt;0</f>
        <v>0</v>
      </c>
      <c r="U441" s="181" t="b">
        <f>COUNTIF(Discontinued!$A$1:$A$150,A441)&gt;0</f>
        <v>0</v>
      </c>
    </row>
    <row r="442" spans="1:21" s="8" customFormat="1" ht="12" thickBot="1" x14ac:dyDescent="0.25">
      <c r="A442" s="152">
        <v>10000384</v>
      </c>
      <c r="B442" s="10" t="s">
        <v>2438</v>
      </c>
      <c r="C442" s="12" t="s">
        <v>2439</v>
      </c>
      <c r="D442" s="11" t="s">
        <v>4116</v>
      </c>
      <c r="E442" s="12" t="s">
        <v>761</v>
      </c>
      <c r="F442" s="13">
        <v>15</v>
      </c>
      <c r="G442" s="22">
        <f>Overview!$B$25</f>
        <v>24</v>
      </c>
      <c r="H442" s="23">
        <f t="shared" si="132"/>
        <v>24</v>
      </c>
      <c r="I442" s="23">
        <f>Overview!$E$25</f>
        <v>0</v>
      </c>
      <c r="J442" s="24">
        <f t="shared" si="133"/>
        <v>0</v>
      </c>
      <c r="K442" s="50">
        <f>Overview!$H$25</f>
        <v>0</v>
      </c>
      <c r="L442" s="51" t="e">
        <f t="shared" si="134"/>
        <v>#DIV/0!</v>
      </c>
      <c r="M442" s="179" t="s">
        <v>953</v>
      </c>
      <c r="N442" s="179" t="s">
        <v>968</v>
      </c>
      <c r="O442" s="141">
        <f t="shared" si="135"/>
        <v>0</v>
      </c>
      <c r="P442" s="181" t="b">
        <f>COUNTIF('Facility Data'!$A$1:$A$1500,"*"&amp;A442&amp;"*")&gt;0</f>
        <v>0</v>
      </c>
      <c r="Q442" s="181" t="b">
        <f>COUNTIF('Account Data'!$A$1:$A$1000,"*"&amp;A442&amp;"*")&gt;0</f>
        <v>0</v>
      </c>
      <c r="R442" s="182" t="b">
        <f t="shared" si="136"/>
        <v>0</v>
      </c>
      <c r="S442" s="182" t="b">
        <f t="shared" si="137"/>
        <v>0</v>
      </c>
      <c r="T442" s="181" t="b">
        <f>COUNTIF('New Items'!$A$1:$A$175,A442)&gt;0</f>
        <v>0</v>
      </c>
      <c r="U442" s="181" t="b">
        <f>COUNTIF(Discontinued!$A$1:$A$150,A442)&gt;0</f>
        <v>0</v>
      </c>
    </row>
    <row r="443" spans="1:21" s="8" customFormat="1" ht="13.5" thickBot="1" x14ac:dyDescent="0.25">
      <c r="A443" s="300" t="s">
        <v>2670</v>
      </c>
      <c r="B443" s="301"/>
      <c r="C443" s="301"/>
      <c r="D443" s="301"/>
      <c r="E443" s="301"/>
      <c r="F443" s="301"/>
      <c r="G443" s="301"/>
      <c r="H443" s="301"/>
      <c r="I443" s="301"/>
      <c r="J443" s="301"/>
      <c r="K443" s="301"/>
      <c r="L443" s="302"/>
      <c r="M443" s="179"/>
      <c r="N443" s="179" t="s">
        <v>3137</v>
      </c>
      <c r="O443" s="141">
        <f>AVERAGE(O444:O450)</f>
        <v>0</v>
      </c>
      <c r="P443" s="181" t="b">
        <f>COUNTIF(P444:P450,TRUE)&gt;0</f>
        <v>0</v>
      </c>
      <c r="Q443" s="181" t="b">
        <f>COUNTIF(Q444:Q450,TRUE)&gt;0</f>
        <v>0</v>
      </c>
      <c r="R443" s="181" t="b">
        <f>COUNTIF(R444:R450,TRUE)&gt;0</f>
        <v>0</v>
      </c>
      <c r="S443" s="181" t="b">
        <f>COUNTIF(S444:S450,TRUE)&gt;0</f>
        <v>0</v>
      </c>
      <c r="T443" s="181" t="b">
        <f>COUNTIF(T444:T450,TRUE)&gt;0</f>
        <v>0</v>
      </c>
      <c r="U443" s="249"/>
    </row>
    <row r="444" spans="1:21" s="8" customFormat="1" ht="11.25" x14ac:dyDescent="0.2">
      <c r="A444" s="152">
        <v>10107491</v>
      </c>
      <c r="B444" s="10" t="s">
        <v>2675</v>
      </c>
      <c r="C444" s="12" t="s">
        <v>2676</v>
      </c>
      <c r="D444" s="11" t="s">
        <v>643</v>
      </c>
      <c r="E444" s="12" t="s">
        <v>761</v>
      </c>
      <c r="F444" s="13">
        <v>12</v>
      </c>
      <c r="G444" s="22">
        <f>Overview!$B$26</f>
        <v>24</v>
      </c>
      <c r="H444" s="23">
        <f t="shared" ref="H444:H450" si="138">G444-I444</f>
        <v>24</v>
      </c>
      <c r="I444" s="23">
        <f>Overview!$E$26</f>
        <v>0</v>
      </c>
      <c r="J444" s="24">
        <f t="shared" ref="J444:J450" si="139">I444/F444</f>
        <v>0</v>
      </c>
      <c r="K444" s="50">
        <f>Overview!$H$26</f>
        <v>0</v>
      </c>
      <c r="L444" s="51" t="e">
        <f t="shared" ref="L444:L450" si="140">(K444-J444)/K444</f>
        <v>#DIV/0!</v>
      </c>
      <c r="M444" s="179"/>
      <c r="N444" s="179" t="s">
        <v>3137</v>
      </c>
      <c r="O444" s="141">
        <f t="shared" ref="O444:O450" si="141">I444</f>
        <v>0</v>
      </c>
      <c r="P444" s="181" t="b">
        <f>COUNTIF('Facility Data'!$A$1:$A$1500,"*"&amp;A444&amp;"*")&gt;0</f>
        <v>0</v>
      </c>
      <c r="Q444" s="181" t="b">
        <f>COUNTIF('Account Data'!$A$1:$A$1000,"*"&amp;A444&amp;"*")&gt;0</f>
        <v>0</v>
      </c>
      <c r="R444" s="182" t="b">
        <f t="shared" ref="R444:R450" si="142">IF(OR(P444=TRUE,T444=TRUE),TRUE,FALSE)</f>
        <v>0</v>
      </c>
      <c r="S444" s="182" t="b">
        <f t="shared" ref="S444:S450" si="143">IF(OR(Q444=TRUE,T444=TRUE),TRUE,FALSE)</f>
        <v>0</v>
      </c>
      <c r="T444" s="181" t="b">
        <f>COUNTIF('New Items'!$A$1:$A$175,A444)&gt;0</f>
        <v>0</v>
      </c>
      <c r="U444" s="181" t="b">
        <f>COUNTIF(Discontinued!$A$1:$A$150,A444)&gt;0</f>
        <v>0</v>
      </c>
    </row>
    <row r="445" spans="1:21" s="8" customFormat="1" ht="11.25" x14ac:dyDescent="0.2">
      <c r="A445" s="152">
        <v>10107490</v>
      </c>
      <c r="B445" s="10" t="s">
        <v>2677</v>
      </c>
      <c r="C445" s="12" t="s">
        <v>2678</v>
      </c>
      <c r="D445" s="11" t="s">
        <v>645</v>
      </c>
      <c r="E445" s="12" t="s">
        <v>761</v>
      </c>
      <c r="F445" s="13">
        <v>12</v>
      </c>
      <c r="G445" s="22">
        <f>Overview!$B$26</f>
        <v>24</v>
      </c>
      <c r="H445" s="23">
        <f t="shared" si="138"/>
        <v>24</v>
      </c>
      <c r="I445" s="23">
        <f>Overview!$E$26</f>
        <v>0</v>
      </c>
      <c r="J445" s="24">
        <f t="shared" si="139"/>
        <v>0</v>
      </c>
      <c r="K445" s="50">
        <f>Overview!$H$26</f>
        <v>0</v>
      </c>
      <c r="L445" s="51" t="e">
        <f t="shared" si="140"/>
        <v>#DIV/0!</v>
      </c>
      <c r="M445" s="179" t="s">
        <v>4406</v>
      </c>
      <c r="N445" s="179" t="s">
        <v>3137</v>
      </c>
      <c r="O445" s="141">
        <f t="shared" si="141"/>
        <v>0</v>
      </c>
      <c r="P445" s="181" t="b">
        <f>COUNTIF('Facility Data'!$A$1:$A$1500,"*"&amp;A445&amp;"*")&gt;0</f>
        <v>0</v>
      </c>
      <c r="Q445" s="181" t="b">
        <f>COUNTIF('Account Data'!$A$1:$A$1000,"*"&amp;A445&amp;"*")&gt;0</f>
        <v>0</v>
      </c>
      <c r="R445" s="182" t="b">
        <f t="shared" si="142"/>
        <v>0</v>
      </c>
      <c r="S445" s="182" t="b">
        <f t="shared" si="143"/>
        <v>0</v>
      </c>
      <c r="T445" s="181" t="b">
        <f>COUNTIF('New Items'!$A$1:$A$175,A445)&gt;0</f>
        <v>0</v>
      </c>
      <c r="U445" s="181" t="b">
        <f>COUNTIF(Discontinued!$A$1:$A$150,A445)&gt;0</f>
        <v>0</v>
      </c>
    </row>
    <row r="446" spans="1:21" s="8" customFormat="1" ht="11.25" x14ac:dyDescent="0.2">
      <c r="A446" s="152">
        <v>10010929</v>
      </c>
      <c r="B446" s="10" t="s">
        <v>2673</v>
      </c>
      <c r="C446" s="12" t="s">
        <v>2674</v>
      </c>
      <c r="D446" s="11" t="s">
        <v>631</v>
      </c>
      <c r="E446" s="12" t="s">
        <v>761</v>
      </c>
      <c r="F446" s="13">
        <v>12</v>
      </c>
      <c r="G446" s="22">
        <f>Overview!$B$26</f>
        <v>24</v>
      </c>
      <c r="H446" s="23">
        <f t="shared" si="138"/>
        <v>24</v>
      </c>
      <c r="I446" s="23">
        <f>Overview!$E$26</f>
        <v>0</v>
      </c>
      <c r="J446" s="24">
        <f t="shared" si="139"/>
        <v>0</v>
      </c>
      <c r="K446" s="50">
        <f>Overview!$H$26</f>
        <v>0</v>
      </c>
      <c r="L446" s="51" t="e">
        <f t="shared" si="140"/>
        <v>#DIV/0!</v>
      </c>
      <c r="M446" s="179" t="s">
        <v>951</v>
      </c>
      <c r="N446" s="179" t="s">
        <v>3137</v>
      </c>
      <c r="O446" s="141">
        <f t="shared" si="141"/>
        <v>0</v>
      </c>
      <c r="P446" s="181" t="b">
        <f>COUNTIF('Facility Data'!$A$1:$A$1500,"*"&amp;A446&amp;"*")&gt;0</f>
        <v>0</v>
      </c>
      <c r="Q446" s="181" t="b">
        <f>COUNTIF('Account Data'!$A$1:$A$1000,"*"&amp;A446&amp;"*")&gt;0</f>
        <v>0</v>
      </c>
      <c r="R446" s="182" t="b">
        <f t="shared" si="142"/>
        <v>0</v>
      </c>
      <c r="S446" s="182" t="b">
        <f t="shared" si="143"/>
        <v>0</v>
      </c>
      <c r="T446" s="181" t="b">
        <f>COUNTIF('New Items'!$A$1:$A$175,A446)&gt;0</f>
        <v>0</v>
      </c>
      <c r="U446" s="181" t="b">
        <f>COUNTIF(Discontinued!$A$1:$A$150,A446)&gt;0</f>
        <v>0</v>
      </c>
    </row>
    <row r="447" spans="1:21" s="8" customFormat="1" ht="11.25" x14ac:dyDescent="0.2">
      <c r="A447" s="152">
        <v>10107538</v>
      </c>
      <c r="B447" s="10" t="s">
        <v>2671</v>
      </c>
      <c r="C447" s="12" t="s">
        <v>2672</v>
      </c>
      <c r="D447" s="11" t="s">
        <v>629</v>
      </c>
      <c r="E447" s="12" t="s">
        <v>761</v>
      </c>
      <c r="F447" s="13">
        <v>12</v>
      </c>
      <c r="G447" s="22">
        <f>Overview!$B$26</f>
        <v>24</v>
      </c>
      <c r="H447" s="23">
        <f t="shared" si="138"/>
        <v>24</v>
      </c>
      <c r="I447" s="23">
        <f>Overview!$E$26</f>
        <v>0</v>
      </c>
      <c r="J447" s="24">
        <f t="shared" si="139"/>
        <v>0</v>
      </c>
      <c r="K447" s="50">
        <f>Overview!$H$26</f>
        <v>0</v>
      </c>
      <c r="L447" s="51" t="e">
        <f t="shared" si="140"/>
        <v>#DIV/0!</v>
      </c>
      <c r="M447" s="179" t="s">
        <v>951</v>
      </c>
      <c r="N447" s="179" t="s">
        <v>3137</v>
      </c>
      <c r="O447" s="141">
        <f t="shared" si="141"/>
        <v>0</v>
      </c>
      <c r="P447" s="181" t="b">
        <f>COUNTIF('Facility Data'!$A$1:$A$1500,"*"&amp;A447&amp;"*")&gt;0</f>
        <v>0</v>
      </c>
      <c r="Q447" s="181" t="b">
        <f>COUNTIF('Account Data'!$A$1:$A$1000,"*"&amp;A447&amp;"*")&gt;0</f>
        <v>0</v>
      </c>
      <c r="R447" s="182" t="b">
        <f t="shared" si="142"/>
        <v>0</v>
      </c>
      <c r="S447" s="182" t="b">
        <f t="shared" si="143"/>
        <v>0</v>
      </c>
      <c r="T447" s="181" t="b">
        <f>COUNTIF('New Items'!$A$1:$A$175,A447)&gt;0</f>
        <v>0</v>
      </c>
      <c r="U447" s="181" t="b">
        <f>COUNTIF(Discontinued!$A$1:$A$150,A447)&gt;0</f>
        <v>0</v>
      </c>
    </row>
    <row r="448" spans="1:21" s="8" customFormat="1" ht="11.25" x14ac:dyDescent="0.2">
      <c r="A448" s="152">
        <v>10107462</v>
      </c>
      <c r="B448" s="10" t="s">
        <v>2683</v>
      </c>
      <c r="C448" s="12" t="s">
        <v>2684</v>
      </c>
      <c r="D448" s="11" t="s">
        <v>660</v>
      </c>
      <c r="E448" s="12" t="s">
        <v>761</v>
      </c>
      <c r="F448" s="13">
        <v>12</v>
      </c>
      <c r="G448" s="22">
        <f>Overview!$B$26</f>
        <v>24</v>
      </c>
      <c r="H448" s="23">
        <f t="shared" si="138"/>
        <v>24</v>
      </c>
      <c r="I448" s="23">
        <f>Overview!$E$26</f>
        <v>0</v>
      </c>
      <c r="J448" s="24">
        <f t="shared" si="139"/>
        <v>0</v>
      </c>
      <c r="K448" s="50">
        <f>Overview!$H$26</f>
        <v>0</v>
      </c>
      <c r="L448" s="51" t="e">
        <f t="shared" si="140"/>
        <v>#DIV/0!</v>
      </c>
      <c r="M448" s="179"/>
      <c r="N448" s="179" t="s">
        <v>3137</v>
      </c>
      <c r="O448" s="141">
        <f t="shared" si="141"/>
        <v>0</v>
      </c>
      <c r="P448" s="181" t="b">
        <f>COUNTIF('Facility Data'!$A$1:$A$1500,"*"&amp;A448&amp;"*")&gt;0</f>
        <v>0</v>
      </c>
      <c r="Q448" s="181" t="b">
        <f>COUNTIF('Account Data'!$A$1:$A$1000,"*"&amp;A448&amp;"*")&gt;0</f>
        <v>0</v>
      </c>
      <c r="R448" s="182" t="b">
        <f t="shared" si="142"/>
        <v>0</v>
      </c>
      <c r="S448" s="182" t="b">
        <f t="shared" si="143"/>
        <v>0</v>
      </c>
      <c r="T448" s="181" t="b">
        <f>COUNTIF('New Items'!$A$1:$A$175,A448)&gt;0</f>
        <v>0</v>
      </c>
      <c r="U448" s="181" t="b">
        <f>COUNTIF(Discontinued!$A$1:$A$150,A448)&gt;0</f>
        <v>0</v>
      </c>
    </row>
    <row r="449" spans="1:21" s="8" customFormat="1" ht="11.25" x14ac:dyDescent="0.2">
      <c r="A449" s="152">
        <v>10107461</v>
      </c>
      <c r="B449" s="10" t="s">
        <v>2681</v>
      </c>
      <c r="C449" s="12" t="s">
        <v>2682</v>
      </c>
      <c r="D449" s="11" t="s">
        <v>636</v>
      </c>
      <c r="E449" s="12" t="s">
        <v>761</v>
      </c>
      <c r="F449" s="13">
        <v>12</v>
      </c>
      <c r="G449" s="22">
        <f>Overview!$B$26</f>
        <v>24</v>
      </c>
      <c r="H449" s="23">
        <f t="shared" si="138"/>
        <v>24</v>
      </c>
      <c r="I449" s="23">
        <f>Overview!$E$26</f>
        <v>0</v>
      </c>
      <c r="J449" s="24">
        <f t="shared" si="139"/>
        <v>0</v>
      </c>
      <c r="K449" s="50">
        <f>Overview!$H$26</f>
        <v>0</v>
      </c>
      <c r="L449" s="51" t="e">
        <f t="shared" si="140"/>
        <v>#DIV/0!</v>
      </c>
      <c r="M449" s="179" t="s">
        <v>4370</v>
      </c>
      <c r="N449" s="179" t="s">
        <v>3137</v>
      </c>
      <c r="O449" s="141">
        <f t="shared" si="141"/>
        <v>0</v>
      </c>
      <c r="P449" s="181" t="b">
        <f>COUNTIF('Facility Data'!$A$1:$A$1500,"*"&amp;A449&amp;"*")&gt;0</f>
        <v>0</v>
      </c>
      <c r="Q449" s="181" t="b">
        <f>COUNTIF('Account Data'!$A$1:$A$1000,"*"&amp;A449&amp;"*")&gt;0</f>
        <v>0</v>
      </c>
      <c r="R449" s="182" t="b">
        <f t="shared" si="142"/>
        <v>0</v>
      </c>
      <c r="S449" s="182" t="b">
        <f t="shared" si="143"/>
        <v>0</v>
      </c>
      <c r="T449" s="181" t="b">
        <f>COUNTIF('New Items'!$A$1:$A$175,A449)&gt;0</f>
        <v>0</v>
      </c>
      <c r="U449" s="181" t="b">
        <f>COUNTIF(Discontinued!$A$1:$A$150,A449)&gt;0</f>
        <v>0</v>
      </c>
    </row>
    <row r="450" spans="1:21" s="8" customFormat="1" ht="12" thickBot="1" x14ac:dyDescent="0.25">
      <c r="A450" s="152">
        <v>10107564</v>
      </c>
      <c r="B450" s="10" t="s">
        <v>2679</v>
      </c>
      <c r="C450" s="12" t="s">
        <v>2680</v>
      </c>
      <c r="D450" s="11" t="s">
        <v>650</v>
      </c>
      <c r="E450" s="12" t="s">
        <v>761</v>
      </c>
      <c r="F450" s="13">
        <v>12</v>
      </c>
      <c r="G450" s="22">
        <f>Overview!$B$26</f>
        <v>24</v>
      </c>
      <c r="H450" s="23">
        <f t="shared" si="138"/>
        <v>24</v>
      </c>
      <c r="I450" s="23">
        <f>Overview!$E$26</f>
        <v>0</v>
      </c>
      <c r="J450" s="24">
        <f t="shared" si="139"/>
        <v>0</v>
      </c>
      <c r="K450" s="50">
        <f>Overview!$H$26</f>
        <v>0</v>
      </c>
      <c r="L450" s="51" t="e">
        <f t="shared" si="140"/>
        <v>#DIV/0!</v>
      </c>
      <c r="M450" s="179" t="s">
        <v>4369</v>
      </c>
      <c r="N450" s="179" t="s">
        <v>3137</v>
      </c>
      <c r="O450" s="141">
        <f t="shared" si="141"/>
        <v>0</v>
      </c>
      <c r="P450" s="181" t="b">
        <f>COUNTIF('Facility Data'!$A$1:$A$1500,"*"&amp;A450&amp;"*")&gt;0</f>
        <v>0</v>
      </c>
      <c r="Q450" s="181" t="b">
        <f>COUNTIF('Account Data'!$A$1:$A$1000,"*"&amp;A450&amp;"*")&gt;0</f>
        <v>0</v>
      </c>
      <c r="R450" s="182" t="b">
        <f t="shared" si="142"/>
        <v>0</v>
      </c>
      <c r="S450" s="182" t="b">
        <f t="shared" si="143"/>
        <v>0</v>
      </c>
      <c r="T450" s="181" t="b">
        <f>COUNTIF('New Items'!$A$1:$A$175,A450)&gt;0</f>
        <v>0</v>
      </c>
      <c r="U450" s="181" t="b">
        <f>COUNTIF(Discontinued!$A$1:$A$150,A450)&gt;0</f>
        <v>0</v>
      </c>
    </row>
    <row r="451" spans="1:21" s="8" customFormat="1" ht="13.5" thickBot="1" x14ac:dyDescent="0.25">
      <c r="A451" s="300" t="s">
        <v>3390</v>
      </c>
      <c r="B451" s="301"/>
      <c r="C451" s="301"/>
      <c r="D451" s="301"/>
      <c r="E451" s="301"/>
      <c r="F451" s="301"/>
      <c r="G451" s="301"/>
      <c r="H451" s="301"/>
      <c r="I451" s="301"/>
      <c r="J451" s="301"/>
      <c r="K451" s="301"/>
      <c r="L451" s="302"/>
      <c r="M451" s="179"/>
      <c r="N451" s="179" t="s">
        <v>969</v>
      </c>
      <c r="O451" s="141">
        <f>AVERAGE(O452:O524)</f>
        <v>0</v>
      </c>
      <c r="P451" s="181" t="b">
        <f>COUNTIF(P452:P524,TRUE)&gt;0</f>
        <v>1</v>
      </c>
      <c r="Q451" s="181" t="b">
        <f>COUNTIF(Q452:Q524,TRUE)&gt;0</f>
        <v>1</v>
      </c>
      <c r="R451" s="181" t="b">
        <f>COUNTIF(R452:R524,TRUE)&gt;0</f>
        <v>1</v>
      </c>
      <c r="S451" s="181" t="b">
        <f>COUNTIF(S452:S524,TRUE)&gt;0</f>
        <v>1</v>
      </c>
      <c r="T451" s="181" t="b">
        <f>COUNTIF(T452:T524,TRUE)&gt;0</f>
        <v>0</v>
      </c>
      <c r="U451" s="249"/>
    </row>
    <row r="452" spans="1:21" s="8" customFormat="1" ht="11.25" x14ac:dyDescent="0.2">
      <c r="A452" s="152">
        <v>10001415</v>
      </c>
      <c r="B452" s="10" t="s">
        <v>217</v>
      </c>
      <c r="C452" s="12" t="s">
        <v>218</v>
      </c>
      <c r="D452" s="11" t="s">
        <v>643</v>
      </c>
      <c r="E452" s="12" t="s">
        <v>773</v>
      </c>
      <c r="F452" s="13">
        <v>8</v>
      </c>
      <c r="G452" s="22">
        <f>Overview!$B$27</f>
        <v>16</v>
      </c>
      <c r="H452" s="114">
        <f t="shared" ref="H452:H488" si="144">G452-I452</f>
        <v>16</v>
      </c>
      <c r="I452" s="114">
        <f>Overview!$E$27</f>
        <v>0</v>
      </c>
      <c r="J452" s="115">
        <f t="shared" ref="J452:J488" si="145">I452/F452</f>
        <v>0</v>
      </c>
      <c r="K452" s="116">
        <f>Overview!$H$27</f>
        <v>0</v>
      </c>
      <c r="L452" s="117" t="e">
        <f t="shared" ref="L452:L488" si="146">(K452-J452)/K452</f>
        <v>#DIV/0!</v>
      </c>
      <c r="M452" s="179"/>
      <c r="N452" s="179" t="s">
        <v>969</v>
      </c>
      <c r="O452" s="141">
        <f t="shared" ref="O452:O488" si="147">I452</f>
        <v>0</v>
      </c>
      <c r="P452" s="181" t="b">
        <f>COUNTIF('Facility Data'!$A$1:$A$1500,"*"&amp;A452&amp;"*")&gt;0</f>
        <v>1</v>
      </c>
      <c r="Q452" s="181" t="b">
        <f>COUNTIF('Account Data'!$A$1:$A$1000,"*"&amp;A452&amp;"*")&gt;0</f>
        <v>1</v>
      </c>
      <c r="R452" s="182" t="b">
        <f t="shared" ref="R452:R489" si="148">IF(OR(P452=TRUE,T452=TRUE),TRUE,FALSE)</f>
        <v>1</v>
      </c>
      <c r="S452" s="182" t="b">
        <f t="shared" ref="S452:S488" si="149">IF(OR(Q452=TRUE,T452=TRUE),TRUE,FALSE)</f>
        <v>1</v>
      </c>
      <c r="T452" s="181" t="b">
        <f>COUNTIF('New Items'!$A$1:$A$175,A452)&gt;0</f>
        <v>0</v>
      </c>
      <c r="U452" s="181" t="b">
        <f>COUNTIF(Discontinued!$A$1:$A$150,A452)&gt;0</f>
        <v>0</v>
      </c>
    </row>
    <row r="453" spans="1:21" s="8" customFormat="1" ht="11.25" x14ac:dyDescent="0.2">
      <c r="A453" s="152">
        <v>10078452</v>
      </c>
      <c r="B453" s="10" t="s">
        <v>2822</v>
      </c>
      <c r="C453" s="12" t="s">
        <v>218</v>
      </c>
      <c r="D453" s="11" t="s">
        <v>2823</v>
      </c>
      <c r="E453" s="12" t="s">
        <v>773</v>
      </c>
      <c r="F453" s="13">
        <v>8</v>
      </c>
      <c r="G453" s="22">
        <f>Overview!$B$27</f>
        <v>16</v>
      </c>
      <c r="H453" s="114">
        <f t="shared" si="144"/>
        <v>16</v>
      </c>
      <c r="I453" s="114">
        <f>Overview!$E$27</f>
        <v>0</v>
      </c>
      <c r="J453" s="115">
        <f t="shared" si="145"/>
        <v>0</v>
      </c>
      <c r="K453" s="116">
        <f>Overview!$H$27</f>
        <v>0</v>
      </c>
      <c r="L453" s="117" t="e">
        <f t="shared" si="146"/>
        <v>#DIV/0!</v>
      </c>
      <c r="M453" s="179"/>
      <c r="N453" s="179" t="s">
        <v>969</v>
      </c>
      <c r="O453" s="141">
        <f t="shared" si="147"/>
        <v>0</v>
      </c>
      <c r="P453" s="181" t="b">
        <f>COUNTIF('Facility Data'!$A$1:$A$1500,"*"&amp;A453&amp;"*")&gt;0</f>
        <v>0</v>
      </c>
      <c r="Q453" s="181" t="b">
        <f>COUNTIF('Account Data'!$A$1:$A$1000,"*"&amp;A453&amp;"*")&gt;0</f>
        <v>0</v>
      </c>
      <c r="R453" s="182" t="b">
        <f t="shared" si="148"/>
        <v>0</v>
      </c>
      <c r="S453" s="182" t="b">
        <f t="shared" si="149"/>
        <v>0</v>
      </c>
      <c r="T453" s="181" t="b">
        <f>COUNTIF('New Items'!$A$1:$A$175,A453)&gt;0</f>
        <v>0</v>
      </c>
      <c r="U453" s="181" t="b">
        <f>COUNTIF(Discontinued!$A$1:$A$150,A453)&gt;0</f>
        <v>0</v>
      </c>
    </row>
    <row r="454" spans="1:21" s="8" customFormat="1" ht="11.25" x14ac:dyDescent="0.2">
      <c r="A454" s="152">
        <v>10001416</v>
      </c>
      <c r="B454" s="10" t="s">
        <v>4809</v>
      </c>
      <c r="C454" s="12" t="s">
        <v>220</v>
      </c>
      <c r="D454" s="11" t="s">
        <v>4733</v>
      </c>
      <c r="E454" s="12" t="s">
        <v>773</v>
      </c>
      <c r="F454" s="13">
        <v>8</v>
      </c>
      <c r="G454" s="22">
        <f>Overview!$B$27</f>
        <v>16</v>
      </c>
      <c r="H454" s="114">
        <f>G454-I454</f>
        <v>16</v>
      </c>
      <c r="I454" s="114">
        <f>Overview!$E$27</f>
        <v>0</v>
      </c>
      <c r="J454" s="115">
        <f>I454/F454</f>
        <v>0</v>
      </c>
      <c r="K454" s="116">
        <f>Overview!$H$27</f>
        <v>0</v>
      </c>
      <c r="L454" s="117" t="e">
        <f>(K454-J454)/K454</f>
        <v>#DIV/0!</v>
      </c>
      <c r="M454" s="179"/>
      <c r="N454" s="179" t="s">
        <v>969</v>
      </c>
      <c r="O454" s="141">
        <f>I454</f>
        <v>0</v>
      </c>
      <c r="P454" s="181" t="b">
        <f>COUNTIF('Facility Data'!$A$1:$A$1500,"*"&amp;A454&amp;"*")&gt;0</f>
        <v>1</v>
      </c>
      <c r="Q454" s="181" t="b">
        <f>COUNTIF('Account Data'!$A$1:$A$1000,"*"&amp;A454&amp;"*")&gt;0</f>
        <v>1</v>
      </c>
      <c r="R454" s="182" t="b">
        <f>IF(OR(P454=TRUE,T454=TRUE),TRUE,FALSE)</f>
        <v>1</v>
      </c>
      <c r="S454" s="182" t="b">
        <f>IF(OR(Q454=TRUE,T454=TRUE),TRUE,FALSE)</f>
        <v>1</v>
      </c>
      <c r="T454" s="181" t="b">
        <f>COUNTIF('New Items'!$A$1:$A$175,A454)&gt;0</f>
        <v>0</v>
      </c>
      <c r="U454" s="181" t="b">
        <f>COUNTIF(Discontinued!$A$1:$A$150,A454)&gt;0</f>
        <v>0</v>
      </c>
    </row>
    <row r="455" spans="1:21" s="8" customFormat="1" ht="11.25" x14ac:dyDescent="0.2">
      <c r="A455" s="152">
        <v>10001417</v>
      </c>
      <c r="B455" s="10" t="s">
        <v>229</v>
      </c>
      <c r="C455" s="12" t="s">
        <v>230</v>
      </c>
      <c r="D455" s="11" t="s">
        <v>646</v>
      </c>
      <c r="E455" s="12" t="s">
        <v>773</v>
      </c>
      <c r="F455" s="13">
        <v>8</v>
      </c>
      <c r="G455" s="22">
        <f>Overview!$B$27</f>
        <v>16</v>
      </c>
      <c r="H455" s="114">
        <f t="shared" si="144"/>
        <v>16</v>
      </c>
      <c r="I455" s="114">
        <f>Overview!$E$27</f>
        <v>0</v>
      </c>
      <c r="J455" s="115">
        <f t="shared" si="145"/>
        <v>0</v>
      </c>
      <c r="K455" s="116">
        <f>Overview!$H$27</f>
        <v>0</v>
      </c>
      <c r="L455" s="117" t="e">
        <f t="shared" si="146"/>
        <v>#DIV/0!</v>
      </c>
      <c r="M455" s="179" t="s">
        <v>4406</v>
      </c>
      <c r="N455" s="179" t="s">
        <v>969</v>
      </c>
      <c r="O455" s="141">
        <f t="shared" si="147"/>
        <v>0</v>
      </c>
      <c r="P455" s="181" t="b">
        <f>COUNTIF('Facility Data'!$A$1:$A$1500,"*"&amp;A455&amp;"*")&gt;0</f>
        <v>1</v>
      </c>
      <c r="Q455" s="181" t="b">
        <f>COUNTIF('Account Data'!$A$1:$A$1000,"*"&amp;A455&amp;"*")&gt;0</f>
        <v>1</v>
      </c>
      <c r="R455" s="182" t="b">
        <f t="shared" si="148"/>
        <v>1</v>
      </c>
      <c r="S455" s="182" t="b">
        <f t="shared" si="149"/>
        <v>1</v>
      </c>
      <c r="T455" s="181" t="b">
        <f>COUNTIF('New Items'!$A$1:$A$175,A455)&gt;0</f>
        <v>0</v>
      </c>
      <c r="U455" s="181" t="b">
        <f>COUNTIF(Discontinued!$A$1:$A$150,A455)&gt;0</f>
        <v>0</v>
      </c>
    </row>
    <row r="456" spans="1:21" s="8" customFormat="1" ht="11.25" x14ac:dyDescent="0.2">
      <c r="A456" s="152">
        <v>10000095</v>
      </c>
      <c r="B456" s="10" t="s">
        <v>4812</v>
      </c>
      <c r="C456" s="12" t="s">
        <v>232</v>
      </c>
      <c r="D456" s="11" t="s">
        <v>4753</v>
      </c>
      <c r="E456" s="12" t="s">
        <v>773</v>
      </c>
      <c r="F456" s="13">
        <v>8</v>
      </c>
      <c r="G456" s="22">
        <f>Overview!$B$27</f>
        <v>16</v>
      </c>
      <c r="H456" s="114">
        <f>G456-I456</f>
        <v>16</v>
      </c>
      <c r="I456" s="114">
        <f>Overview!$E$27</f>
        <v>0</v>
      </c>
      <c r="J456" s="115">
        <f>I456/F456</f>
        <v>0</v>
      </c>
      <c r="K456" s="116">
        <f>Overview!$H$27</f>
        <v>0</v>
      </c>
      <c r="L456" s="117" t="e">
        <f>(K456-J456)/K456</f>
        <v>#DIV/0!</v>
      </c>
      <c r="M456" s="179" t="s">
        <v>4406</v>
      </c>
      <c r="N456" s="179" t="s">
        <v>969</v>
      </c>
      <c r="O456" s="141">
        <f>I456</f>
        <v>0</v>
      </c>
      <c r="P456" s="181" t="b">
        <f>COUNTIF('Facility Data'!$A$1:$A$1500,"*"&amp;A456&amp;"*")&gt;0</f>
        <v>0</v>
      </c>
      <c r="Q456" s="181" t="b">
        <f>COUNTIF('Account Data'!$A$1:$A$1000,"*"&amp;A456&amp;"*")&gt;0</f>
        <v>0</v>
      </c>
      <c r="R456" s="182" t="b">
        <f>IF(OR(P456=TRUE,T456=TRUE),TRUE,FALSE)</f>
        <v>0</v>
      </c>
      <c r="S456" s="182" t="b">
        <f>IF(OR(Q456=TRUE,T456=TRUE),TRUE,FALSE)</f>
        <v>0</v>
      </c>
      <c r="T456" s="181" t="b">
        <f>COUNTIF('New Items'!$A$1:$A$175,A456)&gt;0</f>
        <v>0</v>
      </c>
      <c r="U456" s="181" t="b">
        <f>COUNTIF(Discontinued!$A$1:$A$150,A456)&gt;0</f>
        <v>0</v>
      </c>
    </row>
    <row r="457" spans="1:21" s="8" customFormat="1" ht="11.25" x14ac:dyDescent="0.2">
      <c r="A457" s="152">
        <v>10001437</v>
      </c>
      <c r="B457" s="10" t="s">
        <v>225</v>
      </c>
      <c r="C457" s="12" t="s">
        <v>226</v>
      </c>
      <c r="D457" s="11" t="s">
        <v>645</v>
      </c>
      <c r="E457" s="12" t="s">
        <v>773</v>
      </c>
      <c r="F457" s="13">
        <v>8</v>
      </c>
      <c r="G457" s="22">
        <f>Overview!$B$27</f>
        <v>16</v>
      </c>
      <c r="H457" s="114">
        <f t="shared" si="144"/>
        <v>16</v>
      </c>
      <c r="I457" s="114">
        <f>Overview!$E$27</f>
        <v>0</v>
      </c>
      <c r="J457" s="115">
        <f t="shared" si="145"/>
        <v>0</v>
      </c>
      <c r="K457" s="116">
        <f>Overview!$H$27</f>
        <v>0</v>
      </c>
      <c r="L457" s="117" t="e">
        <f t="shared" si="146"/>
        <v>#DIV/0!</v>
      </c>
      <c r="M457" s="179" t="s">
        <v>4406</v>
      </c>
      <c r="N457" s="179" t="s">
        <v>969</v>
      </c>
      <c r="O457" s="141">
        <f t="shared" si="147"/>
        <v>0</v>
      </c>
      <c r="P457" s="181" t="b">
        <f>COUNTIF('Facility Data'!$A$1:$A$1500,"*"&amp;A457&amp;"*")&gt;0</f>
        <v>1</v>
      </c>
      <c r="Q457" s="181" t="b">
        <f>COUNTIF('Account Data'!$A$1:$A$1000,"*"&amp;A457&amp;"*")&gt;0</f>
        <v>1</v>
      </c>
      <c r="R457" s="182" t="b">
        <f t="shared" si="148"/>
        <v>1</v>
      </c>
      <c r="S457" s="182" t="b">
        <f t="shared" si="149"/>
        <v>1</v>
      </c>
      <c r="T457" s="181" t="b">
        <f>COUNTIF('New Items'!$A$1:$A$175,A457)&gt;0</f>
        <v>0</v>
      </c>
      <c r="U457" s="181" t="b">
        <f>COUNTIF(Discontinued!$A$1:$A$150,A457)&gt;0</f>
        <v>0</v>
      </c>
    </row>
    <row r="458" spans="1:21" s="8" customFormat="1" ht="11.25" x14ac:dyDescent="0.2">
      <c r="A458" s="152">
        <v>10078451</v>
      </c>
      <c r="B458" s="10" t="s">
        <v>2824</v>
      </c>
      <c r="C458" s="12" t="s">
        <v>226</v>
      </c>
      <c r="D458" s="11" t="s">
        <v>2825</v>
      </c>
      <c r="E458" s="12" t="s">
        <v>773</v>
      </c>
      <c r="F458" s="13">
        <v>8</v>
      </c>
      <c r="G458" s="22">
        <f>Overview!$B$27</f>
        <v>16</v>
      </c>
      <c r="H458" s="114">
        <f t="shared" si="144"/>
        <v>16</v>
      </c>
      <c r="I458" s="114">
        <f>Overview!$E$27</f>
        <v>0</v>
      </c>
      <c r="J458" s="115">
        <f t="shared" si="145"/>
        <v>0</v>
      </c>
      <c r="K458" s="116">
        <f>Overview!$H$27</f>
        <v>0</v>
      </c>
      <c r="L458" s="117" t="e">
        <f t="shared" si="146"/>
        <v>#DIV/0!</v>
      </c>
      <c r="M458" s="179" t="s">
        <v>4406</v>
      </c>
      <c r="N458" s="179" t="s">
        <v>969</v>
      </c>
      <c r="O458" s="141">
        <f t="shared" si="147"/>
        <v>0</v>
      </c>
      <c r="P458" s="181" t="b">
        <f>COUNTIF('Facility Data'!$A$1:$A$1500,"*"&amp;A458&amp;"*")&gt;0</f>
        <v>0</v>
      </c>
      <c r="Q458" s="181" t="b">
        <f>COUNTIF('Account Data'!$A$1:$A$1000,"*"&amp;A458&amp;"*")&gt;0</f>
        <v>0</v>
      </c>
      <c r="R458" s="182" t="b">
        <f t="shared" si="148"/>
        <v>0</v>
      </c>
      <c r="S458" s="182" t="b">
        <f t="shared" si="149"/>
        <v>0</v>
      </c>
      <c r="T458" s="181" t="b">
        <f>COUNTIF('New Items'!$A$1:$A$175,A458)&gt;0</f>
        <v>0</v>
      </c>
      <c r="U458" s="181" t="b">
        <f>COUNTIF(Discontinued!$A$1:$A$150,A458)&gt;0</f>
        <v>0</v>
      </c>
    </row>
    <row r="459" spans="1:21" s="8" customFormat="1" ht="11.25" x14ac:dyDescent="0.2">
      <c r="A459" s="152">
        <v>10001438</v>
      </c>
      <c r="B459" s="10" t="s">
        <v>4811</v>
      </c>
      <c r="C459" s="12" t="s">
        <v>228</v>
      </c>
      <c r="D459" s="11" t="s">
        <v>4735</v>
      </c>
      <c r="E459" s="12" t="s">
        <v>773</v>
      </c>
      <c r="F459" s="13">
        <v>8</v>
      </c>
      <c r="G459" s="22">
        <f>Overview!$B$27</f>
        <v>16</v>
      </c>
      <c r="H459" s="114">
        <f>G459-I459</f>
        <v>16</v>
      </c>
      <c r="I459" s="114">
        <f>Overview!$E$27</f>
        <v>0</v>
      </c>
      <c r="J459" s="115">
        <f>I459/F459</f>
        <v>0</v>
      </c>
      <c r="K459" s="116">
        <f>Overview!$H$27</f>
        <v>0</v>
      </c>
      <c r="L459" s="117" t="e">
        <f>(K459-J459)/K459</f>
        <v>#DIV/0!</v>
      </c>
      <c r="M459" s="179" t="s">
        <v>4406</v>
      </c>
      <c r="N459" s="179" t="s">
        <v>969</v>
      </c>
      <c r="O459" s="141">
        <f>I459</f>
        <v>0</v>
      </c>
      <c r="P459" s="181" t="b">
        <f>COUNTIF('Facility Data'!$A$1:$A$1500,"*"&amp;A459&amp;"*")&gt;0</f>
        <v>1</v>
      </c>
      <c r="Q459" s="181" t="b">
        <f>COUNTIF('Account Data'!$A$1:$A$1000,"*"&amp;A459&amp;"*")&gt;0</f>
        <v>1</v>
      </c>
      <c r="R459" s="182" t="b">
        <f>IF(OR(P459=TRUE,T459=TRUE),TRUE,FALSE)</f>
        <v>1</v>
      </c>
      <c r="S459" s="182" t="b">
        <f>IF(OR(Q459=TRUE,T459=TRUE),TRUE,FALSE)</f>
        <v>1</v>
      </c>
      <c r="T459" s="181" t="b">
        <f>COUNTIF('New Items'!$A$1:$A$175,A459)&gt;0</f>
        <v>0</v>
      </c>
      <c r="U459" s="181" t="b">
        <f>COUNTIF(Discontinued!$A$1:$A$150,A459)&gt;0</f>
        <v>0</v>
      </c>
    </row>
    <row r="460" spans="1:21" s="8" customFormat="1" ht="11.25" x14ac:dyDescent="0.2">
      <c r="A460" s="152">
        <v>10002245</v>
      </c>
      <c r="B460" s="10" t="s">
        <v>1310</v>
      </c>
      <c r="C460" s="12" t="s">
        <v>1311</v>
      </c>
      <c r="D460" s="11" t="s">
        <v>1299</v>
      </c>
      <c r="E460" s="12" t="s">
        <v>773</v>
      </c>
      <c r="F460" s="13">
        <v>8</v>
      </c>
      <c r="G460" s="22">
        <f>Overview!$B$27</f>
        <v>16</v>
      </c>
      <c r="H460" s="114">
        <f t="shared" si="144"/>
        <v>16</v>
      </c>
      <c r="I460" s="114">
        <f>Overview!$E$27</f>
        <v>0</v>
      </c>
      <c r="J460" s="115">
        <f t="shared" si="145"/>
        <v>0</v>
      </c>
      <c r="K460" s="116">
        <f>Overview!$H$27</f>
        <v>0</v>
      </c>
      <c r="L460" s="117" t="e">
        <f t="shared" si="146"/>
        <v>#DIV/0!</v>
      </c>
      <c r="M460" s="179"/>
      <c r="N460" s="179" t="s">
        <v>3158</v>
      </c>
      <c r="O460" s="141">
        <f t="shared" si="147"/>
        <v>0</v>
      </c>
      <c r="P460" s="181" t="b">
        <f>COUNTIF('Facility Data'!$A$1:$A$1500,"*"&amp;A460&amp;"*")&gt;0</f>
        <v>1</v>
      </c>
      <c r="Q460" s="181" t="b">
        <f>COUNTIF('Account Data'!$A$1:$A$1000,"*"&amp;A460&amp;"*")&gt;0</f>
        <v>0</v>
      </c>
      <c r="R460" s="182" t="b">
        <f t="shared" si="148"/>
        <v>1</v>
      </c>
      <c r="S460" s="182" t="b">
        <f t="shared" si="149"/>
        <v>0</v>
      </c>
      <c r="T460" s="181" t="b">
        <f>COUNTIF('New Items'!$A$1:$A$175,A460)&gt;0</f>
        <v>0</v>
      </c>
      <c r="U460" s="181" t="b">
        <f>COUNTIF(Discontinued!$A$1:$A$150,A460)&gt;0</f>
        <v>0</v>
      </c>
    </row>
    <row r="461" spans="1:21" s="8" customFormat="1" ht="11.25" x14ac:dyDescent="0.2">
      <c r="A461" s="152">
        <v>10000094</v>
      </c>
      <c r="B461" s="10" t="s">
        <v>1435</v>
      </c>
      <c r="C461" s="12" t="s">
        <v>1436</v>
      </c>
      <c r="D461" s="11" t="s">
        <v>1387</v>
      </c>
      <c r="E461" s="12" t="s">
        <v>773</v>
      </c>
      <c r="F461" s="13">
        <v>8</v>
      </c>
      <c r="G461" s="22">
        <f>Overview!$B$27</f>
        <v>16</v>
      </c>
      <c r="H461" s="114">
        <f t="shared" si="144"/>
        <v>16</v>
      </c>
      <c r="I461" s="114">
        <f>Overview!$E$27</f>
        <v>0</v>
      </c>
      <c r="J461" s="115">
        <f t="shared" si="145"/>
        <v>0</v>
      </c>
      <c r="K461" s="116">
        <f>Overview!$H$27</f>
        <v>0</v>
      </c>
      <c r="L461" s="117" t="e">
        <f t="shared" si="146"/>
        <v>#DIV/0!</v>
      </c>
      <c r="M461" s="179"/>
      <c r="N461" s="179" t="s">
        <v>3158</v>
      </c>
      <c r="O461" s="141">
        <f t="shared" si="147"/>
        <v>0</v>
      </c>
      <c r="P461" s="181" t="b">
        <f>COUNTIF('Facility Data'!$A$1:$A$1500,"*"&amp;A461&amp;"*")&gt;0</f>
        <v>1</v>
      </c>
      <c r="Q461" s="181" t="b">
        <f>COUNTIF('Account Data'!$A$1:$A$1000,"*"&amp;A461&amp;"*")&gt;0</f>
        <v>0</v>
      </c>
      <c r="R461" s="182" t="b">
        <f t="shared" si="148"/>
        <v>1</v>
      </c>
      <c r="S461" s="182" t="b">
        <f t="shared" si="149"/>
        <v>0</v>
      </c>
      <c r="T461" s="181" t="b">
        <f>COUNTIF('New Items'!$A$1:$A$175,A461)&gt;0</f>
        <v>0</v>
      </c>
      <c r="U461" s="181" t="b">
        <f>COUNTIF(Discontinued!$A$1:$A$150,A461)&gt;0</f>
        <v>0</v>
      </c>
    </row>
    <row r="462" spans="1:21" s="8" customFormat="1" ht="11.25" x14ac:dyDescent="0.2">
      <c r="A462" s="152">
        <v>10001453</v>
      </c>
      <c r="B462" s="10" t="s">
        <v>265</v>
      </c>
      <c r="C462" s="12" t="s">
        <v>266</v>
      </c>
      <c r="D462" s="11" t="s">
        <v>640</v>
      </c>
      <c r="E462" s="12" t="s">
        <v>773</v>
      </c>
      <c r="F462" s="13">
        <v>8</v>
      </c>
      <c r="G462" s="22">
        <f>Overview!$B$27</f>
        <v>16</v>
      </c>
      <c r="H462" s="114">
        <f t="shared" si="144"/>
        <v>16</v>
      </c>
      <c r="I462" s="114">
        <f>Overview!$E$27</f>
        <v>0</v>
      </c>
      <c r="J462" s="115">
        <f t="shared" si="145"/>
        <v>0</v>
      </c>
      <c r="K462" s="116">
        <f>Overview!$H$27</f>
        <v>0</v>
      </c>
      <c r="L462" s="117" t="e">
        <f t="shared" si="146"/>
        <v>#DIV/0!</v>
      </c>
      <c r="M462" s="179"/>
      <c r="N462" s="179" t="s">
        <v>3158</v>
      </c>
      <c r="O462" s="141">
        <f t="shared" si="147"/>
        <v>0</v>
      </c>
      <c r="P462" s="181" t="b">
        <f>COUNTIF('Facility Data'!$A$1:$A$1500,"*"&amp;A462&amp;"*")&gt;0</f>
        <v>1</v>
      </c>
      <c r="Q462" s="181" t="b">
        <f>COUNTIF('Account Data'!$A$1:$A$1000,"*"&amp;A462&amp;"*")&gt;0</f>
        <v>1</v>
      </c>
      <c r="R462" s="182" t="b">
        <f t="shared" si="148"/>
        <v>1</v>
      </c>
      <c r="S462" s="182" t="b">
        <f t="shared" si="149"/>
        <v>1</v>
      </c>
      <c r="T462" s="181" t="b">
        <f>COUNTIF('New Items'!$A$1:$A$175,A462)&gt;0</f>
        <v>0</v>
      </c>
      <c r="U462" s="181" t="b">
        <f>COUNTIF(Discontinued!$A$1:$A$150,A462)&gt;0</f>
        <v>0</v>
      </c>
    </row>
    <row r="463" spans="1:21" s="8" customFormat="1" ht="11.25" x14ac:dyDescent="0.2">
      <c r="A463" s="152">
        <v>10001470</v>
      </c>
      <c r="B463" s="10" t="s">
        <v>267</v>
      </c>
      <c r="C463" s="12" t="s">
        <v>268</v>
      </c>
      <c r="D463" s="11" t="s">
        <v>662</v>
      </c>
      <c r="E463" s="12" t="s">
        <v>773</v>
      </c>
      <c r="F463" s="13">
        <v>8</v>
      </c>
      <c r="G463" s="22">
        <f>Overview!$B$27</f>
        <v>16</v>
      </c>
      <c r="H463" s="114">
        <f t="shared" si="144"/>
        <v>16</v>
      </c>
      <c r="I463" s="114">
        <f>Overview!$E$27</f>
        <v>0</v>
      </c>
      <c r="J463" s="115">
        <f t="shared" si="145"/>
        <v>0</v>
      </c>
      <c r="K463" s="116">
        <f>Overview!$H$27</f>
        <v>0</v>
      </c>
      <c r="L463" s="117" t="e">
        <f t="shared" si="146"/>
        <v>#DIV/0!</v>
      </c>
      <c r="M463" s="179"/>
      <c r="N463" s="179" t="s">
        <v>3158</v>
      </c>
      <c r="O463" s="141">
        <f t="shared" si="147"/>
        <v>0</v>
      </c>
      <c r="P463" s="181" t="b">
        <f>COUNTIF('Facility Data'!$A$1:$A$1500,"*"&amp;A463&amp;"*")&gt;0</f>
        <v>1</v>
      </c>
      <c r="Q463" s="181" t="b">
        <f>COUNTIF('Account Data'!$A$1:$A$1000,"*"&amp;A463&amp;"*")&gt;0</f>
        <v>0</v>
      </c>
      <c r="R463" s="182" t="b">
        <f t="shared" si="148"/>
        <v>1</v>
      </c>
      <c r="S463" s="182" t="b">
        <f t="shared" si="149"/>
        <v>0</v>
      </c>
      <c r="T463" s="181" t="b">
        <f>COUNTIF('New Items'!$A$1:$A$175,A463)&gt;0</f>
        <v>0</v>
      </c>
      <c r="U463" s="181" t="b">
        <f>COUNTIF(Discontinued!$A$1:$A$150,A463)&gt;0</f>
        <v>0</v>
      </c>
    </row>
    <row r="464" spans="1:21" s="8" customFormat="1" ht="11.25" x14ac:dyDescent="0.2">
      <c r="A464" s="152">
        <v>10011973</v>
      </c>
      <c r="B464" s="10" t="s">
        <v>1577</v>
      </c>
      <c r="C464" s="12" t="s">
        <v>1578</v>
      </c>
      <c r="D464" s="11" t="s">
        <v>1572</v>
      </c>
      <c r="E464" s="12" t="s">
        <v>773</v>
      </c>
      <c r="F464" s="13">
        <v>8</v>
      </c>
      <c r="G464" s="22">
        <f>Overview!$B$27</f>
        <v>16</v>
      </c>
      <c r="H464" s="114">
        <f t="shared" si="144"/>
        <v>16</v>
      </c>
      <c r="I464" s="114">
        <f>Overview!$E$27</f>
        <v>0</v>
      </c>
      <c r="J464" s="115">
        <f t="shared" si="145"/>
        <v>0</v>
      </c>
      <c r="K464" s="116">
        <f>Overview!$H$27</f>
        <v>0</v>
      </c>
      <c r="L464" s="117" t="e">
        <f t="shared" si="146"/>
        <v>#DIV/0!</v>
      </c>
      <c r="M464" s="179" t="s">
        <v>2421</v>
      </c>
      <c r="N464" s="179" t="s">
        <v>969</v>
      </c>
      <c r="O464" s="141">
        <f t="shared" si="147"/>
        <v>0</v>
      </c>
      <c r="P464" s="181" t="b">
        <f>COUNTIF('Facility Data'!$A$1:$A$1500,"*"&amp;A464&amp;"*")&gt;0</f>
        <v>0</v>
      </c>
      <c r="Q464" s="181" t="b">
        <f>COUNTIF('Account Data'!$A$1:$A$1000,"*"&amp;A464&amp;"*")&gt;0</f>
        <v>0</v>
      </c>
      <c r="R464" s="182" t="b">
        <f t="shared" si="148"/>
        <v>0</v>
      </c>
      <c r="S464" s="182" t="b">
        <f t="shared" si="149"/>
        <v>0</v>
      </c>
      <c r="T464" s="181" t="b">
        <f>COUNTIF('New Items'!$A$1:$A$175,A464)&gt;0</f>
        <v>0</v>
      </c>
      <c r="U464" s="181" t="b">
        <f>COUNTIF(Discontinued!$A$1:$A$150,A464)&gt;0</f>
        <v>0</v>
      </c>
    </row>
    <row r="465" spans="1:21" s="8" customFormat="1" ht="11.25" x14ac:dyDescent="0.2">
      <c r="A465" s="152">
        <v>10001421</v>
      </c>
      <c r="B465" s="10" t="s">
        <v>815</v>
      </c>
      <c r="C465" s="12" t="s">
        <v>816</v>
      </c>
      <c r="D465" s="11" t="s">
        <v>794</v>
      </c>
      <c r="E465" s="12" t="s">
        <v>773</v>
      </c>
      <c r="F465" s="13">
        <v>8</v>
      </c>
      <c r="G465" s="22">
        <f>Overview!$B$27</f>
        <v>16</v>
      </c>
      <c r="H465" s="114">
        <f t="shared" si="144"/>
        <v>16</v>
      </c>
      <c r="I465" s="114">
        <f>Overview!$E$27</f>
        <v>0</v>
      </c>
      <c r="J465" s="115">
        <f t="shared" si="145"/>
        <v>0</v>
      </c>
      <c r="K465" s="116">
        <f>Overview!$H$27</f>
        <v>0</v>
      </c>
      <c r="L465" s="117" t="e">
        <f t="shared" si="146"/>
        <v>#DIV/0!</v>
      </c>
      <c r="M465" s="179" t="s">
        <v>951</v>
      </c>
      <c r="N465" s="179" t="s">
        <v>969</v>
      </c>
      <c r="O465" s="141">
        <f t="shared" si="147"/>
        <v>0</v>
      </c>
      <c r="P465" s="181" t="b">
        <f>COUNTIF('Facility Data'!$A$1:$A$1500,"*"&amp;A465&amp;"*")&gt;0</f>
        <v>0</v>
      </c>
      <c r="Q465" s="181" t="b">
        <f>COUNTIF('Account Data'!$A$1:$A$1000,"*"&amp;A465&amp;"*")&gt;0</f>
        <v>1</v>
      </c>
      <c r="R465" s="182" t="b">
        <f t="shared" si="148"/>
        <v>0</v>
      </c>
      <c r="S465" s="182" t="b">
        <f t="shared" si="149"/>
        <v>1</v>
      </c>
      <c r="T465" s="181" t="b">
        <f>COUNTIF('New Items'!$A$1:$A$175,A465)&gt;0</f>
        <v>0</v>
      </c>
      <c r="U465" s="181" t="b">
        <f>COUNTIF(Discontinued!$A$1:$A$150,A465)&gt;0</f>
        <v>0</v>
      </c>
    </row>
    <row r="466" spans="1:21" s="8" customFormat="1" ht="11.25" x14ac:dyDescent="0.2">
      <c r="A466" s="152">
        <v>10000088</v>
      </c>
      <c r="B466" s="10" t="s">
        <v>1433</v>
      </c>
      <c r="C466" s="12" t="s">
        <v>1434</v>
      </c>
      <c r="D466" s="11" t="s">
        <v>1377</v>
      </c>
      <c r="E466" s="12" t="s">
        <v>773</v>
      </c>
      <c r="F466" s="13">
        <v>8</v>
      </c>
      <c r="G466" s="22">
        <f>Overview!$B$27</f>
        <v>16</v>
      </c>
      <c r="H466" s="114">
        <f t="shared" si="144"/>
        <v>16</v>
      </c>
      <c r="I466" s="114">
        <f>Overview!$E$27</f>
        <v>0</v>
      </c>
      <c r="J466" s="115">
        <f t="shared" si="145"/>
        <v>0</v>
      </c>
      <c r="K466" s="116">
        <f>Overview!$H$27</f>
        <v>0</v>
      </c>
      <c r="L466" s="117" t="e">
        <f t="shared" si="146"/>
        <v>#DIV/0!</v>
      </c>
      <c r="M466" s="179" t="s">
        <v>951</v>
      </c>
      <c r="N466" s="179" t="s">
        <v>969</v>
      </c>
      <c r="O466" s="141">
        <f t="shared" si="147"/>
        <v>0</v>
      </c>
      <c r="P466" s="181" t="b">
        <f>COUNTIF('Facility Data'!$A$1:$A$1500,"*"&amp;A466&amp;"*")&gt;0</f>
        <v>0</v>
      </c>
      <c r="Q466" s="181" t="b">
        <f>COUNTIF('Account Data'!$A$1:$A$1000,"*"&amp;A466&amp;"*")&gt;0</f>
        <v>0</v>
      </c>
      <c r="R466" s="182" t="b">
        <f t="shared" si="148"/>
        <v>0</v>
      </c>
      <c r="S466" s="182" t="b">
        <f t="shared" si="149"/>
        <v>0</v>
      </c>
      <c r="T466" s="181" t="b">
        <f>COUNTIF('New Items'!$A$1:$A$175,A466)&gt;0</f>
        <v>0</v>
      </c>
      <c r="U466" s="181" t="b">
        <f>COUNTIF(Discontinued!$A$1:$A$150,A466)&gt;0</f>
        <v>0</v>
      </c>
    </row>
    <row r="467" spans="1:21" s="8" customFormat="1" ht="11.25" x14ac:dyDescent="0.2">
      <c r="A467" s="152">
        <v>10081257</v>
      </c>
      <c r="B467" s="10" t="s">
        <v>251</v>
      </c>
      <c r="C467" s="12" t="s">
        <v>252</v>
      </c>
      <c r="D467" s="11" t="s">
        <v>654</v>
      </c>
      <c r="E467" s="12" t="s">
        <v>773</v>
      </c>
      <c r="F467" s="13">
        <v>8</v>
      </c>
      <c r="G467" s="22">
        <f>Overview!$B$27</f>
        <v>16</v>
      </c>
      <c r="H467" s="114">
        <f t="shared" si="144"/>
        <v>16</v>
      </c>
      <c r="I467" s="114">
        <f>Overview!$E$27</f>
        <v>0</v>
      </c>
      <c r="J467" s="115">
        <f t="shared" si="145"/>
        <v>0</v>
      </c>
      <c r="K467" s="116">
        <f>Overview!$H$27</f>
        <v>0</v>
      </c>
      <c r="L467" s="117" t="e">
        <f t="shared" si="146"/>
        <v>#DIV/0!</v>
      </c>
      <c r="M467" s="179"/>
      <c r="N467" s="179" t="s">
        <v>969</v>
      </c>
      <c r="O467" s="141">
        <f t="shared" si="147"/>
        <v>0</v>
      </c>
      <c r="P467" s="181" t="b">
        <f>COUNTIF('Facility Data'!$A$1:$A$1500,"*"&amp;A467&amp;"*")&gt;0</f>
        <v>0</v>
      </c>
      <c r="Q467" s="181" t="b">
        <f>COUNTIF('Account Data'!$A$1:$A$1000,"*"&amp;A467&amp;"*")&gt;0</f>
        <v>1</v>
      </c>
      <c r="R467" s="182" t="b">
        <f t="shared" si="148"/>
        <v>0</v>
      </c>
      <c r="S467" s="182" t="b">
        <f t="shared" si="149"/>
        <v>1</v>
      </c>
      <c r="T467" s="181" t="b">
        <f>COUNTIF('New Items'!$A$1:$A$175,A467)&gt;0</f>
        <v>0</v>
      </c>
      <c r="U467" s="181" t="b">
        <f>COUNTIF(Discontinued!$A$1:$A$150,A467)&gt;0</f>
        <v>0</v>
      </c>
    </row>
    <row r="468" spans="1:21" s="8" customFormat="1" ht="11.25" x14ac:dyDescent="0.2">
      <c r="A468" s="152">
        <v>10126466</v>
      </c>
      <c r="B468" s="231" t="s">
        <v>3959</v>
      </c>
      <c r="C468" s="12" t="s">
        <v>3960</v>
      </c>
      <c r="D468" s="11" t="s">
        <v>3773</v>
      </c>
      <c r="E468" s="12" t="s">
        <v>773</v>
      </c>
      <c r="F468" s="13">
        <v>8</v>
      </c>
      <c r="G468" s="22">
        <f>Overview!$B$27</f>
        <v>16</v>
      </c>
      <c r="H468" s="114">
        <f>G468-I468</f>
        <v>16</v>
      </c>
      <c r="I468" s="114">
        <f>Overview!$E$27</f>
        <v>0</v>
      </c>
      <c r="J468" s="115">
        <f>I468/F468</f>
        <v>0</v>
      </c>
      <c r="K468" s="116">
        <f>Overview!$H$27</f>
        <v>0</v>
      </c>
      <c r="L468" s="117" t="e">
        <f>(K468-J468)/K468</f>
        <v>#DIV/0!</v>
      </c>
      <c r="M468" s="179"/>
      <c r="N468" s="179" t="s">
        <v>969</v>
      </c>
      <c r="O468" s="141">
        <f>I468</f>
        <v>0</v>
      </c>
      <c r="P468" s="181" t="b">
        <f>COUNTIF('Facility Data'!$A$1:$A$1500,"*"&amp;A468&amp;"*")&gt;0</f>
        <v>1</v>
      </c>
      <c r="Q468" s="181" t="b">
        <f>COUNTIF('Account Data'!$A$1:$A$1000,"*"&amp;A468&amp;"*")&gt;0</f>
        <v>0</v>
      </c>
      <c r="R468" s="182" t="b">
        <f t="shared" si="148"/>
        <v>1</v>
      </c>
      <c r="S468" s="182" t="b">
        <f>IF(OR(Q468=TRUE,T468=TRUE),TRUE,FALSE)</f>
        <v>0</v>
      </c>
      <c r="T468" s="181" t="b">
        <f>COUNTIF('New Items'!$A$1:$A$175,A468)&gt;0</f>
        <v>0</v>
      </c>
      <c r="U468" s="181" t="b">
        <f>COUNTIF(Discontinued!$A$1:$A$150,A468)&gt;0</f>
        <v>0</v>
      </c>
    </row>
    <row r="469" spans="1:21" s="8" customFormat="1" ht="11.25" x14ac:dyDescent="0.2">
      <c r="A469" s="152">
        <v>10001595</v>
      </c>
      <c r="B469" s="10" t="s">
        <v>247</v>
      </c>
      <c r="C469" s="12" t="s">
        <v>248</v>
      </c>
      <c r="D469" s="11" t="s">
        <v>653</v>
      </c>
      <c r="E469" s="12" t="s">
        <v>773</v>
      </c>
      <c r="F469" s="13">
        <v>8</v>
      </c>
      <c r="G469" s="22">
        <f>Overview!$B$27</f>
        <v>16</v>
      </c>
      <c r="H469" s="114">
        <f t="shared" si="144"/>
        <v>16</v>
      </c>
      <c r="I469" s="114">
        <f>Overview!$E$27</f>
        <v>0</v>
      </c>
      <c r="J469" s="115">
        <f t="shared" si="145"/>
        <v>0</v>
      </c>
      <c r="K469" s="116">
        <f>Overview!$H$27</f>
        <v>0</v>
      </c>
      <c r="L469" s="117" t="e">
        <f t="shared" si="146"/>
        <v>#DIV/0!</v>
      </c>
      <c r="M469" s="179"/>
      <c r="N469" s="179" t="s">
        <v>969</v>
      </c>
      <c r="O469" s="141">
        <f t="shared" si="147"/>
        <v>0</v>
      </c>
      <c r="P469" s="181" t="b">
        <f>COUNTIF('Facility Data'!$A$1:$A$1500,"*"&amp;A469&amp;"*")&gt;0</f>
        <v>1</v>
      </c>
      <c r="Q469" s="181" t="b">
        <f>COUNTIF('Account Data'!$A$1:$A$1000,"*"&amp;A469&amp;"*")&gt;0</f>
        <v>1</v>
      </c>
      <c r="R469" s="182" t="b">
        <f t="shared" si="148"/>
        <v>1</v>
      </c>
      <c r="S469" s="182" t="b">
        <f t="shared" si="149"/>
        <v>1</v>
      </c>
      <c r="T469" s="181" t="b">
        <f>COUNTIF('New Items'!$A$1:$A$175,A469)&gt;0</f>
        <v>0</v>
      </c>
      <c r="U469" s="181" t="b">
        <f>COUNTIF(Discontinued!$A$1:$A$150,A469)&gt;0</f>
        <v>0</v>
      </c>
    </row>
    <row r="470" spans="1:21" s="8" customFormat="1" ht="11.25" x14ac:dyDescent="0.2">
      <c r="A470" s="152">
        <v>10001596</v>
      </c>
      <c r="B470" s="10" t="s">
        <v>4815</v>
      </c>
      <c r="C470" s="12" t="s">
        <v>250</v>
      </c>
      <c r="D470" s="11" t="s">
        <v>4760</v>
      </c>
      <c r="E470" s="12" t="s">
        <v>773</v>
      </c>
      <c r="F470" s="13">
        <v>8</v>
      </c>
      <c r="G470" s="22">
        <f>Overview!$B$27</f>
        <v>16</v>
      </c>
      <c r="H470" s="114">
        <f>G470-I470</f>
        <v>16</v>
      </c>
      <c r="I470" s="114">
        <f>Overview!$E$27</f>
        <v>0</v>
      </c>
      <c r="J470" s="115">
        <f>I470/F470</f>
        <v>0</v>
      </c>
      <c r="K470" s="116">
        <f>Overview!$H$27</f>
        <v>0</v>
      </c>
      <c r="L470" s="117" t="e">
        <f>(K470-J470)/K470</f>
        <v>#DIV/0!</v>
      </c>
      <c r="M470" s="179"/>
      <c r="N470" s="179" t="s">
        <v>969</v>
      </c>
      <c r="O470" s="141">
        <f>I470</f>
        <v>0</v>
      </c>
      <c r="P470" s="181" t="b">
        <f>COUNTIF('Facility Data'!$A$1:$A$1500,"*"&amp;A470&amp;"*")&gt;0</f>
        <v>1</v>
      </c>
      <c r="Q470" s="181" t="b">
        <f>COUNTIF('Account Data'!$A$1:$A$1000,"*"&amp;A470&amp;"*")&gt;0</f>
        <v>1</v>
      </c>
      <c r="R470" s="182" t="b">
        <f>IF(OR(P470=TRUE,T470=TRUE),TRUE,FALSE)</f>
        <v>1</v>
      </c>
      <c r="S470" s="182" t="b">
        <f>IF(OR(Q470=TRUE,T470=TRUE),TRUE,FALSE)</f>
        <v>1</v>
      </c>
      <c r="T470" s="181" t="b">
        <f>COUNTIF('New Items'!$A$1:$A$175,A470)&gt;0</f>
        <v>0</v>
      </c>
      <c r="U470" s="181" t="b">
        <f>COUNTIF(Discontinued!$A$1:$A$150,A470)&gt;0</f>
        <v>0</v>
      </c>
    </row>
    <row r="471" spans="1:21" s="8" customFormat="1" ht="11.25" x14ac:dyDescent="0.2">
      <c r="A471" s="152">
        <v>10001487</v>
      </c>
      <c r="B471" s="10" t="s">
        <v>243</v>
      </c>
      <c r="C471" s="12" t="s">
        <v>244</v>
      </c>
      <c r="D471" s="11" t="s">
        <v>652</v>
      </c>
      <c r="E471" s="12" t="s">
        <v>773</v>
      </c>
      <c r="F471" s="13">
        <v>8</v>
      </c>
      <c r="G471" s="22">
        <f>Overview!$B$27</f>
        <v>16</v>
      </c>
      <c r="H471" s="114">
        <f t="shared" si="144"/>
        <v>16</v>
      </c>
      <c r="I471" s="114">
        <f>Overview!$E$27</f>
        <v>0</v>
      </c>
      <c r="J471" s="115">
        <f t="shared" si="145"/>
        <v>0</v>
      </c>
      <c r="K471" s="116">
        <f>Overview!$H$27</f>
        <v>0</v>
      </c>
      <c r="L471" s="117" t="e">
        <f t="shared" si="146"/>
        <v>#DIV/0!</v>
      </c>
      <c r="M471" s="179"/>
      <c r="N471" s="179" t="s">
        <v>969</v>
      </c>
      <c r="O471" s="141">
        <f t="shared" si="147"/>
        <v>0</v>
      </c>
      <c r="P471" s="181" t="b">
        <f>COUNTIF('Facility Data'!$A$1:$A$1500,"*"&amp;A471&amp;"*")&gt;0</f>
        <v>1</v>
      </c>
      <c r="Q471" s="181" t="b">
        <f>COUNTIF('Account Data'!$A$1:$A$1000,"*"&amp;A471&amp;"*")&gt;0</f>
        <v>1</v>
      </c>
      <c r="R471" s="182" t="b">
        <f t="shared" si="148"/>
        <v>1</v>
      </c>
      <c r="S471" s="182" t="b">
        <f t="shared" si="149"/>
        <v>1</v>
      </c>
      <c r="T471" s="181" t="b">
        <f>COUNTIF('New Items'!$A$1:$A$175,A471)&gt;0</f>
        <v>0</v>
      </c>
      <c r="U471" s="181" t="b">
        <f>COUNTIF(Discontinued!$A$1:$A$150,A471)&gt;0</f>
        <v>0</v>
      </c>
    </row>
    <row r="472" spans="1:21" s="8" customFormat="1" ht="11.25" x14ac:dyDescent="0.2">
      <c r="A472" s="152">
        <v>10078450</v>
      </c>
      <c r="B472" s="10" t="s">
        <v>2826</v>
      </c>
      <c r="C472" s="12" t="s">
        <v>244</v>
      </c>
      <c r="D472" s="11" t="s">
        <v>2827</v>
      </c>
      <c r="E472" s="12" t="s">
        <v>773</v>
      </c>
      <c r="F472" s="13">
        <v>8</v>
      </c>
      <c r="G472" s="22">
        <f>Overview!$B$27</f>
        <v>16</v>
      </c>
      <c r="H472" s="114">
        <f t="shared" si="144"/>
        <v>16</v>
      </c>
      <c r="I472" s="114">
        <f>Overview!$E$27</f>
        <v>0</v>
      </c>
      <c r="J472" s="115">
        <f t="shared" si="145"/>
        <v>0</v>
      </c>
      <c r="K472" s="116">
        <f>Overview!$H$27</f>
        <v>0</v>
      </c>
      <c r="L472" s="117" t="e">
        <f t="shared" si="146"/>
        <v>#DIV/0!</v>
      </c>
      <c r="M472" s="179"/>
      <c r="N472" s="179" t="s">
        <v>969</v>
      </c>
      <c r="O472" s="141">
        <f t="shared" si="147"/>
        <v>0</v>
      </c>
      <c r="P472" s="181" t="b">
        <f>COUNTIF('Facility Data'!$A$1:$A$1500,"*"&amp;A472&amp;"*")&gt;0</f>
        <v>0</v>
      </c>
      <c r="Q472" s="181" t="b">
        <f>COUNTIF('Account Data'!$A$1:$A$1000,"*"&amp;A472&amp;"*")&gt;0</f>
        <v>0</v>
      </c>
      <c r="R472" s="182" t="b">
        <f t="shared" si="148"/>
        <v>0</v>
      </c>
      <c r="S472" s="182" t="b">
        <f t="shared" si="149"/>
        <v>0</v>
      </c>
      <c r="T472" s="181" t="b">
        <f>COUNTIF('New Items'!$A$1:$A$175,A472)&gt;0</f>
        <v>0</v>
      </c>
      <c r="U472" s="181" t="b">
        <f>COUNTIF(Discontinued!$A$1:$A$150,A472)&gt;0</f>
        <v>0</v>
      </c>
    </row>
    <row r="473" spans="1:21" s="8" customFormat="1" ht="11.25" x14ac:dyDescent="0.2">
      <c r="A473" s="152">
        <v>10105906</v>
      </c>
      <c r="B473" s="10" t="s">
        <v>4047</v>
      </c>
      <c r="C473" s="12" t="s">
        <v>795</v>
      </c>
      <c r="D473" s="11" t="s">
        <v>796</v>
      </c>
      <c r="E473" s="12" t="s">
        <v>773</v>
      </c>
      <c r="F473" s="13">
        <v>8</v>
      </c>
      <c r="G473" s="22">
        <f>Overview!$B$27</f>
        <v>16</v>
      </c>
      <c r="H473" s="114">
        <f t="shared" si="144"/>
        <v>16</v>
      </c>
      <c r="I473" s="114">
        <f>Overview!$E$27</f>
        <v>0</v>
      </c>
      <c r="J473" s="115">
        <f t="shared" si="145"/>
        <v>0</v>
      </c>
      <c r="K473" s="116">
        <f>Overview!$H$27</f>
        <v>0</v>
      </c>
      <c r="L473" s="117" t="e">
        <f t="shared" si="146"/>
        <v>#DIV/0!</v>
      </c>
      <c r="M473" s="179"/>
      <c r="N473" s="179" t="s">
        <v>969</v>
      </c>
      <c r="O473" s="141">
        <f t="shared" si="147"/>
        <v>0</v>
      </c>
      <c r="P473" s="181" t="b">
        <f>COUNTIF('Facility Data'!$A$1:$A$1500,"*"&amp;A473&amp;"*")&gt;0</f>
        <v>1</v>
      </c>
      <c r="Q473" s="181" t="b">
        <f>COUNTIF('Account Data'!$A$1:$A$1000,"*"&amp;A473&amp;"*")&gt;0</f>
        <v>1</v>
      </c>
      <c r="R473" s="182" t="b">
        <f t="shared" si="148"/>
        <v>1</v>
      </c>
      <c r="S473" s="182" t="b">
        <f t="shared" si="149"/>
        <v>1</v>
      </c>
      <c r="T473" s="181" t="b">
        <f>COUNTIF('New Items'!$A$1:$A$175,A473)&gt;0</f>
        <v>0</v>
      </c>
      <c r="U473" s="181" t="b">
        <f>COUNTIF(Discontinued!$A$1:$A$150,A473)&gt;0</f>
        <v>0</v>
      </c>
    </row>
    <row r="474" spans="1:21" s="8" customFormat="1" ht="11.25" x14ac:dyDescent="0.2">
      <c r="A474" s="152">
        <v>10105907</v>
      </c>
      <c r="B474" s="231" t="s">
        <v>1104</v>
      </c>
      <c r="C474" s="118" t="s">
        <v>1105</v>
      </c>
      <c r="D474" s="119" t="s">
        <v>1058</v>
      </c>
      <c r="E474" s="118" t="s">
        <v>773</v>
      </c>
      <c r="F474" s="120">
        <v>8</v>
      </c>
      <c r="G474" s="121">
        <f>Overview!$B$27</f>
        <v>16</v>
      </c>
      <c r="H474" s="114">
        <f t="shared" si="144"/>
        <v>16</v>
      </c>
      <c r="I474" s="114">
        <f>Overview!$E$27</f>
        <v>0</v>
      </c>
      <c r="J474" s="115">
        <f t="shared" si="145"/>
        <v>0</v>
      </c>
      <c r="K474" s="116">
        <f>Overview!$H$27</f>
        <v>0</v>
      </c>
      <c r="L474" s="117" t="e">
        <f t="shared" si="146"/>
        <v>#DIV/0!</v>
      </c>
      <c r="M474" s="179"/>
      <c r="N474" s="179" t="s">
        <v>969</v>
      </c>
      <c r="O474" s="141">
        <f t="shared" si="147"/>
        <v>0</v>
      </c>
      <c r="P474" s="181" t="b">
        <f>COUNTIF('Facility Data'!$A$1:$A$1500,"*"&amp;A474&amp;"*")&gt;0</f>
        <v>1</v>
      </c>
      <c r="Q474" s="181" t="b">
        <f>COUNTIF('Account Data'!$A$1:$A$1000,"*"&amp;A474&amp;"*")&gt;0</f>
        <v>0</v>
      </c>
      <c r="R474" s="182" t="b">
        <f t="shared" si="148"/>
        <v>1</v>
      </c>
      <c r="S474" s="182" t="b">
        <f t="shared" si="149"/>
        <v>0</v>
      </c>
      <c r="T474" s="181" t="b">
        <f>COUNTIF('New Items'!$A$1:$A$175,A474)&gt;0</f>
        <v>0</v>
      </c>
      <c r="U474" s="181" t="b">
        <f>COUNTIF(Discontinued!$A$1:$A$150,A474)&gt;0</f>
        <v>0</v>
      </c>
    </row>
    <row r="475" spans="1:21" s="8" customFormat="1" ht="11.25" x14ac:dyDescent="0.2">
      <c r="A475" s="152">
        <v>10001488</v>
      </c>
      <c r="B475" s="10" t="s">
        <v>4814</v>
      </c>
      <c r="C475" s="12" t="s">
        <v>246</v>
      </c>
      <c r="D475" s="11" t="s">
        <v>4737</v>
      </c>
      <c r="E475" s="12" t="s">
        <v>773</v>
      </c>
      <c r="F475" s="13">
        <v>8</v>
      </c>
      <c r="G475" s="22">
        <f>Overview!$B$27</f>
        <v>16</v>
      </c>
      <c r="H475" s="114">
        <f>G475-I475</f>
        <v>16</v>
      </c>
      <c r="I475" s="114">
        <f>Overview!$E$27</f>
        <v>0</v>
      </c>
      <c r="J475" s="115">
        <f>I475/F475</f>
        <v>0</v>
      </c>
      <c r="K475" s="116">
        <f>Overview!$H$27</f>
        <v>0</v>
      </c>
      <c r="L475" s="117" t="e">
        <f>(K475-J475)/K475</f>
        <v>#DIV/0!</v>
      </c>
      <c r="M475" s="179"/>
      <c r="N475" s="179" t="s">
        <v>969</v>
      </c>
      <c r="O475" s="141">
        <f>I475</f>
        <v>0</v>
      </c>
      <c r="P475" s="181" t="b">
        <f>COUNTIF('Facility Data'!$A$1:$A$1500,"*"&amp;A475&amp;"*")&gt;0</f>
        <v>1</v>
      </c>
      <c r="Q475" s="181" t="b">
        <f>COUNTIF('Account Data'!$A$1:$A$1000,"*"&amp;A475&amp;"*")&gt;0</f>
        <v>1</v>
      </c>
      <c r="R475" s="182" t="b">
        <f>IF(OR(P475=TRUE,T475=TRUE),TRUE,FALSE)</f>
        <v>1</v>
      </c>
      <c r="S475" s="182" t="b">
        <f>IF(OR(Q475=TRUE,T475=TRUE),TRUE,FALSE)</f>
        <v>1</v>
      </c>
      <c r="T475" s="181" t="b">
        <f>COUNTIF('New Items'!$A$1:$A$175,A475)&gt;0</f>
        <v>0</v>
      </c>
      <c r="U475" s="181" t="b">
        <f>COUNTIF(Discontinued!$A$1:$A$150,A475)&gt;0</f>
        <v>0</v>
      </c>
    </row>
    <row r="476" spans="1:21" s="8" customFormat="1" ht="11.25" x14ac:dyDescent="0.2">
      <c r="A476" s="152">
        <v>10006263</v>
      </c>
      <c r="B476" s="10" t="s">
        <v>2830</v>
      </c>
      <c r="C476" s="12" t="s">
        <v>2831</v>
      </c>
      <c r="D476" s="11" t="s">
        <v>675</v>
      </c>
      <c r="E476" s="12" t="s">
        <v>773</v>
      </c>
      <c r="F476" s="13">
        <v>8</v>
      </c>
      <c r="G476" s="22">
        <f>Overview!$B$27</f>
        <v>16</v>
      </c>
      <c r="H476" s="114">
        <f t="shared" si="144"/>
        <v>16</v>
      </c>
      <c r="I476" s="114">
        <f>Overview!$E$27</f>
        <v>0</v>
      </c>
      <c r="J476" s="115">
        <f t="shared" si="145"/>
        <v>0</v>
      </c>
      <c r="K476" s="116">
        <f>Overview!$H$27</f>
        <v>0</v>
      </c>
      <c r="L476" s="117" t="e">
        <f t="shared" si="146"/>
        <v>#DIV/0!</v>
      </c>
      <c r="M476" s="179"/>
      <c r="N476" s="179" t="s">
        <v>969</v>
      </c>
      <c r="O476" s="141">
        <f t="shared" si="147"/>
        <v>0</v>
      </c>
      <c r="P476" s="181" t="b">
        <f>COUNTIF('Facility Data'!$A$1:$A$1500,"*"&amp;A476&amp;"*")&gt;0</f>
        <v>0</v>
      </c>
      <c r="Q476" s="181" t="b">
        <f>COUNTIF('Account Data'!$A$1:$A$1000,"*"&amp;A476&amp;"*")&gt;0</f>
        <v>0</v>
      </c>
      <c r="R476" s="182" t="b">
        <f t="shared" si="148"/>
        <v>0</v>
      </c>
      <c r="S476" s="182" t="b">
        <f t="shared" si="149"/>
        <v>0</v>
      </c>
      <c r="T476" s="181" t="b">
        <f>COUNTIF('New Items'!$A$1:$A$175,A476)&gt;0</f>
        <v>0</v>
      </c>
      <c r="U476" s="181" t="b">
        <f>COUNTIF(Discontinued!$A$1:$A$150,A476)&gt;0</f>
        <v>0</v>
      </c>
    </row>
    <row r="477" spans="1:21" s="8" customFormat="1" ht="11.25" x14ac:dyDescent="0.2">
      <c r="A477" s="152">
        <v>10001419</v>
      </c>
      <c r="B477" s="10" t="s">
        <v>221</v>
      </c>
      <c r="C477" s="12" t="s">
        <v>222</v>
      </c>
      <c r="D477" s="11" t="s">
        <v>633</v>
      </c>
      <c r="E477" s="12" t="s">
        <v>773</v>
      </c>
      <c r="F477" s="13">
        <v>8</v>
      </c>
      <c r="G477" s="22">
        <f>Overview!$B$27</f>
        <v>16</v>
      </c>
      <c r="H477" s="114">
        <f t="shared" si="144"/>
        <v>16</v>
      </c>
      <c r="I477" s="114">
        <f>Overview!$E$27</f>
        <v>0</v>
      </c>
      <c r="J477" s="115">
        <f t="shared" si="145"/>
        <v>0</v>
      </c>
      <c r="K477" s="116">
        <f>Overview!$H$27</f>
        <v>0</v>
      </c>
      <c r="L477" s="117" t="e">
        <f t="shared" si="146"/>
        <v>#DIV/0!</v>
      </c>
      <c r="M477" s="179"/>
      <c r="N477" s="179" t="s">
        <v>969</v>
      </c>
      <c r="O477" s="141">
        <f t="shared" si="147"/>
        <v>0</v>
      </c>
      <c r="P477" s="181" t="b">
        <f>COUNTIF('Facility Data'!$A$1:$A$1500,"*"&amp;A477&amp;"*")&gt;0</f>
        <v>1</v>
      </c>
      <c r="Q477" s="181" t="b">
        <f>COUNTIF('Account Data'!$A$1:$A$1000,"*"&amp;A477&amp;"*")&gt;0</f>
        <v>1</v>
      </c>
      <c r="R477" s="182" t="b">
        <f t="shared" si="148"/>
        <v>1</v>
      </c>
      <c r="S477" s="182" t="b">
        <f t="shared" si="149"/>
        <v>1</v>
      </c>
      <c r="T477" s="181" t="b">
        <f>COUNTIF('New Items'!$A$1:$A$175,A477)&gt;0</f>
        <v>0</v>
      </c>
      <c r="U477" s="181" t="b">
        <f>COUNTIF(Discontinued!$A$1:$A$150,A477)&gt;0</f>
        <v>0</v>
      </c>
    </row>
    <row r="478" spans="1:21" s="8" customFormat="1" ht="11.25" x14ac:dyDescent="0.2">
      <c r="A478" s="152">
        <v>10001420</v>
      </c>
      <c r="B478" s="10" t="s">
        <v>4810</v>
      </c>
      <c r="C478" s="12" t="s">
        <v>224</v>
      </c>
      <c r="D478" s="11" t="s">
        <v>4750</v>
      </c>
      <c r="E478" s="12" t="s">
        <v>773</v>
      </c>
      <c r="F478" s="13">
        <v>8</v>
      </c>
      <c r="G478" s="22">
        <f>Overview!$B$27</f>
        <v>16</v>
      </c>
      <c r="H478" s="114">
        <f>G478-I478</f>
        <v>16</v>
      </c>
      <c r="I478" s="114">
        <f>Overview!$E$27</f>
        <v>0</v>
      </c>
      <c r="J478" s="115">
        <f>I478/F478</f>
        <v>0</v>
      </c>
      <c r="K478" s="116">
        <f>Overview!$H$27</f>
        <v>0</v>
      </c>
      <c r="L478" s="117" t="e">
        <f>(K478-J478)/K478</f>
        <v>#DIV/0!</v>
      </c>
      <c r="M478" s="179"/>
      <c r="N478" s="179" t="s">
        <v>969</v>
      </c>
      <c r="O478" s="141">
        <f>I478</f>
        <v>0</v>
      </c>
      <c r="P478" s="181" t="b">
        <f>COUNTIF('Facility Data'!$A$1:$A$1500,"*"&amp;A478&amp;"*")&gt;0</f>
        <v>1</v>
      </c>
      <c r="Q478" s="181" t="b">
        <f>COUNTIF('Account Data'!$A$1:$A$1000,"*"&amp;A478&amp;"*")&gt;0</f>
        <v>1</v>
      </c>
      <c r="R478" s="182" t="b">
        <f>IF(OR(P478=TRUE,T478=TRUE),TRUE,FALSE)</f>
        <v>1</v>
      </c>
      <c r="S478" s="182" t="b">
        <f>IF(OR(Q478=TRUE,T478=TRUE),TRUE,FALSE)</f>
        <v>1</v>
      </c>
      <c r="T478" s="181" t="b">
        <f>COUNTIF('New Items'!$A$1:$A$175,A478)&gt;0</f>
        <v>0</v>
      </c>
      <c r="U478" s="181" t="b">
        <f>COUNTIF(Discontinued!$A$1:$A$150,A478)&gt;0</f>
        <v>0</v>
      </c>
    </row>
    <row r="479" spans="1:21" s="8" customFormat="1" ht="11.25" x14ac:dyDescent="0.2">
      <c r="A479" s="152">
        <v>10001798</v>
      </c>
      <c r="B479" s="10" t="s">
        <v>213</v>
      </c>
      <c r="C479" s="12" t="s">
        <v>214</v>
      </c>
      <c r="D479" s="11" t="s">
        <v>632</v>
      </c>
      <c r="E479" s="12" t="s">
        <v>773</v>
      </c>
      <c r="F479" s="13">
        <v>8</v>
      </c>
      <c r="G479" s="22">
        <f>Overview!$B$27</f>
        <v>16</v>
      </c>
      <c r="H479" s="114">
        <f t="shared" si="144"/>
        <v>16</v>
      </c>
      <c r="I479" s="114">
        <f>Overview!$E$27</f>
        <v>0</v>
      </c>
      <c r="J479" s="115">
        <f t="shared" si="145"/>
        <v>0</v>
      </c>
      <c r="K479" s="116">
        <f>Overview!$H$27</f>
        <v>0</v>
      </c>
      <c r="L479" s="117" t="e">
        <f t="shared" si="146"/>
        <v>#DIV/0!</v>
      </c>
      <c r="M479" s="179" t="s">
        <v>951</v>
      </c>
      <c r="N479" s="179" t="s">
        <v>969</v>
      </c>
      <c r="O479" s="141">
        <f t="shared" si="147"/>
        <v>0</v>
      </c>
      <c r="P479" s="181" t="b">
        <f>COUNTIF('Facility Data'!$A$1:$A$1500,"*"&amp;A479&amp;"*")&gt;0</f>
        <v>0</v>
      </c>
      <c r="Q479" s="181" t="b">
        <f>COUNTIF('Account Data'!$A$1:$A$1000,"*"&amp;A479&amp;"*")&gt;0</f>
        <v>1</v>
      </c>
      <c r="R479" s="182" t="b">
        <f t="shared" si="148"/>
        <v>0</v>
      </c>
      <c r="S479" s="182" t="b">
        <f t="shared" si="149"/>
        <v>1</v>
      </c>
      <c r="T479" s="181" t="b">
        <f>COUNTIF('New Items'!$A$1:$A$175,A479)&gt;0</f>
        <v>0</v>
      </c>
      <c r="U479" s="181" t="b">
        <f>COUNTIF(Discontinued!$A$1:$A$150,A479)&gt;0</f>
        <v>0</v>
      </c>
    </row>
    <row r="480" spans="1:21" s="8" customFormat="1" ht="11.25" x14ac:dyDescent="0.2">
      <c r="A480" s="152">
        <v>10001799</v>
      </c>
      <c r="B480" s="10" t="s">
        <v>4723</v>
      </c>
      <c r="C480" s="12" t="s">
        <v>216</v>
      </c>
      <c r="D480" s="11" t="s">
        <v>4721</v>
      </c>
      <c r="E480" s="12" t="s">
        <v>773</v>
      </c>
      <c r="F480" s="13">
        <v>8</v>
      </c>
      <c r="G480" s="22">
        <f>Overview!$B$27</f>
        <v>16</v>
      </c>
      <c r="H480" s="114">
        <f>G480-I480</f>
        <v>16</v>
      </c>
      <c r="I480" s="114">
        <f>Overview!$E$27</f>
        <v>0</v>
      </c>
      <c r="J480" s="115">
        <f>I480/F480</f>
        <v>0</v>
      </c>
      <c r="K480" s="116">
        <f>Overview!$H$27</f>
        <v>0</v>
      </c>
      <c r="L480" s="117" t="e">
        <f>(K480-J480)/K480</f>
        <v>#DIV/0!</v>
      </c>
      <c r="M480" s="179" t="s">
        <v>951</v>
      </c>
      <c r="N480" s="179" t="s">
        <v>969</v>
      </c>
      <c r="O480" s="141">
        <f>I480</f>
        <v>0</v>
      </c>
      <c r="P480" s="181" t="b">
        <f>COUNTIF('Facility Data'!$A$1:$A$1500,"*"&amp;A480&amp;"*")&gt;0</f>
        <v>0</v>
      </c>
      <c r="Q480" s="181" t="b">
        <f>COUNTIF('Account Data'!$A$1:$A$1000,"*"&amp;A480&amp;"*")&gt;0</f>
        <v>1</v>
      </c>
      <c r="R480" s="182" t="b">
        <f>IF(OR(P480=TRUE,T480=TRUE),TRUE,FALSE)</f>
        <v>0</v>
      </c>
      <c r="S480" s="182" t="b">
        <f>IF(OR(Q480=TRUE,T480=TRUE),TRUE,FALSE)</f>
        <v>1</v>
      </c>
      <c r="T480" s="181" t="b">
        <f>COUNTIF('New Items'!$A$1:$A$175,A480)&gt;0</f>
        <v>0</v>
      </c>
      <c r="U480" s="181" t="b">
        <f>COUNTIF(Discontinued!$A$1:$A$150,A480)&gt;0</f>
        <v>0</v>
      </c>
    </row>
    <row r="481" spans="1:21" s="8" customFormat="1" ht="11.25" x14ac:dyDescent="0.2">
      <c r="A481" s="152">
        <v>10001606</v>
      </c>
      <c r="B481" s="10" t="s">
        <v>273</v>
      </c>
      <c r="C481" s="12" t="s">
        <v>274</v>
      </c>
      <c r="D481" s="11" t="s">
        <v>659</v>
      </c>
      <c r="E481" s="12" t="s">
        <v>773</v>
      </c>
      <c r="F481" s="13">
        <v>8</v>
      </c>
      <c r="G481" s="22">
        <f>Overview!$B$27</f>
        <v>16</v>
      </c>
      <c r="H481" s="114">
        <f t="shared" si="144"/>
        <v>16</v>
      </c>
      <c r="I481" s="114">
        <f>Overview!$E$27</f>
        <v>0</v>
      </c>
      <c r="J481" s="115">
        <f t="shared" si="145"/>
        <v>0</v>
      </c>
      <c r="K481" s="116">
        <f>Overview!$H$27</f>
        <v>0</v>
      </c>
      <c r="L481" s="117" t="e">
        <f t="shared" si="146"/>
        <v>#DIV/0!</v>
      </c>
      <c r="M481" s="179"/>
      <c r="N481" s="179" t="s">
        <v>3158</v>
      </c>
      <c r="O481" s="141">
        <f t="shared" si="147"/>
        <v>0</v>
      </c>
      <c r="P481" s="181" t="b">
        <f>COUNTIF('Facility Data'!$A$1:$A$1500,"*"&amp;A481&amp;"*")&gt;0</f>
        <v>0</v>
      </c>
      <c r="Q481" s="181" t="b">
        <f>COUNTIF('Account Data'!$A$1:$A$1000,"*"&amp;A481&amp;"*")&gt;0</f>
        <v>0</v>
      </c>
      <c r="R481" s="182" t="b">
        <f t="shared" si="148"/>
        <v>0</v>
      </c>
      <c r="S481" s="182" t="b">
        <f t="shared" si="149"/>
        <v>0</v>
      </c>
      <c r="T481" s="181" t="b">
        <f>COUNTIF('New Items'!$A$1:$A$175,A481)&gt;0</f>
        <v>0</v>
      </c>
      <c r="U481" s="181" t="b">
        <f>COUNTIF(Discontinued!$A$1:$A$150,A481)&gt;0</f>
        <v>0</v>
      </c>
    </row>
    <row r="482" spans="1:21" s="8" customFormat="1" ht="11.25" x14ac:dyDescent="0.2">
      <c r="A482" s="152">
        <v>10001576</v>
      </c>
      <c r="B482" s="10" t="s">
        <v>2466</v>
      </c>
      <c r="C482" s="12" t="s">
        <v>2467</v>
      </c>
      <c r="D482" s="11" t="s">
        <v>1652</v>
      </c>
      <c r="E482" s="12" t="s">
        <v>773</v>
      </c>
      <c r="F482" s="13">
        <v>8</v>
      </c>
      <c r="G482" s="22">
        <f>Overview!$B$27</f>
        <v>16</v>
      </c>
      <c r="H482" s="114">
        <f t="shared" si="144"/>
        <v>16</v>
      </c>
      <c r="I482" s="114">
        <f>Overview!$E$27</f>
        <v>0</v>
      </c>
      <c r="J482" s="115">
        <f t="shared" si="145"/>
        <v>0</v>
      </c>
      <c r="K482" s="116">
        <f>Overview!$H$27</f>
        <v>0</v>
      </c>
      <c r="L482" s="117" t="e">
        <f t="shared" si="146"/>
        <v>#DIV/0!</v>
      </c>
      <c r="M482" s="179" t="s">
        <v>2422</v>
      </c>
      <c r="N482" s="179" t="s">
        <v>969</v>
      </c>
      <c r="O482" s="141">
        <f t="shared" si="147"/>
        <v>0</v>
      </c>
      <c r="P482" s="181" t="b">
        <f>COUNTIF('Facility Data'!$A$1:$A$1500,"*"&amp;A482&amp;"*")&gt;0</f>
        <v>0</v>
      </c>
      <c r="Q482" s="181" t="b">
        <f>COUNTIF('Account Data'!$A$1:$A$1000,"*"&amp;A482&amp;"*")&gt;0</f>
        <v>0</v>
      </c>
      <c r="R482" s="182" t="b">
        <f t="shared" si="148"/>
        <v>0</v>
      </c>
      <c r="S482" s="182" t="b">
        <f t="shared" si="149"/>
        <v>0</v>
      </c>
      <c r="T482" s="181" t="b">
        <f>COUNTIF('New Items'!$A$1:$A$175,A482)&gt;0</f>
        <v>0</v>
      </c>
      <c r="U482" s="181" t="b">
        <f>COUNTIF(Discontinued!$A$1:$A$150,A482)&gt;0</f>
        <v>0</v>
      </c>
    </row>
    <row r="483" spans="1:21" s="8" customFormat="1" ht="11.25" x14ac:dyDescent="0.2">
      <c r="A483" s="152">
        <v>10001585</v>
      </c>
      <c r="B483" s="10" t="s">
        <v>2462</v>
      </c>
      <c r="C483" s="12" t="s">
        <v>2463</v>
      </c>
      <c r="D483" s="11" t="s">
        <v>1655</v>
      </c>
      <c r="E483" s="12" t="s">
        <v>773</v>
      </c>
      <c r="F483" s="13">
        <v>8</v>
      </c>
      <c r="G483" s="22">
        <f>Overview!$B$27</f>
        <v>16</v>
      </c>
      <c r="H483" s="114">
        <f t="shared" si="144"/>
        <v>16</v>
      </c>
      <c r="I483" s="114">
        <f>Overview!$E$27</f>
        <v>0</v>
      </c>
      <c r="J483" s="115">
        <f t="shared" si="145"/>
        <v>0</v>
      </c>
      <c r="K483" s="116">
        <f>Overview!$H$27</f>
        <v>0</v>
      </c>
      <c r="L483" s="117" t="e">
        <f t="shared" si="146"/>
        <v>#DIV/0!</v>
      </c>
      <c r="M483" s="179" t="s">
        <v>2422</v>
      </c>
      <c r="N483" s="179" t="s">
        <v>969</v>
      </c>
      <c r="O483" s="141">
        <f t="shared" si="147"/>
        <v>0</v>
      </c>
      <c r="P483" s="181" t="b">
        <f>COUNTIF('Facility Data'!$A$1:$A$1500,"*"&amp;A483&amp;"*")&gt;0</f>
        <v>0</v>
      </c>
      <c r="Q483" s="181" t="b">
        <f>COUNTIF('Account Data'!$A$1:$A$1000,"*"&amp;A483&amp;"*")&gt;0</f>
        <v>0</v>
      </c>
      <c r="R483" s="182" t="b">
        <f t="shared" si="148"/>
        <v>0</v>
      </c>
      <c r="S483" s="182" t="b">
        <f t="shared" si="149"/>
        <v>0</v>
      </c>
      <c r="T483" s="181" t="b">
        <f>COUNTIF('New Items'!$A$1:$A$175,A483)&gt;0</f>
        <v>0</v>
      </c>
      <c r="U483" s="181" t="b">
        <f>COUNTIF(Discontinued!$A$1:$A$150,A483)&gt;0</f>
        <v>0</v>
      </c>
    </row>
    <row r="484" spans="1:21" s="8" customFormat="1" ht="11.25" x14ac:dyDescent="0.2">
      <c r="A484" s="152">
        <v>10001586</v>
      </c>
      <c r="B484" s="10" t="s">
        <v>2460</v>
      </c>
      <c r="C484" s="12" t="s">
        <v>2461</v>
      </c>
      <c r="D484" s="11" t="s">
        <v>2468</v>
      </c>
      <c r="E484" s="12" t="s">
        <v>773</v>
      </c>
      <c r="F484" s="13">
        <v>8</v>
      </c>
      <c r="G484" s="22">
        <f>Overview!$B$27</f>
        <v>16</v>
      </c>
      <c r="H484" s="114">
        <f t="shared" si="144"/>
        <v>16</v>
      </c>
      <c r="I484" s="114">
        <f>Overview!$E$27</f>
        <v>0</v>
      </c>
      <c r="J484" s="115">
        <f t="shared" si="145"/>
        <v>0</v>
      </c>
      <c r="K484" s="116">
        <f>Overview!$H$27</f>
        <v>0</v>
      </c>
      <c r="L484" s="117" t="e">
        <f t="shared" si="146"/>
        <v>#DIV/0!</v>
      </c>
      <c r="M484" s="179" t="s">
        <v>2422</v>
      </c>
      <c r="N484" s="179" t="s">
        <v>969</v>
      </c>
      <c r="O484" s="141">
        <f t="shared" si="147"/>
        <v>0</v>
      </c>
      <c r="P484" s="181" t="b">
        <f>COUNTIF('Facility Data'!$A$1:$A$1500,"*"&amp;A484&amp;"*")&gt;0</f>
        <v>0</v>
      </c>
      <c r="Q484" s="181" t="b">
        <f>COUNTIF('Account Data'!$A$1:$A$1000,"*"&amp;A484&amp;"*")&gt;0</f>
        <v>0</v>
      </c>
      <c r="R484" s="182" t="b">
        <f t="shared" si="148"/>
        <v>0</v>
      </c>
      <c r="S484" s="182" t="b">
        <f t="shared" si="149"/>
        <v>0</v>
      </c>
      <c r="T484" s="181" t="b">
        <f>COUNTIF('New Items'!$A$1:$A$175,A484)&gt;0</f>
        <v>0</v>
      </c>
      <c r="U484" s="181" t="b">
        <f>COUNTIF(Discontinued!$A$1:$A$150,A484)&gt;0</f>
        <v>0</v>
      </c>
    </row>
    <row r="485" spans="1:21" s="8" customFormat="1" ht="11.25" x14ac:dyDescent="0.2">
      <c r="A485" s="152">
        <v>10001580</v>
      </c>
      <c r="B485" s="10" t="s">
        <v>2456</v>
      </c>
      <c r="C485" s="12" t="s">
        <v>2457</v>
      </c>
      <c r="D485" s="11" t="s">
        <v>1650</v>
      </c>
      <c r="E485" s="12" t="s">
        <v>773</v>
      </c>
      <c r="F485" s="13">
        <v>8</v>
      </c>
      <c r="G485" s="22">
        <f>Overview!$B$27</f>
        <v>16</v>
      </c>
      <c r="H485" s="114">
        <f t="shared" si="144"/>
        <v>16</v>
      </c>
      <c r="I485" s="114">
        <f>Overview!$E$27</f>
        <v>0</v>
      </c>
      <c r="J485" s="115">
        <f t="shared" si="145"/>
        <v>0</v>
      </c>
      <c r="K485" s="116">
        <f>Overview!$H$27</f>
        <v>0</v>
      </c>
      <c r="L485" s="117" t="e">
        <f t="shared" si="146"/>
        <v>#DIV/0!</v>
      </c>
      <c r="M485" s="179" t="s">
        <v>2422</v>
      </c>
      <c r="N485" s="179" t="s">
        <v>969</v>
      </c>
      <c r="O485" s="141">
        <f t="shared" si="147"/>
        <v>0</v>
      </c>
      <c r="P485" s="181" t="b">
        <f>COUNTIF('Facility Data'!$A$1:$A$1500,"*"&amp;A485&amp;"*")&gt;0</f>
        <v>0</v>
      </c>
      <c r="Q485" s="181" t="b">
        <f>COUNTIF('Account Data'!$A$1:$A$1000,"*"&amp;A485&amp;"*")&gt;0</f>
        <v>0</v>
      </c>
      <c r="R485" s="182" t="b">
        <f t="shared" si="148"/>
        <v>0</v>
      </c>
      <c r="S485" s="182" t="b">
        <f t="shared" si="149"/>
        <v>0</v>
      </c>
      <c r="T485" s="181" t="b">
        <f>COUNTIF('New Items'!$A$1:$A$175,A485)&gt;0</f>
        <v>0</v>
      </c>
      <c r="U485" s="181" t="b">
        <f>COUNTIF(Discontinued!$A$1:$A$150,A485)&gt;0</f>
        <v>0</v>
      </c>
    </row>
    <row r="486" spans="1:21" s="8" customFormat="1" ht="11.25" x14ac:dyDescent="0.2">
      <c r="A486" s="152">
        <v>10001587</v>
      </c>
      <c r="B486" s="10" t="s">
        <v>2464</v>
      </c>
      <c r="C486" s="12" t="s">
        <v>2465</v>
      </c>
      <c r="D486" s="11" t="s">
        <v>2469</v>
      </c>
      <c r="E486" s="12" t="s">
        <v>773</v>
      </c>
      <c r="F486" s="13">
        <v>8</v>
      </c>
      <c r="G486" s="22">
        <f>Overview!$B$27</f>
        <v>16</v>
      </c>
      <c r="H486" s="114">
        <f t="shared" si="144"/>
        <v>16</v>
      </c>
      <c r="I486" s="114">
        <f>Overview!$E$27</f>
        <v>0</v>
      </c>
      <c r="J486" s="115">
        <f t="shared" si="145"/>
        <v>0</v>
      </c>
      <c r="K486" s="116">
        <f>Overview!$H$27</f>
        <v>0</v>
      </c>
      <c r="L486" s="117" t="e">
        <f t="shared" si="146"/>
        <v>#DIV/0!</v>
      </c>
      <c r="M486" s="179" t="s">
        <v>2422</v>
      </c>
      <c r="N486" s="179" t="s">
        <v>969</v>
      </c>
      <c r="O486" s="141">
        <f t="shared" si="147"/>
        <v>0</v>
      </c>
      <c r="P486" s="181" t="b">
        <f>COUNTIF('Facility Data'!$A$1:$A$1500,"*"&amp;A486&amp;"*")&gt;0</f>
        <v>0</v>
      </c>
      <c r="Q486" s="181" t="b">
        <f>COUNTIF('Account Data'!$A$1:$A$1000,"*"&amp;A486&amp;"*")&gt;0</f>
        <v>0</v>
      </c>
      <c r="R486" s="182" t="b">
        <f t="shared" si="148"/>
        <v>0</v>
      </c>
      <c r="S486" s="182" t="b">
        <f t="shared" si="149"/>
        <v>0</v>
      </c>
      <c r="T486" s="181" t="b">
        <f>COUNTIF('New Items'!$A$1:$A$175,A486)&gt;0</f>
        <v>0</v>
      </c>
      <c r="U486" s="181" t="b">
        <f>COUNTIF(Discontinued!$A$1:$A$150,A486)&gt;0</f>
        <v>0</v>
      </c>
    </row>
    <row r="487" spans="1:21" s="8" customFormat="1" ht="11.25" x14ac:dyDescent="0.2">
      <c r="A487" s="152">
        <v>10021983</v>
      </c>
      <c r="B487" s="10" t="s">
        <v>3275</v>
      </c>
      <c r="C487" s="12" t="s">
        <v>936</v>
      </c>
      <c r="D487" s="11" t="s">
        <v>923</v>
      </c>
      <c r="E487" s="12" t="s">
        <v>773</v>
      </c>
      <c r="F487" s="13">
        <v>8</v>
      </c>
      <c r="G487" s="22">
        <f>Overview!$B$27</f>
        <v>16</v>
      </c>
      <c r="H487" s="114">
        <f t="shared" si="144"/>
        <v>16</v>
      </c>
      <c r="I487" s="114">
        <f>Overview!$E$27</f>
        <v>0</v>
      </c>
      <c r="J487" s="115">
        <f t="shared" si="145"/>
        <v>0</v>
      </c>
      <c r="K487" s="116">
        <f>Overview!$H$27</f>
        <v>0</v>
      </c>
      <c r="L487" s="117" t="e">
        <f t="shared" si="146"/>
        <v>#DIV/0!</v>
      </c>
      <c r="M487" s="179" t="s">
        <v>921</v>
      </c>
      <c r="N487" s="179" t="s">
        <v>969</v>
      </c>
      <c r="O487" s="141">
        <f t="shared" si="147"/>
        <v>0</v>
      </c>
      <c r="P487" s="181" t="b">
        <f>COUNTIF('Facility Data'!$A$1:$A$1500,"*"&amp;A487&amp;"*")&gt;0</f>
        <v>0</v>
      </c>
      <c r="Q487" s="181" t="b">
        <f>COUNTIF('Account Data'!$A$1:$A$1000,"*"&amp;A487&amp;"*")&gt;0</f>
        <v>0</v>
      </c>
      <c r="R487" s="182" t="b">
        <f t="shared" si="148"/>
        <v>0</v>
      </c>
      <c r="S487" s="182" t="b">
        <f t="shared" si="149"/>
        <v>0</v>
      </c>
      <c r="T487" s="181" t="b">
        <f>COUNTIF('New Items'!$A$1:$A$175,A487)&gt;0</f>
        <v>0</v>
      </c>
      <c r="U487" s="181" t="b">
        <f>COUNTIF(Discontinued!$A$1:$A$150,A487)&gt;0</f>
        <v>0</v>
      </c>
    </row>
    <row r="488" spans="1:21" s="8" customFormat="1" ht="11.25" x14ac:dyDescent="0.2">
      <c r="A488" s="152">
        <v>10021981</v>
      </c>
      <c r="B488" s="10" t="s">
        <v>3274</v>
      </c>
      <c r="C488" s="12" t="s">
        <v>935</v>
      </c>
      <c r="D488" s="11" t="s">
        <v>922</v>
      </c>
      <c r="E488" s="12" t="s">
        <v>773</v>
      </c>
      <c r="F488" s="13">
        <v>8</v>
      </c>
      <c r="G488" s="22">
        <f>Overview!$B$27</f>
        <v>16</v>
      </c>
      <c r="H488" s="114">
        <f t="shared" si="144"/>
        <v>16</v>
      </c>
      <c r="I488" s="114">
        <f>Overview!$E$27</f>
        <v>0</v>
      </c>
      <c r="J488" s="115">
        <f t="shared" si="145"/>
        <v>0</v>
      </c>
      <c r="K488" s="116">
        <f>Overview!$H$27</f>
        <v>0</v>
      </c>
      <c r="L488" s="117" t="e">
        <f t="shared" si="146"/>
        <v>#DIV/0!</v>
      </c>
      <c r="M488" s="179" t="s">
        <v>921</v>
      </c>
      <c r="N488" s="179" t="s">
        <v>969</v>
      </c>
      <c r="O488" s="141">
        <f t="shared" si="147"/>
        <v>0</v>
      </c>
      <c r="P488" s="181" t="b">
        <f>COUNTIF('Facility Data'!$A$1:$A$1500,"*"&amp;A488&amp;"*")&gt;0</f>
        <v>0</v>
      </c>
      <c r="Q488" s="181" t="b">
        <f>COUNTIF('Account Data'!$A$1:$A$1000,"*"&amp;A488&amp;"*")&gt;0</f>
        <v>1</v>
      </c>
      <c r="R488" s="182" t="b">
        <f t="shared" si="148"/>
        <v>0</v>
      </c>
      <c r="S488" s="182" t="b">
        <f t="shared" si="149"/>
        <v>1</v>
      </c>
      <c r="T488" s="181" t="b">
        <f>COUNTIF('New Items'!$A$1:$A$175,A488)&gt;0</f>
        <v>0</v>
      </c>
      <c r="U488" s="181" t="b">
        <f>COUNTIF(Discontinued!$A$1:$A$150,A488)&gt;0</f>
        <v>0</v>
      </c>
    </row>
    <row r="489" spans="1:21" s="8" customFormat="1" ht="11.25" x14ac:dyDescent="0.2">
      <c r="A489" s="152">
        <v>10021984</v>
      </c>
      <c r="B489" s="10" t="s">
        <v>3276</v>
      </c>
      <c r="C489" s="12" t="s">
        <v>937</v>
      </c>
      <c r="D489" s="11" t="s">
        <v>924</v>
      </c>
      <c r="E489" s="12" t="s">
        <v>773</v>
      </c>
      <c r="F489" s="13">
        <v>8</v>
      </c>
      <c r="G489" s="22">
        <f>Overview!$B$27</f>
        <v>16</v>
      </c>
      <c r="H489" s="114">
        <f t="shared" ref="H489:H511" si="150">G489-I489</f>
        <v>16</v>
      </c>
      <c r="I489" s="114">
        <f>Overview!$E$27</f>
        <v>0</v>
      </c>
      <c r="J489" s="115">
        <f t="shared" ref="J489:J511" si="151">I489/F489</f>
        <v>0</v>
      </c>
      <c r="K489" s="116">
        <f>Overview!$H$27</f>
        <v>0</v>
      </c>
      <c r="L489" s="117" t="e">
        <f t="shared" ref="L489:L511" si="152">(K489-J489)/K489</f>
        <v>#DIV/0!</v>
      </c>
      <c r="M489" s="179" t="s">
        <v>921</v>
      </c>
      <c r="N489" s="179" t="s">
        <v>969</v>
      </c>
      <c r="O489" s="141">
        <f t="shared" ref="O489:O511" si="153">I489</f>
        <v>0</v>
      </c>
      <c r="P489" s="181" t="b">
        <f>COUNTIF('Facility Data'!$A$1:$A$1500,"*"&amp;A489&amp;"*")&gt;0</f>
        <v>0</v>
      </c>
      <c r="Q489" s="181" t="b">
        <f>COUNTIF('Account Data'!$A$1:$A$1000,"*"&amp;A489&amp;"*")&gt;0</f>
        <v>0</v>
      </c>
      <c r="R489" s="182" t="b">
        <f t="shared" si="148"/>
        <v>0</v>
      </c>
      <c r="S489" s="182" t="b">
        <f t="shared" ref="S489:S511" si="154">IF(OR(Q489=TRUE,T489=TRUE),TRUE,FALSE)</f>
        <v>0</v>
      </c>
      <c r="T489" s="181" t="b">
        <f>COUNTIF('New Items'!$A$1:$A$175,A489)&gt;0</f>
        <v>0</v>
      </c>
      <c r="U489" s="181" t="b">
        <f>COUNTIF(Discontinued!$A$1:$A$150,A489)&gt;0</f>
        <v>0</v>
      </c>
    </row>
    <row r="490" spans="1:21" s="8" customFormat="1" ht="11.25" x14ac:dyDescent="0.2">
      <c r="A490" s="152">
        <v>10001577</v>
      </c>
      <c r="B490" s="10" t="s">
        <v>2458</v>
      </c>
      <c r="C490" s="12" t="s">
        <v>2459</v>
      </c>
      <c r="D490" s="11" t="s">
        <v>3269</v>
      </c>
      <c r="E490" s="12" t="s">
        <v>773</v>
      </c>
      <c r="F490" s="13">
        <v>8</v>
      </c>
      <c r="G490" s="22">
        <f>Overview!$B$27</f>
        <v>16</v>
      </c>
      <c r="H490" s="114">
        <f t="shared" si="150"/>
        <v>16</v>
      </c>
      <c r="I490" s="114">
        <f>Overview!$E$27</f>
        <v>0</v>
      </c>
      <c r="J490" s="115">
        <f t="shared" si="151"/>
        <v>0</v>
      </c>
      <c r="K490" s="116">
        <f>Overview!$H$27</f>
        <v>0</v>
      </c>
      <c r="L490" s="117" t="e">
        <f t="shared" si="152"/>
        <v>#DIV/0!</v>
      </c>
      <c r="M490" s="179" t="s">
        <v>2422</v>
      </c>
      <c r="N490" s="179" t="s">
        <v>969</v>
      </c>
      <c r="O490" s="141">
        <f t="shared" si="153"/>
        <v>0</v>
      </c>
      <c r="P490" s="181" t="b">
        <f>COUNTIF('Facility Data'!$A$1:$A$1500,"*"&amp;A490&amp;"*")&gt;0</f>
        <v>0</v>
      </c>
      <c r="Q490" s="181" t="b">
        <f>COUNTIF('Account Data'!$A$1:$A$1000,"*"&amp;A490&amp;"*")&gt;0</f>
        <v>0</v>
      </c>
      <c r="R490" s="182" t="b">
        <f t="shared" ref="R490:R513" si="155">IF(OR(P490=TRUE,T490=TRUE),TRUE,FALSE)</f>
        <v>0</v>
      </c>
      <c r="S490" s="182" t="b">
        <f t="shared" si="154"/>
        <v>0</v>
      </c>
      <c r="T490" s="181" t="b">
        <f>COUNTIF('New Items'!$A$1:$A$175,A490)&gt;0</f>
        <v>0</v>
      </c>
      <c r="U490" s="181" t="b">
        <f>COUNTIF(Discontinued!$A$1:$A$150,A490)&gt;0</f>
        <v>0</v>
      </c>
    </row>
    <row r="491" spans="1:21" s="8" customFormat="1" ht="11.25" x14ac:dyDescent="0.2">
      <c r="A491" s="152">
        <v>10021980</v>
      </c>
      <c r="B491" s="10" t="s">
        <v>1598</v>
      </c>
      <c r="C491" s="12" t="s">
        <v>1599</v>
      </c>
      <c r="D491" s="11" t="s">
        <v>925</v>
      </c>
      <c r="E491" s="12" t="s">
        <v>773</v>
      </c>
      <c r="F491" s="13">
        <v>8</v>
      </c>
      <c r="G491" s="22">
        <f>Overview!$B$27</f>
        <v>16</v>
      </c>
      <c r="H491" s="114">
        <f t="shared" si="150"/>
        <v>16</v>
      </c>
      <c r="I491" s="114">
        <f>Overview!$E$27</f>
        <v>0</v>
      </c>
      <c r="J491" s="115">
        <f t="shared" si="151"/>
        <v>0</v>
      </c>
      <c r="K491" s="116">
        <f>Overview!$H$27</f>
        <v>0</v>
      </c>
      <c r="L491" s="117" t="e">
        <f t="shared" si="152"/>
        <v>#DIV/0!</v>
      </c>
      <c r="M491" s="179" t="s">
        <v>921</v>
      </c>
      <c r="N491" s="179" t="s">
        <v>969</v>
      </c>
      <c r="O491" s="141">
        <f t="shared" si="153"/>
        <v>0</v>
      </c>
      <c r="P491" s="181" t="b">
        <f>COUNTIF('Facility Data'!$A$1:$A$1500,"*"&amp;A491&amp;"*")&gt;0</f>
        <v>0</v>
      </c>
      <c r="Q491" s="181" t="b">
        <f>COUNTIF('Account Data'!$A$1:$A$1000,"*"&amp;A491&amp;"*")&gt;0</f>
        <v>0</v>
      </c>
      <c r="R491" s="182" t="b">
        <f t="shared" si="155"/>
        <v>0</v>
      </c>
      <c r="S491" s="182" t="b">
        <f t="shared" si="154"/>
        <v>0</v>
      </c>
      <c r="T491" s="181" t="b">
        <f>COUNTIF('New Items'!$A$1:$A$175,A491)&gt;0</f>
        <v>0</v>
      </c>
      <c r="U491" s="181" t="b">
        <f>COUNTIF(Discontinued!$A$1:$A$150,A491)&gt;0</f>
        <v>0</v>
      </c>
    </row>
    <row r="492" spans="1:21" s="8" customFormat="1" ht="11.25" x14ac:dyDescent="0.2">
      <c r="A492" s="152">
        <v>10001423</v>
      </c>
      <c r="B492" s="10" t="s">
        <v>211</v>
      </c>
      <c r="C492" s="12" t="s">
        <v>212</v>
      </c>
      <c r="D492" s="11" t="s">
        <v>631</v>
      </c>
      <c r="E492" s="12" t="s">
        <v>773</v>
      </c>
      <c r="F492" s="13">
        <v>8</v>
      </c>
      <c r="G492" s="22">
        <f>Overview!$B$27</f>
        <v>16</v>
      </c>
      <c r="H492" s="114">
        <f t="shared" si="150"/>
        <v>16</v>
      </c>
      <c r="I492" s="114">
        <f>Overview!$E$27</f>
        <v>0</v>
      </c>
      <c r="J492" s="115">
        <f t="shared" si="151"/>
        <v>0</v>
      </c>
      <c r="K492" s="116">
        <f>Overview!$H$27</f>
        <v>0</v>
      </c>
      <c r="L492" s="117" t="e">
        <f t="shared" si="152"/>
        <v>#DIV/0!</v>
      </c>
      <c r="M492" s="179" t="s">
        <v>951</v>
      </c>
      <c r="N492" s="179" t="s">
        <v>969</v>
      </c>
      <c r="O492" s="141">
        <f t="shared" si="153"/>
        <v>0</v>
      </c>
      <c r="P492" s="181" t="b">
        <f>COUNTIF('Facility Data'!$A$1:$A$1500,"*"&amp;A492&amp;"*")&gt;0</f>
        <v>0</v>
      </c>
      <c r="Q492" s="181" t="b">
        <f>COUNTIF('Account Data'!$A$1:$A$1000,"*"&amp;A492&amp;"*")&gt;0</f>
        <v>1</v>
      </c>
      <c r="R492" s="182" t="b">
        <f t="shared" si="155"/>
        <v>0</v>
      </c>
      <c r="S492" s="182" t="b">
        <f t="shared" si="154"/>
        <v>1</v>
      </c>
      <c r="T492" s="181" t="b">
        <f>COUNTIF('New Items'!$A$1:$A$175,A492)&gt;0</f>
        <v>0</v>
      </c>
      <c r="U492" s="181" t="b">
        <f>COUNTIF(Discontinued!$A$1:$A$150,A492)&gt;0</f>
        <v>0</v>
      </c>
    </row>
    <row r="493" spans="1:21" s="8" customFormat="1" ht="11.25" x14ac:dyDescent="0.2">
      <c r="A493" s="152">
        <v>10027339</v>
      </c>
      <c r="B493" s="10" t="s">
        <v>2754</v>
      </c>
      <c r="C493" s="12" t="s">
        <v>2755</v>
      </c>
      <c r="D493" s="11" t="s">
        <v>2766</v>
      </c>
      <c r="E493" s="12" t="s">
        <v>773</v>
      </c>
      <c r="F493" s="13">
        <v>8</v>
      </c>
      <c r="G493" s="22">
        <f>Overview!$B$27</f>
        <v>16</v>
      </c>
      <c r="H493" s="114">
        <f t="shared" si="150"/>
        <v>16</v>
      </c>
      <c r="I493" s="114">
        <f>Overview!$E$27</f>
        <v>0</v>
      </c>
      <c r="J493" s="115">
        <f t="shared" si="151"/>
        <v>0</v>
      </c>
      <c r="K493" s="116">
        <f>Overview!$H$27</f>
        <v>0</v>
      </c>
      <c r="L493" s="117" t="e">
        <f t="shared" si="152"/>
        <v>#DIV/0!</v>
      </c>
      <c r="M493" s="179" t="s">
        <v>3501</v>
      </c>
      <c r="N493" s="179" t="s">
        <v>969</v>
      </c>
      <c r="O493" s="141">
        <f t="shared" si="153"/>
        <v>0</v>
      </c>
      <c r="P493" s="181" t="b">
        <f>COUNTIF('Facility Data'!$A$1:$A$1500,"*"&amp;A493&amp;"*")&gt;0</f>
        <v>0</v>
      </c>
      <c r="Q493" s="181" t="b">
        <f>COUNTIF('Account Data'!$A$1:$A$1000,"*"&amp;A493&amp;"*")&gt;0</f>
        <v>0</v>
      </c>
      <c r="R493" s="182" t="b">
        <f t="shared" si="155"/>
        <v>0</v>
      </c>
      <c r="S493" s="182" t="b">
        <f t="shared" si="154"/>
        <v>0</v>
      </c>
      <c r="T493" s="181" t="b">
        <f>COUNTIF('New Items'!$A$1:$A$175,A493)&gt;0</f>
        <v>0</v>
      </c>
      <c r="U493" s="181" t="b">
        <f>COUNTIF(Discontinued!$A$1:$A$150,A493)&gt;0</f>
        <v>0</v>
      </c>
    </row>
    <row r="494" spans="1:21" s="8" customFormat="1" ht="11.25" x14ac:dyDescent="0.2">
      <c r="A494" s="152">
        <v>10081250</v>
      </c>
      <c r="B494" s="10" t="s">
        <v>2758</v>
      </c>
      <c r="C494" s="12" t="s">
        <v>2759</v>
      </c>
      <c r="D494" s="11" t="s">
        <v>1710</v>
      </c>
      <c r="E494" s="12" t="s">
        <v>773</v>
      </c>
      <c r="F494" s="13">
        <v>8</v>
      </c>
      <c r="G494" s="22">
        <f>Overview!$B$27</f>
        <v>16</v>
      </c>
      <c r="H494" s="114">
        <f t="shared" si="150"/>
        <v>16</v>
      </c>
      <c r="I494" s="114">
        <f>Overview!$E$27</f>
        <v>0</v>
      </c>
      <c r="J494" s="115">
        <f t="shared" si="151"/>
        <v>0</v>
      </c>
      <c r="K494" s="116">
        <f>Overview!$H$27</f>
        <v>0</v>
      </c>
      <c r="L494" s="117" t="e">
        <f t="shared" si="152"/>
        <v>#DIV/0!</v>
      </c>
      <c r="M494" s="179" t="s">
        <v>2423</v>
      </c>
      <c r="N494" s="179" t="s">
        <v>969</v>
      </c>
      <c r="O494" s="141">
        <f t="shared" si="153"/>
        <v>0</v>
      </c>
      <c r="P494" s="181" t="b">
        <f>COUNTIF('Facility Data'!$A$1:$A$1500,"*"&amp;A494&amp;"*")&gt;0</f>
        <v>0</v>
      </c>
      <c r="Q494" s="181" t="b">
        <f>COUNTIF('Account Data'!$A$1:$A$1000,"*"&amp;A494&amp;"*")&gt;0</f>
        <v>0</v>
      </c>
      <c r="R494" s="182" t="b">
        <f t="shared" si="155"/>
        <v>0</v>
      </c>
      <c r="S494" s="182" t="b">
        <f t="shared" si="154"/>
        <v>0</v>
      </c>
      <c r="T494" s="181" t="b">
        <f>COUNTIF('New Items'!$A$1:$A$175,A494)&gt;0</f>
        <v>0</v>
      </c>
      <c r="U494" s="181" t="b">
        <f>COUNTIF(Discontinued!$A$1:$A$150,A494)&gt;0</f>
        <v>0</v>
      </c>
    </row>
    <row r="495" spans="1:21" s="8" customFormat="1" ht="11.25" x14ac:dyDescent="0.2">
      <c r="A495" s="152">
        <v>10001426</v>
      </c>
      <c r="B495" s="10" t="s">
        <v>271</v>
      </c>
      <c r="C495" s="12" t="s">
        <v>272</v>
      </c>
      <c r="D495" s="11" t="s">
        <v>658</v>
      </c>
      <c r="E495" s="12" t="s">
        <v>773</v>
      </c>
      <c r="F495" s="13">
        <v>8</v>
      </c>
      <c r="G495" s="22">
        <f>Overview!$B$27</f>
        <v>16</v>
      </c>
      <c r="H495" s="114">
        <f t="shared" si="150"/>
        <v>16</v>
      </c>
      <c r="I495" s="114">
        <f>Overview!$E$27</f>
        <v>0</v>
      </c>
      <c r="J495" s="115">
        <f t="shared" si="151"/>
        <v>0</v>
      </c>
      <c r="K495" s="116">
        <f>Overview!$H$27</f>
        <v>0</v>
      </c>
      <c r="L495" s="117" t="e">
        <f t="shared" si="152"/>
        <v>#DIV/0!</v>
      </c>
      <c r="M495" s="179"/>
      <c r="N495" s="179" t="s">
        <v>3158</v>
      </c>
      <c r="O495" s="141">
        <f t="shared" si="153"/>
        <v>0</v>
      </c>
      <c r="P495" s="181" t="b">
        <f>COUNTIF('Facility Data'!$A$1:$A$1500,"*"&amp;A495&amp;"*")&gt;0</f>
        <v>0</v>
      </c>
      <c r="Q495" s="181" t="b">
        <f>COUNTIF('Account Data'!$A$1:$A$1000,"*"&amp;A495&amp;"*")&gt;0</f>
        <v>0</v>
      </c>
      <c r="R495" s="182" t="b">
        <f t="shared" si="155"/>
        <v>0</v>
      </c>
      <c r="S495" s="182" t="b">
        <f t="shared" si="154"/>
        <v>0</v>
      </c>
      <c r="T495" s="181" t="b">
        <f>COUNTIF('New Items'!$A$1:$A$175,A495)&gt;0</f>
        <v>0</v>
      </c>
      <c r="U495" s="181" t="b">
        <f>COUNTIF(Discontinued!$A$1:$A$150,A495)&gt;0</f>
        <v>0</v>
      </c>
    </row>
    <row r="496" spans="1:21" s="8" customFormat="1" ht="11.25" x14ac:dyDescent="0.2">
      <c r="A496" s="152">
        <v>10001493</v>
      </c>
      <c r="B496" s="10" t="s">
        <v>2693</v>
      </c>
      <c r="C496" s="12" t="s">
        <v>2694</v>
      </c>
      <c r="D496" s="11" t="s">
        <v>1698</v>
      </c>
      <c r="E496" s="12" t="s">
        <v>773</v>
      </c>
      <c r="F496" s="13">
        <v>8</v>
      </c>
      <c r="G496" s="22">
        <f>Overview!$B$27</f>
        <v>16</v>
      </c>
      <c r="H496" s="114">
        <f t="shared" si="150"/>
        <v>16</v>
      </c>
      <c r="I496" s="114">
        <f>Overview!$E$27</f>
        <v>0</v>
      </c>
      <c r="J496" s="115">
        <f t="shared" si="151"/>
        <v>0</v>
      </c>
      <c r="K496" s="116">
        <f>Overview!$H$27</f>
        <v>0</v>
      </c>
      <c r="L496" s="117" t="e">
        <f t="shared" si="152"/>
        <v>#DIV/0!</v>
      </c>
      <c r="M496" s="179" t="s">
        <v>4370</v>
      </c>
      <c r="N496" s="179" t="s">
        <v>969</v>
      </c>
      <c r="O496" s="141">
        <f t="shared" si="153"/>
        <v>0</v>
      </c>
      <c r="P496" s="181" t="b">
        <f>COUNTIF('Facility Data'!$A$1:$A$1500,"*"&amp;A496&amp;"*")&gt;0</f>
        <v>0</v>
      </c>
      <c r="Q496" s="181" t="b">
        <f>COUNTIF('Account Data'!$A$1:$A$1000,"*"&amp;A496&amp;"*")&gt;0</f>
        <v>0</v>
      </c>
      <c r="R496" s="182" t="b">
        <f t="shared" si="155"/>
        <v>0</v>
      </c>
      <c r="S496" s="182" t="b">
        <f t="shared" si="154"/>
        <v>0</v>
      </c>
      <c r="T496" s="181" t="b">
        <f>COUNTIF('New Items'!$A$1:$A$175,A496)&gt;0</f>
        <v>0</v>
      </c>
      <c r="U496" s="181" t="b">
        <f>COUNTIF(Discontinued!$A$1:$A$150,A496)&gt;0</f>
        <v>0</v>
      </c>
    </row>
    <row r="497" spans="1:21" s="8" customFormat="1" ht="11.25" x14ac:dyDescent="0.2">
      <c r="A497" s="152">
        <v>10001468</v>
      </c>
      <c r="B497" s="10" t="s">
        <v>1304</v>
      </c>
      <c r="C497" s="12" t="s">
        <v>1305</v>
      </c>
      <c r="D497" s="11" t="s">
        <v>649</v>
      </c>
      <c r="E497" s="12" t="s">
        <v>773</v>
      </c>
      <c r="F497" s="13">
        <v>8</v>
      </c>
      <c r="G497" s="22">
        <f>Overview!$B$27</f>
        <v>16</v>
      </c>
      <c r="H497" s="114">
        <f t="shared" si="150"/>
        <v>16</v>
      </c>
      <c r="I497" s="114">
        <f>Overview!$E$27</f>
        <v>0</v>
      </c>
      <c r="J497" s="115">
        <f t="shared" si="151"/>
        <v>0</v>
      </c>
      <c r="K497" s="116">
        <f>Overview!$H$27</f>
        <v>0</v>
      </c>
      <c r="L497" s="117" t="e">
        <f t="shared" si="152"/>
        <v>#DIV/0!</v>
      </c>
      <c r="M497" s="179"/>
      <c r="N497" s="179" t="s">
        <v>3158</v>
      </c>
      <c r="O497" s="141">
        <f t="shared" si="153"/>
        <v>0</v>
      </c>
      <c r="P497" s="181" t="b">
        <f>COUNTIF('Facility Data'!$A$1:$A$1500,"*"&amp;A497&amp;"*")&gt;0</f>
        <v>0</v>
      </c>
      <c r="Q497" s="181" t="b">
        <f>COUNTIF('Account Data'!$A$1:$A$1000,"*"&amp;A497&amp;"*")&gt;0</f>
        <v>0</v>
      </c>
      <c r="R497" s="182" t="b">
        <f t="shared" si="155"/>
        <v>0</v>
      </c>
      <c r="S497" s="182" t="b">
        <f t="shared" si="154"/>
        <v>0</v>
      </c>
      <c r="T497" s="181" t="b">
        <f>COUNTIF('New Items'!$A$1:$A$175,A497)&gt;0</f>
        <v>0</v>
      </c>
      <c r="U497" s="181" t="b">
        <f>COUNTIF(Discontinued!$A$1:$A$150,A497)&gt;0</f>
        <v>0</v>
      </c>
    </row>
    <row r="498" spans="1:21" s="8" customFormat="1" ht="11.25" x14ac:dyDescent="0.2">
      <c r="A498" s="152">
        <v>10001535</v>
      </c>
      <c r="B498" s="10" t="s">
        <v>1308</v>
      </c>
      <c r="C498" s="12" t="s">
        <v>1309</v>
      </c>
      <c r="D498" s="11" t="s">
        <v>4117</v>
      </c>
      <c r="E498" s="12" t="s">
        <v>773</v>
      </c>
      <c r="F498" s="13">
        <v>8</v>
      </c>
      <c r="G498" s="22">
        <f>Overview!$B$27</f>
        <v>16</v>
      </c>
      <c r="H498" s="114">
        <f t="shared" si="150"/>
        <v>16</v>
      </c>
      <c r="I498" s="114">
        <f>Overview!$E$27</f>
        <v>0</v>
      </c>
      <c r="J498" s="115">
        <f t="shared" si="151"/>
        <v>0</v>
      </c>
      <c r="K498" s="116">
        <f>Overview!$H$27</f>
        <v>0</v>
      </c>
      <c r="L498" s="117" t="e">
        <f t="shared" si="152"/>
        <v>#DIV/0!</v>
      </c>
      <c r="M498" s="179" t="s">
        <v>953</v>
      </c>
      <c r="N498" s="179" t="s">
        <v>969</v>
      </c>
      <c r="O498" s="141">
        <f t="shared" si="153"/>
        <v>0</v>
      </c>
      <c r="P498" s="181" t="b">
        <f>COUNTIF('Facility Data'!$A$1:$A$1500,"*"&amp;A498&amp;"*")&gt;0</f>
        <v>0</v>
      </c>
      <c r="Q498" s="181" t="b">
        <f>COUNTIF('Account Data'!$A$1:$A$1000,"*"&amp;A498&amp;"*")&gt;0</f>
        <v>0</v>
      </c>
      <c r="R498" s="182" t="b">
        <f t="shared" si="155"/>
        <v>0</v>
      </c>
      <c r="S498" s="182" t="b">
        <f t="shared" si="154"/>
        <v>0</v>
      </c>
      <c r="T498" s="181" t="b">
        <f>COUNTIF('New Items'!$A$1:$A$175,A498)&gt;0</f>
        <v>0</v>
      </c>
      <c r="U498" s="181" t="b">
        <f>COUNTIF(Discontinued!$A$1:$A$150,A498)&gt;0</f>
        <v>0</v>
      </c>
    </row>
    <row r="499" spans="1:21" s="8" customFormat="1" ht="11.25" x14ac:dyDescent="0.2">
      <c r="A499" s="152">
        <v>10001422</v>
      </c>
      <c r="B499" s="10" t="s">
        <v>209</v>
      </c>
      <c r="C499" s="12" t="s">
        <v>210</v>
      </c>
      <c r="D499" s="11" t="s">
        <v>629</v>
      </c>
      <c r="E499" s="12" t="s">
        <v>773</v>
      </c>
      <c r="F499" s="13">
        <v>8</v>
      </c>
      <c r="G499" s="22">
        <f>Overview!$B$27</f>
        <v>16</v>
      </c>
      <c r="H499" s="114">
        <f t="shared" si="150"/>
        <v>16</v>
      </c>
      <c r="I499" s="114">
        <f>Overview!$E$27</f>
        <v>0</v>
      </c>
      <c r="J499" s="115">
        <f t="shared" si="151"/>
        <v>0</v>
      </c>
      <c r="K499" s="116">
        <f>Overview!$H$27</f>
        <v>0</v>
      </c>
      <c r="L499" s="117" t="e">
        <f t="shared" si="152"/>
        <v>#DIV/0!</v>
      </c>
      <c r="M499" s="179" t="s">
        <v>951</v>
      </c>
      <c r="N499" s="179" t="s">
        <v>969</v>
      </c>
      <c r="O499" s="141">
        <f t="shared" si="153"/>
        <v>0</v>
      </c>
      <c r="P499" s="181" t="b">
        <f>COUNTIF('Facility Data'!$A$1:$A$1500,"*"&amp;A499&amp;"*")&gt;0</f>
        <v>0</v>
      </c>
      <c r="Q499" s="181" t="b">
        <f>COUNTIF('Account Data'!$A$1:$A$1000,"*"&amp;A499&amp;"*")&gt;0</f>
        <v>1</v>
      </c>
      <c r="R499" s="182" t="b">
        <f t="shared" si="155"/>
        <v>0</v>
      </c>
      <c r="S499" s="182" t="b">
        <f t="shared" si="154"/>
        <v>1</v>
      </c>
      <c r="T499" s="181" t="b">
        <f>COUNTIF('New Items'!$A$1:$A$175,A499)&gt;0</f>
        <v>0</v>
      </c>
      <c r="U499" s="181" t="b">
        <f>COUNTIF(Discontinued!$A$1:$A$150,A499)&gt;0</f>
        <v>0</v>
      </c>
    </row>
    <row r="500" spans="1:21" s="8" customFormat="1" ht="11.25" x14ac:dyDescent="0.2">
      <c r="A500" s="152">
        <v>10089255</v>
      </c>
      <c r="B500" s="10" t="s">
        <v>1431</v>
      </c>
      <c r="C500" s="12" t="s">
        <v>1432</v>
      </c>
      <c r="D500" s="11" t="s">
        <v>920</v>
      </c>
      <c r="E500" s="12" t="s">
        <v>773</v>
      </c>
      <c r="F500" s="13">
        <v>8</v>
      </c>
      <c r="G500" s="22">
        <f>Overview!$B$27</f>
        <v>16</v>
      </c>
      <c r="H500" s="114">
        <f t="shared" si="150"/>
        <v>16</v>
      </c>
      <c r="I500" s="114">
        <f>Overview!$E$27</f>
        <v>0</v>
      </c>
      <c r="J500" s="115">
        <f t="shared" si="151"/>
        <v>0</v>
      </c>
      <c r="K500" s="116">
        <f>Overview!$H$27</f>
        <v>0</v>
      </c>
      <c r="L500" s="117" t="e">
        <f t="shared" si="152"/>
        <v>#DIV/0!</v>
      </c>
      <c r="M500" s="179" t="s">
        <v>951</v>
      </c>
      <c r="N500" s="179" t="s">
        <v>969</v>
      </c>
      <c r="O500" s="141">
        <f t="shared" si="153"/>
        <v>0</v>
      </c>
      <c r="P500" s="181" t="b">
        <f>COUNTIF('Facility Data'!$A$1:$A$1500,"*"&amp;A500&amp;"*")&gt;0</f>
        <v>0</v>
      </c>
      <c r="Q500" s="181" t="b">
        <f>COUNTIF('Account Data'!$A$1:$A$1000,"*"&amp;A500&amp;"*")&gt;0</f>
        <v>0</v>
      </c>
      <c r="R500" s="182" t="b">
        <f t="shared" si="155"/>
        <v>0</v>
      </c>
      <c r="S500" s="182" t="b">
        <f t="shared" si="154"/>
        <v>0</v>
      </c>
      <c r="T500" s="181" t="b">
        <f>COUNTIF('New Items'!$A$1:$A$175,A500)&gt;0</f>
        <v>0</v>
      </c>
      <c r="U500" s="181" t="b">
        <f>COUNTIF(Discontinued!$A$1:$A$150,A500)&gt;0</f>
        <v>0</v>
      </c>
    </row>
    <row r="501" spans="1:21" s="8" customFormat="1" ht="11.25" x14ac:dyDescent="0.2">
      <c r="A501" s="152">
        <v>10081258</v>
      </c>
      <c r="B501" s="10" t="s">
        <v>2750</v>
      </c>
      <c r="C501" s="12" t="s">
        <v>2751</v>
      </c>
      <c r="D501" s="11" t="s">
        <v>2764</v>
      </c>
      <c r="E501" s="12" t="s">
        <v>773</v>
      </c>
      <c r="F501" s="13">
        <v>8</v>
      </c>
      <c r="G501" s="22">
        <f>Overview!$B$27</f>
        <v>16</v>
      </c>
      <c r="H501" s="114">
        <f t="shared" si="150"/>
        <v>16</v>
      </c>
      <c r="I501" s="114">
        <f>Overview!$E$27</f>
        <v>0</v>
      </c>
      <c r="J501" s="115">
        <f t="shared" si="151"/>
        <v>0</v>
      </c>
      <c r="K501" s="116">
        <f>Overview!$H$27</f>
        <v>0</v>
      </c>
      <c r="L501" s="117" t="e">
        <f t="shared" si="152"/>
        <v>#DIV/0!</v>
      </c>
      <c r="M501" s="179" t="s">
        <v>3499</v>
      </c>
      <c r="N501" s="179" t="s">
        <v>969</v>
      </c>
      <c r="O501" s="141">
        <f t="shared" si="153"/>
        <v>0</v>
      </c>
      <c r="P501" s="181" t="b">
        <f>COUNTIF('Facility Data'!$A$1:$A$1500,"*"&amp;A501&amp;"*")&gt;0</f>
        <v>0</v>
      </c>
      <c r="Q501" s="181" t="b">
        <f>COUNTIF('Account Data'!$A$1:$A$1000,"*"&amp;A501&amp;"*")&gt;0</f>
        <v>0</v>
      </c>
      <c r="R501" s="182" t="b">
        <f t="shared" si="155"/>
        <v>0</v>
      </c>
      <c r="S501" s="182" t="b">
        <f t="shared" si="154"/>
        <v>0</v>
      </c>
      <c r="T501" s="181" t="b">
        <f>COUNTIF('New Items'!$A$1:$A$175,A501)&gt;0</f>
        <v>0</v>
      </c>
      <c r="U501" s="181" t="b">
        <f>COUNTIF(Discontinued!$A$1:$A$150,A501)&gt;0</f>
        <v>0</v>
      </c>
    </row>
    <row r="502" spans="1:21" s="8" customFormat="1" ht="11.25" x14ac:dyDescent="0.2">
      <c r="A502" s="152">
        <v>10027338</v>
      </c>
      <c r="B502" s="10" t="s">
        <v>2752</v>
      </c>
      <c r="C502" s="12" t="s">
        <v>2753</v>
      </c>
      <c r="D502" s="11" t="s">
        <v>2765</v>
      </c>
      <c r="E502" s="12" t="s">
        <v>773</v>
      </c>
      <c r="F502" s="13">
        <v>8</v>
      </c>
      <c r="G502" s="22">
        <f>Overview!$B$27</f>
        <v>16</v>
      </c>
      <c r="H502" s="114">
        <f t="shared" si="150"/>
        <v>16</v>
      </c>
      <c r="I502" s="114">
        <f>Overview!$E$27</f>
        <v>0</v>
      </c>
      <c r="J502" s="115">
        <f t="shared" si="151"/>
        <v>0</v>
      </c>
      <c r="K502" s="116">
        <f>Overview!$H$27</f>
        <v>0</v>
      </c>
      <c r="L502" s="117" t="e">
        <f t="shared" si="152"/>
        <v>#DIV/0!</v>
      </c>
      <c r="M502" s="179" t="s">
        <v>3501</v>
      </c>
      <c r="N502" s="179" t="s">
        <v>969</v>
      </c>
      <c r="O502" s="141">
        <f t="shared" si="153"/>
        <v>0</v>
      </c>
      <c r="P502" s="181" t="b">
        <f>COUNTIF('Facility Data'!$A$1:$A$1500,"*"&amp;A502&amp;"*")&gt;0</f>
        <v>0</v>
      </c>
      <c r="Q502" s="181" t="b">
        <f>COUNTIF('Account Data'!$A$1:$A$1000,"*"&amp;A502&amp;"*")&gt;0</f>
        <v>0</v>
      </c>
      <c r="R502" s="182" t="b">
        <f t="shared" si="155"/>
        <v>0</v>
      </c>
      <c r="S502" s="182" t="b">
        <f t="shared" si="154"/>
        <v>0</v>
      </c>
      <c r="T502" s="181" t="b">
        <f>COUNTIF('New Items'!$A$1:$A$175,A502)&gt;0</f>
        <v>0</v>
      </c>
      <c r="U502" s="181" t="b">
        <f>COUNTIF(Discontinued!$A$1:$A$150,A502)&gt;0</f>
        <v>0</v>
      </c>
    </row>
    <row r="503" spans="1:21" s="8" customFormat="1" ht="11.25" x14ac:dyDescent="0.2">
      <c r="A503" s="152">
        <v>10001440</v>
      </c>
      <c r="B503" s="10" t="s">
        <v>259</v>
      </c>
      <c r="C503" s="12" t="s">
        <v>260</v>
      </c>
      <c r="D503" s="11" t="s">
        <v>655</v>
      </c>
      <c r="E503" s="12" t="s">
        <v>773</v>
      </c>
      <c r="F503" s="13">
        <v>8</v>
      </c>
      <c r="G503" s="22">
        <f>Overview!$B$27</f>
        <v>16</v>
      </c>
      <c r="H503" s="114">
        <f t="shared" si="150"/>
        <v>16</v>
      </c>
      <c r="I503" s="114">
        <f>Overview!$E$27</f>
        <v>0</v>
      </c>
      <c r="J503" s="115">
        <f t="shared" si="151"/>
        <v>0</v>
      </c>
      <c r="K503" s="116">
        <f>Overview!$H$27</f>
        <v>0</v>
      </c>
      <c r="L503" s="117" t="e">
        <f t="shared" si="152"/>
        <v>#DIV/0!</v>
      </c>
      <c r="M503" s="179"/>
      <c r="N503" s="179" t="s">
        <v>969</v>
      </c>
      <c r="O503" s="141">
        <f t="shared" si="153"/>
        <v>0</v>
      </c>
      <c r="P503" s="181" t="b">
        <f>COUNTIF('Facility Data'!$A$1:$A$1500,"*"&amp;A503&amp;"*")&gt;0</f>
        <v>1</v>
      </c>
      <c r="Q503" s="181" t="b">
        <f>COUNTIF('Account Data'!$A$1:$A$1000,"*"&amp;A503&amp;"*")&gt;0</f>
        <v>0</v>
      </c>
      <c r="R503" s="182" t="b">
        <f t="shared" si="155"/>
        <v>1</v>
      </c>
      <c r="S503" s="182" t="b">
        <f t="shared" si="154"/>
        <v>0</v>
      </c>
      <c r="T503" s="181" t="b">
        <f>COUNTIF('New Items'!$A$1:$A$175,A503)&gt;0</f>
        <v>0</v>
      </c>
      <c r="U503" s="181" t="b">
        <f>COUNTIF(Discontinued!$A$1:$A$150,A503)&gt;0</f>
        <v>0</v>
      </c>
    </row>
    <row r="504" spans="1:21" s="8" customFormat="1" ht="11.25" x14ac:dyDescent="0.2">
      <c r="A504" s="152">
        <v>10001471</v>
      </c>
      <c r="B504" s="10" t="s">
        <v>1312</v>
      </c>
      <c r="C504" s="12" t="s">
        <v>1313</v>
      </c>
      <c r="D504" s="11" t="s">
        <v>639</v>
      </c>
      <c r="E504" s="12" t="s">
        <v>773</v>
      </c>
      <c r="F504" s="13">
        <v>8</v>
      </c>
      <c r="G504" s="22">
        <f>Overview!$B$27</f>
        <v>16</v>
      </c>
      <c r="H504" s="114">
        <f t="shared" si="150"/>
        <v>16</v>
      </c>
      <c r="I504" s="114">
        <f>Overview!$E$27</f>
        <v>0</v>
      </c>
      <c r="J504" s="115">
        <f t="shared" si="151"/>
        <v>0</v>
      </c>
      <c r="K504" s="116">
        <f>Overview!$H$27</f>
        <v>0</v>
      </c>
      <c r="L504" s="117" t="e">
        <f t="shared" si="152"/>
        <v>#DIV/0!</v>
      </c>
      <c r="M504" s="179" t="s">
        <v>930</v>
      </c>
      <c r="N504" s="179" t="s">
        <v>3158</v>
      </c>
      <c r="O504" s="141">
        <f t="shared" si="153"/>
        <v>0</v>
      </c>
      <c r="P504" s="181" t="b">
        <f>COUNTIF('Facility Data'!$A$1:$A$1500,"*"&amp;A504&amp;"*")&gt;0</f>
        <v>1</v>
      </c>
      <c r="Q504" s="181" t="b">
        <f>COUNTIF('Account Data'!$A$1:$A$1000,"*"&amp;A504&amp;"*")&gt;0</f>
        <v>0</v>
      </c>
      <c r="R504" s="182" t="b">
        <f t="shared" si="155"/>
        <v>1</v>
      </c>
      <c r="S504" s="182" t="b">
        <f t="shared" si="154"/>
        <v>0</v>
      </c>
      <c r="T504" s="181" t="b">
        <f>COUNTIF('New Items'!$A$1:$A$175,A504)&gt;0</f>
        <v>0</v>
      </c>
      <c r="U504" s="181" t="b">
        <f>COUNTIF(Discontinued!$A$1:$A$150,A504)&gt;0</f>
        <v>0</v>
      </c>
    </row>
    <row r="505" spans="1:21" s="8" customFormat="1" ht="11.25" x14ac:dyDescent="0.2">
      <c r="A505" s="152">
        <v>10081251</v>
      </c>
      <c r="B505" s="10" t="s">
        <v>2756</v>
      </c>
      <c r="C505" s="12" t="s">
        <v>2757</v>
      </c>
      <c r="D505" s="11" t="s">
        <v>1709</v>
      </c>
      <c r="E505" s="12" t="s">
        <v>773</v>
      </c>
      <c r="F505" s="13">
        <v>8</v>
      </c>
      <c r="G505" s="22">
        <f>Overview!$B$27</f>
        <v>16</v>
      </c>
      <c r="H505" s="114">
        <f t="shared" si="150"/>
        <v>16</v>
      </c>
      <c r="I505" s="114">
        <f>Overview!$E$27</f>
        <v>0</v>
      </c>
      <c r="J505" s="115">
        <f t="shared" si="151"/>
        <v>0</v>
      </c>
      <c r="K505" s="116">
        <f>Overview!$H$27</f>
        <v>0</v>
      </c>
      <c r="L505" s="117" t="e">
        <f t="shared" si="152"/>
        <v>#DIV/0!</v>
      </c>
      <c r="M505" s="179" t="s">
        <v>2423</v>
      </c>
      <c r="N505" s="179" t="s">
        <v>969</v>
      </c>
      <c r="O505" s="141">
        <f t="shared" si="153"/>
        <v>0</v>
      </c>
      <c r="P505" s="181" t="b">
        <f>COUNTIF('Facility Data'!$A$1:$A$1500,"*"&amp;A505&amp;"*")&gt;0</f>
        <v>0</v>
      </c>
      <c r="Q505" s="181" t="b">
        <f>COUNTIF('Account Data'!$A$1:$A$1000,"*"&amp;A505&amp;"*")&gt;0</f>
        <v>0</v>
      </c>
      <c r="R505" s="182" t="b">
        <f t="shared" si="155"/>
        <v>0</v>
      </c>
      <c r="S505" s="182" t="b">
        <f t="shared" si="154"/>
        <v>0</v>
      </c>
      <c r="T505" s="181" t="b">
        <f>COUNTIF('New Items'!$A$1:$A$175,A505)&gt;0</f>
        <v>0</v>
      </c>
      <c r="U505" s="181" t="b">
        <f>COUNTIF(Discontinued!$A$1:$A$150,A505)&gt;0</f>
        <v>0</v>
      </c>
    </row>
    <row r="506" spans="1:21" s="8" customFormat="1" ht="11.25" x14ac:dyDescent="0.2">
      <c r="A506" s="152">
        <v>10001424</v>
      </c>
      <c r="B506" s="10" t="s">
        <v>275</v>
      </c>
      <c r="C506" s="12" t="s">
        <v>276</v>
      </c>
      <c r="D506" s="11" t="s">
        <v>660</v>
      </c>
      <c r="E506" s="12" t="s">
        <v>773</v>
      </c>
      <c r="F506" s="13">
        <v>8</v>
      </c>
      <c r="G506" s="22">
        <f>Overview!$B$27</f>
        <v>16</v>
      </c>
      <c r="H506" s="114">
        <f t="shared" si="150"/>
        <v>16</v>
      </c>
      <c r="I506" s="114">
        <f>Overview!$E$27</f>
        <v>0</v>
      </c>
      <c r="J506" s="115">
        <f t="shared" si="151"/>
        <v>0</v>
      </c>
      <c r="K506" s="116">
        <f>Overview!$H$27</f>
        <v>0</v>
      </c>
      <c r="L506" s="117" t="e">
        <f t="shared" si="152"/>
        <v>#DIV/0!</v>
      </c>
      <c r="M506" s="179"/>
      <c r="N506" s="179" t="s">
        <v>3158</v>
      </c>
      <c r="O506" s="141">
        <f t="shared" si="153"/>
        <v>0</v>
      </c>
      <c r="P506" s="181" t="b">
        <f>COUNTIF('Facility Data'!$A$1:$A$1500,"*"&amp;A506&amp;"*")&gt;0</f>
        <v>1</v>
      </c>
      <c r="Q506" s="181" t="b">
        <f>COUNTIF('Account Data'!$A$1:$A$1000,"*"&amp;A506&amp;"*")&gt;0</f>
        <v>1</v>
      </c>
      <c r="R506" s="182" t="b">
        <f t="shared" si="155"/>
        <v>1</v>
      </c>
      <c r="S506" s="182" t="b">
        <f t="shared" si="154"/>
        <v>1</v>
      </c>
      <c r="T506" s="181" t="b">
        <f>COUNTIF('New Items'!$A$1:$A$175,A506)&gt;0</f>
        <v>0</v>
      </c>
      <c r="U506" s="181" t="b">
        <f>COUNTIF(Discontinued!$A$1:$A$150,A506)&gt;0</f>
        <v>0</v>
      </c>
    </row>
    <row r="507" spans="1:21" s="8" customFormat="1" ht="11.25" x14ac:dyDescent="0.2">
      <c r="A507" s="152">
        <v>10000096</v>
      </c>
      <c r="B507" s="10" t="s">
        <v>257</v>
      </c>
      <c r="C507" s="12" t="s">
        <v>258</v>
      </c>
      <c r="D507" s="11" t="s">
        <v>637</v>
      </c>
      <c r="E507" s="12" t="s">
        <v>773</v>
      </c>
      <c r="F507" s="13">
        <v>8</v>
      </c>
      <c r="G507" s="22">
        <f>Overview!$B$27</f>
        <v>16</v>
      </c>
      <c r="H507" s="114">
        <f t="shared" si="150"/>
        <v>16</v>
      </c>
      <c r="I507" s="114">
        <f>Overview!$E$27</f>
        <v>0</v>
      </c>
      <c r="J507" s="115">
        <f t="shared" si="151"/>
        <v>0</v>
      </c>
      <c r="K507" s="116">
        <f>Overview!$H$27</f>
        <v>0</v>
      </c>
      <c r="L507" s="117" t="e">
        <f t="shared" si="152"/>
        <v>#DIV/0!</v>
      </c>
      <c r="M507" s="179" t="s">
        <v>4370</v>
      </c>
      <c r="N507" s="179" t="s">
        <v>969</v>
      </c>
      <c r="O507" s="141">
        <f t="shared" si="153"/>
        <v>0</v>
      </c>
      <c r="P507" s="181" t="b">
        <f>COUNTIF('Facility Data'!$A$1:$A$1500,"*"&amp;A507&amp;"*")&gt;0</f>
        <v>0</v>
      </c>
      <c r="Q507" s="181" t="b">
        <f>COUNTIF('Account Data'!$A$1:$A$1000,"*"&amp;A507&amp;"*")&gt;0</f>
        <v>1</v>
      </c>
      <c r="R507" s="182" t="b">
        <f t="shared" si="155"/>
        <v>0</v>
      </c>
      <c r="S507" s="182" t="b">
        <f t="shared" si="154"/>
        <v>1</v>
      </c>
      <c r="T507" s="181" t="b">
        <f>COUNTIF('New Items'!$A$1:$A$175,A507)&gt;0</f>
        <v>0</v>
      </c>
      <c r="U507" s="181" t="b">
        <f>COUNTIF(Discontinued!$A$1:$A$150,A507)&gt;0</f>
        <v>0</v>
      </c>
    </row>
    <row r="508" spans="1:21" s="8" customFormat="1" ht="11.25" x14ac:dyDescent="0.2">
      <c r="A508" s="152">
        <v>10001442</v>
      </c>
      <c r="B508" s="10" t="s">
        <v>2760</v>
      </c>
      <c r="C508" s="12" t="s">
        <v>2761</v>
      </c>
      <c r="D508" s="11" t="s">
        <v>1697</v>
      </c>
      <c r="E508" s="12" t="s">
        <v>773</v>
      </c>
      <c r="F508" s="13">
        <v>8</v>
      </c>
      <c r="G508" s="22">
        <f>Overview!$B$27</f>
        <v>16</v>
      </c>
      <c r="H508" s="114">
        <f t="shared" si="150"/>
        <v>16</v>
      </c>
      <c r="I508" s="114">
        <f>Overview!$E$27</f>
        <v>0</v>
      </c>
      <c r="J508" s="115">
        <f t="shared" si="151"/>
        <v>0</v>
      </c>
      <c r="K508" s="116">
        <f>Overview!$H$27</f>
        <v>0</v>
      </c>
      <c r="L508" s="117" t="e">
        <f t="shared" si="152"/>
        <v>#DIV/0!</v>
      </c>
      <c r="M508" s="179" t="s">
        <v>944</v>
      </c>
      <c r="N508" s="179" t="s">
        <v>969</v>
      </c>
      <c r="O508" s="141">
        <f t="shared" si="153"/>
        <v>0</v>
      </c>
      <c r="P508" s="181" t="b">
        <f>COUNTIF('Facility Data'!$A$1:$A$1500,"*"&amp;A508&amp;"*")&gt;0</f>
        <v>0</v>
      </c>
      <c r="Q508" s="181" t="b">
        <f>COUNTIF('Account Data'!$A$1:$A$1000,"*"&amp;A508&amp;"*")&gt;0</f>
        <v>0</v>
      </c>
      <c r="R508" s="182" t="b">
        <f t="shared" si="155"/>
        <v>0</v>
      </c>
      <c r="S508" s="182" t="b">
        <f t="shared" si="154"/>
        <v>0</v>
      </c>
      <c r="T508" s="181" t="b">
        <f>COUNTIF('New Items'!$A$1:$A$175,A508)&gt;0</f>
        <v>0</v>
      </c>
      <c r="U508" s="181" t="b">
        <f>COUNTIF(Discontinued!$A$1:$A$150,A508)&gt;0</f>
        <v>0</v>
      </c>
    </row>
    <row r="509" spans="1:21" s="8" customFormat="1" ht="11.25" x14ac:dyDescent="0.2">
      <c r="A509" s="152">
        <v>10001435</v>
      </c>
      <c r="B509" s="10" t="s">
        <v>253</v>
      </c>
      <c r="C509" s="12" t="s">
        <v>254</v>
      </c>
      <c r="D509" s="11" t="s">
        <v>636</v>
      </c>
      <c r="E509" s="12" t="s">
        <v>773</v>
      </c>
      <c r="F509" s="13">
        <v>8</v>
      </c>
      <c r="G509" s="22">
        <f>Overview!$B$27</f>
        <v>16</v>
      </c>
      <c r="H509" s="114">
        <f t="shared" si="150"/>
        <v>16</v>
      </c>
      <c r="I509" s="114">
        <f>Overview!$E$27</f>
        <v>0</v>
      </c>
      <c r="J509" s="115">
        <f t="shared" si="151"/>
        <v>0</v>
      </c>
      <c r="K509" s="116">
        <f>Overview!$H$27</f>
        <v>0</v>
      </c>
      <c r="L509" s="117" t="e">
        <f t="shared" si="152"/>
        <v>#DIV/0!</v>
      </c>
      <c r="M509" s="179" t="s">
        <v>4370</v>
      </c>
      <c r="N509" s="179" t="s">
        <v>969</v>
      </c>
      <c r="O509" s="141">
        <f t="shared" si="153"/>
        <v>0</v>
      </c>
      <c r="P509" s="181" t="b">
        <f>COUNTIF('Facility Data'!$A$1:$A$1500,"*"&amp;A509&amp;"*")&gt;0</f>
        <v>1</v>
      </c>
      <c r="Q509" s="181" t="b">
        <f>COUNTIF('Account Data'!$A$1:$A$1000,"*"&amp;A509&amp;"*")&gt;0</f>
        <v>1</v>
      </c>
      <c r="R509" s="182" t="b">
        <f t="shared" si="155"/>
        <v>1</v>
      </c>
      <c r="S509" s="182" t="b">
        <f t="shared" si="154"/>
        <v>1</v>
      </c>
      <c r="T509" s="181" t="b">
        <f>COUNTIF('New Items'!$A$1:$A$175,A509)&gt;0</f>
        <v>0</v>
      </c>
      <c r="U509" s="181" t="b">
        <f>COUNTIF(Discontinued!$A$1:$A$150,A509)&gt;0</f>
        <v>0</v>
      </c>
    </row>
    <row r="510" spans="1:21" s="8" customFormat="1" ht="11.25" x14ac:dyDescent="0.2">
      <c r="A510" s="152">
        <v>10001436</v>
      </c>
      <c r="B510" s="10" t="s">
        <v>4817</v>
      </c>
      <c r="C510" s="12" t="s">
        <v>256</v>
      </c>
      <c r="D510" s="11" t="s">
        <v>4762</v>
      </c>
      <c r="E510" s="12" t="s">
        <v>773</v>
      </c>
      <c r="F510" s="13">
        <v>8</v>
      </c>
      <c r="G510" s="22">
        <f>Overview!$B$27</f>
        <v>16</v>
      </c>
      <c r="H510" s="114">
        <f>G510-I510</f>
        <v>16</v>
      </c>
      <c r="I510" s="114">
        <f>Overview!$E$27</f>
        <v>0</v>
      </c>
      <c r="J510" s="115">
        <f>I510/F510</f>
        <v>0</v>
      </c>
      <c r="K510" s="116">
        <f>Overview!$H$27</f>
        <v>0</v>
      </c>
      <c r="L510" s="117" t="e">
        <f>(K510-J510)/K510</f>
        <v>#DIV/0!</v>
      </c>
      <c r="M510" s="179" t="s">
        <v>4370</v>
      </c>
      <c r="N510" s="179" t="s">
        <v>969</v>
      </c>
      <c r="O510" s="141">
        <f>I510</f>
        <v>0</v>
      </c>
      <c r="P510" s="181" t="b">
        <f>COUNTIF('Facility Data'!$A$1:$A$1500,"*"&amp;A510&amp;"*")&gt;0</f>
        <v>0</v>
      </c>
      <c r="Q510" s="181" t="b">
        <f>COUNTIF('Account Data'!$A$1:$A$1000,"*"&amp;A510&amp;"*")&gt;0</f>
        <v>1</v>
      </c>
      <c r="R510" s="182" t="b">
        <f>IF(OR(P510=TRUE,T510=TRUE),TRUE,FALSE)</f>
        <v>0</v>
      </c>
      <c r="S510" s="182" t="b">
        <f>IF(OR(Q510=TRUE,T510=TRUE),TRUE,FALSE)</f>
        <v>1</v>
      </c>
      <c r="T510" s="181" t="b">
        <f>COUNTIF('New Items'!$A$1:$A$175,A510)&gt;0</f>
        <v>0</v>
      </c>
      <c r="U510" s="181" t="b">
        <f>COUNTIF(Discontinued!$A$1:$A$150,A510)&gt;0</f>
        <v>0</v>
      </c>
    </row>
    <row r="511" spans="1:21" s="8" customFormat="1" ht="11.25" x14ac:dyDescent="0.2">
      <c r="A511" s="152">
        <v>10001467</v>
      </c>
      <c r="B511" s="10" t="s">
        <v>269</v>
      </c>
      <c r="C511" s="12" t="s">
        <v>270</v>
      </c>
      <c r="D511" s="11" t="s">
        <v>648</v>
      </c>
      <c r="E511" s="12" t="s">
        <v>773</v>
      </c>
      <c r="F511" s="13">
        <v>8</v>
      </c>
      <c r="G511" s="22">
        <f>Overview!$B$27</f>
        <v>16</v>
      </c>
      <c r="H511" s="114">
        <f t="shared" si="150"/>
        <v>16</v>
      </c>
      <c r="I511" s="114">
        <f>Overview!$E$27</f>
        <v>0</v>
      </c>
      <c r="J511" s="115">
        <f t="shared" si="151"/>
        <v>0</v>
      </c>
      <c r="K511" s="116">
        <f>Overview!$H$27</f>
        <v>0</v>
      </c>
      <c r="L511" s="117" t="e">
        <f t="shared" si="152"/>
        <v>#DIV/0!</v>
      </c>
      <c r="M511" s="179"/>
      <c r="N511" s="179" t="s">
        <v>969</v>
      </c>
      <c r="O511" s="141">
        <f t="shared" si="153"/>
        <v>0</v>
      </c>
      <c r="P511" s="181" t="b">
        <f>COUNTIF('Facility Data'!$A$1:$A$1500,"*"&amp;A511&amp;"*")&gt;0</f>
        <v>0</v>
      </c>
      <c r="Q511" s="181" t="b">
        <f>COUNTIF('Account Data'!$A$1:$A$1000,"*"&amp;A511&amp;"*")&gt;0</f>
        <v>1</v>
      </c>
      <c r="R511" s="182" t="b">
        <f t="shared" si="155"/>
        <v>0</v>
      </c>
      <c r="S511" s="182" t="b">
        <f t="shared" si="154"/>
        <v>1</v>
      </c>
      <c r="T511" s="181" t="b">
        <f>COUNTIF('New Items'!$A$1:$A$175,A511)&gt;0</f>
        <v>0</v>
      </c>
      <c r="U511" s="181" t="b">
        <f>COUNTIF(Discontinued!$A$1:$A$150,A511)&gt;0</f>
        <v>0</v>
      </c>
    </row>
    <row r="512" spans="1:21" s="8" customFormat="1" ht="11.25" x14ac:dyDescent="0.2">
      <c r="A512" s="152">
        <v>10001712</v>
      </c>
      <c r="B512" s="10" t="s">
        <v>239</v>
      </c>
      <c r="C512" s="12" t="s">
        <v>240</v>
      </c>
      <c r="D512" s="11" t="s">
        <v>635</v>
      </c>
      <c r="E512" s="12" t="s">
        <v>773</v>
      </c>
      <c r="F512" s="13">
        <v>8</v>
      </c>
      <c r="G512" s="22">
        <f>Overview!$B$27</f>
        <v>16</v>
      </c>
      <c r="H512" s="114">
        <f t="shared" ref="H512:H524" si="156">G512-I512</f>
        <v>16</v>
      </c>
      <c r="I512" s="114">
        <f>Overview!$E$27</f>
        <v>0</v>
      </c>
      <c r="J512" s="115">
        <f t="shared" ref="J512:J524" si="157">I512/F512</f>
        <v>0</v>
      </c>
      <c r="K512" s="116">
        <f>Overview!$H$27</f>
        <v>0</v>
      </c>
      <c r="L512" s="117" t="e">
        <f t="shared" ref="L512:L524" si="158">(K512-J512)/K512</f>
        <v>#DIV/0!</v>
      </c>
      <c r="M512" s="179" t="s">
        <v>4369</v>
      </c>
      <c r="N512" s="179" t="s">
        <v>969</v>
      </c>
      <c r="O512" s="141">
        <f t="shared" ref="O512:O524" si="159">I512</f>
        <v>0</v>
      </c>
      <c r="P512" s="181" t="b">
        <f>COUNTIF('Facility Data'!$A$1:$A$1500,"*"&amp;A512&amp;"*")&gt;0</f>
        <v>1</v>
      </c>
      <c r="Q512" s="181" t="b">
        <f>COUNTIF('Account Data'!$A$1:$A$1000,"*"&amp;A512&amp;"*")&gt;0</f>
        <v>1</v>
      </c>
      <c r="R512" s="182" t="b">
        <f t="shared" si="155"/>
        <v>1</v>
      </c>
      <c r="S512" s="182" t="b">
        <f t="shared" ref="S512:S524" si="160">IF(OR(Q512=TRUE,T512=TRUE),TRUE,FALSE)</f>
        <v>1</v>
      </c>
      <c r="T512" s="181" t="b">
        <f>COUNTIF('New Items'!$A$1:$A$175,A512)&gt;0</f>
        <v>0</v>
      </c>
      <c r="U512" s="181" t="b">
        <f>COUNTIF(Discontinued!$A$1:$A$150,A512)&gt;0</f>
        <v>0</v>
      </c>
    </row>
    <row r="513" spans="1:21" s="8" customFormat="1" ht="11.25" x14ac:dyDescent="0.2">
      <c r="A513" s="152">
        <v>10087793</v>
      </c>
      <c r="B513" s="10" t="s">
        <v>241</v>
      </c>
      <c r="C513" s="12" t="s">
        <v>242</v>
      </c>
      <c r="D513" s="11" t="s">
        <v>651</v>
      </c>
      <c r="E513" s="12" t="s">
        <v>773</v>
      </c>
      <c r="F513" s="13">
        <v>8</v>
      </c>
      <c r="G513" s="22">
        <f>Overview!$B$27</f>
        <v>16</v>
      </c>
      <c r="H513" s="114">
        <f t="shared" si="156"/>
        <v>16</v>
      </c>
      <c r="I513" s="114">
        <f>Overview!$E$27</f>
        <v>0</v>
      </c>
      <c r="J513" s="115">
        <f t="shared" si="157"/>
        <v>0</v>
      </c>
      <c r="K513" s="116">
        <f>Overview!$H$27</f>
        <v>0</v>
      </c>
      <c r="L513" s="117" t="e">
        <f t="shared" si="158"/>
        <v>#DIV/0!</v>
      </c>
      <c r="M513" s="179" t="s">
        <v>4369</v>
      </c>
      <c r="N513" s="179" t="s">
        <v>969</v>
      </c>
      <c r="O513" s="141">
        <f t="shared" si="159"/>
        <v>0</v>
      </c>
      <c r="P513" s="181" t="b">
        <f>COUNTIF('Facility Data'!$A$1:$A$1500,"*"&amp;A513&amp;"*")&gt;0</f>
        <v>0</v>
      </c>
      <c r="Q513" s="181" t="b">
        <f>COUNTIF('Account Data'!$A$1:$A$1000,"*"&amp;A513&amp;"*")&gt;0</f>
        <v>1</v>
      </c>
      <c r="R513" s="182" t="b">
        <f t="shared" si="155"/>
        <v>0</v>
      </c>
      <c r="S513" s="182" t="b">
        <f t="shared" si="160"/>
        <v>1</v>
      </c>
      <c r="T513" s="181" t="b">
        <f>COUNTIF('New Items'!$A$1:$A$175,A513)&gt;0</f>
        <v>0</v>
      </c>
      <c r="U513" s="181" t="b">
        <f>COUNTIF(Discontinued!$A$1:$A$150,A513)&gt;0</f>
        <v>0</v>
      </c>
    </row>
    <row r="514" spans="1:21" s="8" customFormat="1" ht="11.25" x14ac:dyDescent="0.2">
      <c r="A514" s="152">
        <v>10001455</v>
      </c>
      <c r="B514" s="10" t="s">
        <v>233</v>
      </c>
      <c r="C514" s="12" t="s">
        <v>234</v>
      </c>
      <c r="D514" s="11" t="s">
        <v>650</v>
      </c>
      <c r="E514" s="12" t="s">
        <v>773</v>
      </c>
      <c r="F514" s="13">
        <v>8</v>
      </c>
      <c r="G514" s="22">
        <f>Overview!$B$27</f>
        <v>16</v>
      </c>
      <c r="H514" s="114">
        <f t="shared" si="156"/>
        <v>16</v>
      </c>
      <c r="I514" s="114">
        <f>Overview!$E$27</f>
        <v>0</v>
      </c>
      <c r="J514" s="115">
        <f t="shared" si="157"/>
        <v>0</v>
      </c>
      <c r="K514" s="116">
        <f>Overview!$H$27</f>
        <v>0</v>
      </c>
      <c r="L514" s="117" t="e">
        <f t="shared" si="158"/>
        <v>#DIV/0!</v>
      </c>
      <c r="M514" s="179" t="s">
        <v>4369</v>
      </c>
      <c r="N514" s="179" t="s">
        <v>3158</v>
      </c>
      <c r="O514" s="141">
        <f t="shared" si="159"/>
        <v>0</v>
      </c>
      <c r="P514" s="181" t="b">
        <f>COUNTIF('Facility Data'!$A$1:$A$1500,"*"&amp;A514&amp;"*")&gt;0</f>
        <v>1</v>
      </c>
      <c r="Q514" s="181" t="b">
        <f>COUNTIF('Account Data'!$A$1:$A$1000,"*"&amp;A514&amp;"*")&gt;0</f>
        <v>1</v>
      </c>
      <c r="R514" s="182" t="b">
        <f t="shared" ref="R514:R524" si="161">IF(OR(P514=TRUE,T514=TRUE),TRUE,FALSE)</f>
        <v>1</v>
      </c>
      <c r="S514" s="182" t="b">
        <f t="shared" si="160"/>
        <v>1</v>
      </c>
      <c r="T514" s="181" t="b">
        <f>COUNTIF('New Items'!$A$1:$A$175,A514)&gt;0</f>
        <v>0</v>
      </c>
      <c r="U514" s="181" t="b">
        <f>COUNTIF(Discontinued!$A$1:$A$150,A514)&gt;0</f>
        <v>0</v>
      </c>
    </row>
    <row r="515" spans="1:21" s="8" customFormat="1" ht="11.25" x14ac:dyDescent="0.2">
      <c r="A515" s="152">
        <v>10078453</v>
      </c>
      <c r="B515" s="10" t="s">
        <v>2828</v>
      </c>
      <c r="C515" s="12" t="s">
        <v>234</v>
      </c>
      <c r="D515" s="11" t="s">
        <v>2829</v>
      </c>
      <c r="E515" s="12" t="s">
        <v>773</v>
      </c>
      <c r="F515" s="13">
        <v>8</v>
      </c>
      <c r="G515" s="22">
        <f>Overview!$B$27</f>
        <v>16</v>
      </c>
      <c r="H515" s="114">
        <f t="shared" si="156"/>
        <v>16</v>
      </c>
      <c r="I515" s="114">
        <f>Overview!$E$27</f>
        <v>0</v>
      </c>
      <c r="J515" s="115">
        <f t="shared" si="157"/>
        <v>0</v>
      </c>
      <c r="K515" s="116">
        <f>Overview!$H$27</f>
        <v>0</v>
      </c>
      <c r="L515" s="117" t="e">
        <f t="shared" si="158"/>
        <v>#DIV/0!</v>
      </c>
      <c r="M515" s="179" t="s">
        <v>4369</v>
      </c>
      <c r="N515" s="179" t="s">
        <v>969</v>
      </c>
      <c r="O515" s="141">
        <f t="shared" si="159"/>
        <v>0</v>
      </c>
      <c r="P515" s="181" t="b">
        <f>COUNTIF('Facility Data'!$A$1:$A$1500,"*"&amp;A515&amp;"*")&gt;0</f>
        <v>0</v>
      </c>
      <c r="Q515" s="181" t="b">
        <f>COUNTIF('Account Data'!$A$1:$A$1000,"*"&amp;A515&amp;"*")&gt;0</f>
        <v>0</v>
      </c>
      <c r="R515" s="182" t="b">
        <f t="shared" si="161"/>
        <v>0</v>
      </c>
      <c r="S515" s="182" t="b">
        <f t="shared" si="160"/>
        <v>0</v>
      </c>
      <c r="T515" s="181" t="b">
        <f>COUNTIF('New Items'!$A$1:$A$175,A515)&gt;0</f>
        <v>0</v>
      </c>
      <c r="U515" s="181" t="b">
        <f>COUNTIF(Discontinued!$A$1:$A$150,A515)&gt;0</f>
        <v>0</v>
      </c>
    </row>
    <row r="516" spans="1:21" s="8" customFormat="1" ht="11.25" customHeight="1" x14ac:dyDescent="0.2">
      <c r="A516" s="152">
        <v>10001454</v>
      </c>
      <c r="B516" s="10" t="s">
        <v>4813</v>
      </c>
      <c r="C516" s="12" t="s">
        <v>236</v>
      </c>
      <c r="D516" s="11" t="s">
        <v>4755</v>
      </c>
      <c r="E516" s="12" t="s">
        <v>773</v>
      </c>
      <c r="F516" s="13">
        <v>8</v>
      </c>
      <c r="G516" s="22">
        <f>Overview!$B$27</f>
        <v>16</v>
      </c>
      <c r="H516" s="114">
        <f>G516-I516</f>
        <v>16</v>
      </c>
      <c r="I516" s="114">
        <f>Overview!$E$27</f>
        <v>0</v>
      </c>
      <c r="J516" s="115">
        <f>I516/F516</f>
        <v>0</v>
      </c>
      <c r="K516" s="116">
        <f>Overview!$H$27</f>
        <v>0</v>
      </c>
      <c r="L516" s="117" t="e">
        <f>(K516-J516)/K516</f>
        <v>#DIV/0!</v>
      </c>
      <c r="M516" s="179" t="s">
        <v>4369</v>
      </c>
      <c r="N516" s="179" t="s">
        <v>969</v>
      </c>
      <c r="O516" s="141">
        <f>I516</f>
        <v>0</v>
      </c>
      <c r="P516" s="181" t="b">
        <f>COUNTIF('Facility Data'!$A$1:$A$1500,"*"&amp;A516&amp;"*")&gt;0</f>
        <v>1</v>
      </c>
      <c r="Q516" s="181" t="b">
        <f>COUNTIF('Account Data'!$A$1:$A$1000,"*"&amp;A516&amp;"*")&gt;0</f>
        <v>1</v>
      </c>
      <c r="R516" s="182" t="b">
        <f>IF(OR(P516=TRUE,T516=TRUE),TRUE,FALSE)</f>
        <v>1</v>
      </c>
      <c r="S516" s="182" t="b">
        <f>IF(OR(Q516=TRUE,T516=TRUE),TRUE,FALSE)</f>
        <v>1</v>
      </c>
      <c r="T516" s="181" t="b">
        <f>COUNTIF('New Items'!$A$1:$A$175,A516)&gt;0</f>
        <v>0</v>
      </c>
      <c r="U516" s="181" t="b">
        <f>COUNTIF(Discontinued!$A$1:$A$150,A516)&gt;0</f>
        <v>0</v>
      </c>
    </row>
    <row r="517" spans="1:21" s="8" customFormat="1" ht="11.25" x14ac:dyDescent="0.2">
      <c r="A517" s="152">
        <v>10002707</v>
      </c>
      <c r="B517" s="10" t="s">
        <v>2695</v>
      </c>
      <c r="C517" s="12" t="s">
        <v>2696</v>
      </c>
      <c r="D517" s="11" t="s">
        <v>1061</v>
      </c>
      <c r="E517" s="12" t="s">
        <v>773</v>
      </c>
      <c r="F517" s="13">
        <v>8</v>
      </c>
      <c r="G517" s="22">
        <f>Overview!$B$27</f>
        <v>16</v>
      </c>
      <c r="H517" s="114">
        <f t="shared" si="156"/>
        <v>16</v>
      </c>
      <c r="I517" s="114">
        <f>Overview!$E$27</f>
        <v>0</v>
      </c>
      <c r="J517" s="115">
        <f t="shared" si="157"/>
        <v>0</v>
      </c>
      <c r="K517" s="116">
        <f>Overview!$H$27</f>
        <v>0</v>
      </c>
      <c r="L517" s="117" t="e">
        <f t="shared" si="158"/>
        <v>#DIV/0!</v>
      </c>
      <c r="M517" s="179" t="s">
        <v>4369</v>
      </c>
      <c r="N517" s="179" t="s">
        <v>969</v>
      </c>
      <c r="O517" s="141">
        <f t="shared" si="159"/>
        <v>0</v>
      </c>
      <c r="P517" s="181" t="b">
        <f>COUNTIF('Facility Data'!$A$1:$A$1500,"*"&amp;A517&amp;"*")&gt;0</f>
        <v>0</v>
      </c>
      <c r="Q517" s="181" t="b">
        <f>COUNTIF('Account Data'!$A$1:$A$1000,"*"&amp;A517&amp;"*")&gt;0</f>
        <v>0</v>
      </c>
      <c r="R517" s="182" t="b">
        <f t="shared" si="161"/>
        <v>0</v>
      </c>
      <c r="S517" s="182" t="b">
        <f t="shared" si="160"/>
        <v>0</v>
      </c>
      <c r="T517" s="181" t="b">
        <f>COUNTIF('New Items'!$A$1:$A$175,A517)&gt;0</f>
        <v>0</v>
      </c>
      <c r="U517" s="181" t="b">
        <f>COUNTIF(Discontinued!$A$1:$A$150,A517)&gt;0</f>
        <v>0</v>
      </c>
    </row>
    <row r="518" spans="1:21" s="8" customFormat="1" ht="11.25" x14ac:dyDescent="0.2">
      <c r="A518" s="152">
        <v>10087801</v>
      </c>
      <c r="B518" s="10" t="s">
        <v>2697</v>
      </c>
      <c r="C518" s="12" t="s">
        <v>2698</v>
      </c>
      <c r="D518" s="11" t="s">
        <v>1294</v>
      </c>
      <c r="E518" s="12" t="s">
        <v>773</v>
      </c>
      <c r="F518" s="13">
        <v>8</v>
      </c>
      <c r="G518" s="22">
        <f>Overview!$B$27</f>
        <v>16</v>
      </c>
      <c r="H518" s="114">
        <f t="shared" si="156"/>
        <v>16</v>
      </c>
      <c r="I518" s="114">
        <f>Overview!$E$27</f>
        <v>0</v>
      </c>
      <c r="J518" s="115">
        <f t="shared" si="157"/>
        <v>0</v>
      </c>
      <c r="K518" s="116">
        <f>Overview!$H$27</f>
        <v>0</v>
      </c>
      <c r="L518" s="117" t="e">
        <f t="shared" si="158"/>
        <v>#DIV/0!</v>
      </c>
      <c r="M518" s="179" t="s">
        <v>4369</v>
      </c>
      <c r="N518" s="179" t="s">
        <v>969</v>
      </c>
      <c r="O518" s="141">
        <f t="shared" si="159"/>
        <v>0</v>
      </c>
      <c r="P518" s="181" t="b">
        <f>COUNTIF('Facility Data'!$A$1:$A$1500,"*"&amp;A518&amp;"*")&gt;0</f>
        <v>0</v>
      </c>
      <c r="Q518" s="181" t="b">
        <f>COUNTIF('Account Data'!$A$1:$A$1000,"*"&amp;A518&amp;"*")&gt;0</f>
        <v>0</v>
      </c>
      <c r="R518" s="182" t="b">
        <f t="shared" si="161"/>
        <v>0</v>
      </c>
      <c r="S518" s="182" t="b">
        <f t="shared" si="160"/>
        <v>0</v>
      </c>
      <c r="T518" s="181" t="b">
        <f>COUNTIF('New Items'!$A$1:$A$175,A518)&gt;0</f>
        <v>0</v>
      </c>
      <c r="U518" s="181" t="b">
        <f>COUNTIF(Discontinued!$A$1:$A$150,A518)&gt;0</f>
        <v>0</v>
      </c>
    </row>
    <row r="519" spans="1:21" s="8" customFormat="1" ht="11.25" x14ac:dyDescent="0.2">
      <c r="A519" s="152">
        <v>10001713</v>
      </c>
      <c r="B519" s="10" t="s">
        <v>237</v>
      </c>
      <c r="C519" s="12" t="s">
        <v>238</v>
      </c>
      <c r="D519" s="11" t="s">
        <v>634</v>
      </c>
      <c r="E519" s="12" t="s">
        <v>773</v>
      </c>
      <c r="F519" s="13">
        <v>8</v>
      </c>
      <c r="G519" s="22">
        <f>Overview!$B$27</f>
        <v>16</v>
      </c>
      <c r="H519" s="114">
        <f t="shared" si="156"/>
        <v>16</v>
      </c>
      <c r="I519" s="114">
        <f>Overview!$E$27</f>
        <v>0</v>
      </c>
      <c r="J519" s="115">
        <f t="shared" si="157"/>
        <v>0</v>
      </c>
      <c r="K519" s="116">
        <f>Overview!$H$27</f>
        <v>0</v>
      </c>
      <c r="L519" s="117" t="e">
        <f t="shared" si="158"/>
        <v>#DIV/0!</v>
      </c>
      <c r="M519" s="179" t="s">
        <v>4369</v>
      </c>
      <c r="N519" s="179" t="s">
        <v>969</v>
      </c>
      <c r="O519" s="141">
        <f t="shared" si="159"/>
        <v>0</v>
      </c>
      <c r="P519" s="181" t="b">
        <f>COUNTIF('Facility Data'!$A$1:$A$1500,"*"&amp;A519&amp;"*")&gt;0</f>
        <v>1</v>
      </c>
      <c r="Q519" s="181" t="b">
        <f>COUNTIF('Account Data'!$A$1:$A$1000,"*"&amp;A519&amp;"*")&gt;0</f>
        <v>1</v>
      </c>
      <c r="R519" s="182" t="b">
        <f t="shared" si="161"/>
        <v>1</v>
      </c>
      <c r="S519" s="182" t="b">
        <f t="shared" si="160"/>
        <v>1</v>
      </c>
      <c r="T519" s="181" t="b">
        <f>COUNTIF('New Items'!$A$1:$A$175,A519)&gt;0</f>
        <v>0</v>
      </c>
      <c r="U519" s="181" t="b">
        <f>COUNTIF(Discontinued!$A$1:$A$150,A519)&gt;0</f>
        <v>0</v>
      </c>
    </row>
    <row r="520" spans="1:21" s="8" customFormat="1" ht="11.25" x14ac:dyDescent="0.2">
      <c r="A520" s="152">
        <v>10120686</v>
      </c>
      <c r="B520" s="231" t="s">
        <v>4056</v>
      </c>
      <c r="C520" s="118" t="s">
        <v>1103</v>
      </c>
      <c r="D520" s="119" t="s">
        <v>1054</v>
      </c>
      <c r="E520" s="118" t="s">
        <v>773</v>
      </c>
      <c r="F520" s="120">
        <v>8</v>
      </c>
      <c r="G520" s="121">
        <f>Overview!$B$27</f>
        <v>16</v>
      </c>
      <c r="H520" s="114">
        <f t="shared" si="156"/>
        <v>16</v>
      </c>
      <c r="I520" s="114">
        <f>Overview!$E$27</f>
        <v>0</v>
      </c>
      <c r="J520" s="115">
        <f t="shared" si="157"/>
        <v>0</v>
      </c>
      <c r="K520" s="116">
        <f>Overview!$H$27</f>
        <v>0</v>
      </c>
      <c r="L520" s="117" t="e">
        <f t="shared" si="158"/>
        <v>#DIV/0!</v>
      </c>
      <c r="M520" s="179" t="s">
        <v>4369</v>
      </c>
      <c r="N520" s="179" t="s">
        <v>969</v>
      </c>
      <c r="O520" s="141">
        <f t="shared" si="159"/>
        <v>0</v>
      </c>
      <c r="P520" s="181" t="b">
        <f>COUNTIF('Facility Data'!$A$1:$A$1500,"*"&amp;A520&amp;"*")&gt;0</f>
        <v>1</v>
      </c>
      <c r="Q520" s="181" t="b">
        <f>COUNTIF('Account Data'!$A$1:$A$1000,"*"&amp;A520&amp;"*")&gt;0</f>
        <v>0</v>
      </c>
      <c r="R520" s="182" t="b">
        <f t="shared" si="161"/>
        <v>1</v>
      </c>
      <c r="S520" s="182" t="b">
        <f t="shared" si="160"/>
        <v>0</v>
      </c>
      <c r="T520" s="181" t="b">
        <f>COUNTIF('New Items'!$A$1:$A$175,A520)&gt;0</f>
        <v>0</v>
      </c>
      <c r="U520" s="181" t="b">
        <f>COUNTIF(Discontinued!$A$1:$A$150,A520)&gt;0</f>
        <v>0</v>
      </c>
    </row>
    <row r="521" spans="1:21" s="8" customFormat="1" ht="11.25" x14ac:dyDescent="0.2">
      <c r="A521" s="153">
        <v>10023918</v>
      </c>
      <c r="B521" s="10" t="s">
        <v>261</v>
      </c>
      <c r="C521" s="12" t="s">
        <v>262</v>
      </c>
      <c r="D521" s="11" t="s">
        <v>656</v>
      </c>
      <c r="E521" s="12" t="s">
        <v>773</v>
      </c>
      <c r="F521" s="13">
        <v>8</v>
      </c>
      <c r="G521" s="22">
        <f>Overview!$B$27</f>
        <v>16</v>
      </c>
      <c r="H521" s="114">
        <f t="shared" si="156"/>
        <v>16</v>
      </c>
      <c r="I521" s="114">
        <f>Overview!$E$27</f>
        <v>0</v>
      </c>
      <c r="J521" s="115">
        <f t="shared" si="157"/>
        <v>0</v>
      </c>
      <c r="K521" s="116">
        <f>Overview!$H$27</f>
        <v>0</v>
      </c>
      <c r="L521" s="117" t="e">
        <f t="shared" si="158"/>
        <v>#DIV/0!</v>
      </c>
      <c r="M521" s="179" t="s">
        <v>952</v>
      </c>
      <c r="N521" s="179" t="s">
        <v>3158</v>
      </c>
      <c r="O521" s="141">
        <f t="shared" si="159"/>
        <v>0</v>
      </c>
      <c r="P521" s="181" t="b">
        <f>COUNTIF('Facility Data'!$A$1:$A$1500,"*"&amp;A521&amp;"*")&gt;0</f>
        <v>0</v>
      </c>
      <c r="Q521" s="181" t="b">
        <f>COUNTIF('Account Data'!$A$1:$A$1000,"*"&amp;A521&amp;"*")&gt;0</f>
        <v>0</v>
      </c>
      <c r="R521" s="182" t="b">
        <f t="shared" si="161"/>
        <v>0</v>
      </c>
      <c r="S521" s="182" t="b">
        <f t="shared" si="160"/>
        <v>0</v>
      </c>
      <c r="T521" s="181" t="b">
        <f>COUNTIF('New Items'!$A$1:$A$175,A521)&gt;0</f>
        <v>0</v>
      </c>
      <c r="U521" s="181" t="b">
        <f>COUNTIF(Discontinued!$A$1:$A$150,A521)&gt;0</f>
        <v>0</v>
      </c>
    </row>
    <row r="522" spans="1:21" s="8" customFormat="1" ht="11.25" x14ac:dyDescent="0.2">
      <c r="A522" s="152">
        <v>10002268</v>
      </c>
      <c r="B522" s="10" t="s">
        <v>2762</v>
      </c>
      <c r="C522" s="12" t="s">
        <v>2763</v>
      </c>
      <c r="D522" s="11" t="s">
        <v>2767</v>
      </c>
      <c r="E522" s="12" t="s">
        <v>773</v>
      </c>
      <c r="F522" s="13">
        <v>8</v>
      </c>
      <c r="G522" s="22">
        <f>Overview!$B$27</f>
        <v>16</v>
      </c>
      <c r="H522" s="114">
        <f t="shared" ref="H522" si="162">G522-I522</f>
        <v>16</v>
      </c>
      <c r="I522" s="114">
        <f>Overview!$E$27</f>
        <v>0</v>
      </c>
      <c r="J522" s="115">
        <f t="shared" ref="J522" si="163">I522/F522</f>
        <v>0</v>
      </c>
      <c r="K522" s="116">
        <f>Overview!$H$27</f>
        <v>0</v>
      </c>
      <c r="L522" s="117" t="e">
        <f t="shared" ref="L522" si="164">(K522-J522)/K522</f>
        <v>#DIV/0!</v>
      </c>
      <c r="M522" s="179" t="s">
        <v>3500</v>
      </c>
      <c r="N522" s="179" t="s">
        <v>969</v>
      </c>
      <c r="O522" s="141">
        <f t="shared" ref="O522" si="165">I522</f>
        <v>0</v>
      </c>
      <c r="P522" s="181" t="b">
        <f>COUNTIF('Facility Data'!$A$1:$A$1500,"*"&amp;A522&amp;"*")&gt;0</f>
        <v>0</v>
      </c>
      <c r="Q522" s="181" t="b">
        <f>COUNTIF('Account Data'!$A$1:$A$1000,"*"&amp;A522&amp;"*")&gt;0</f>
        <v>0</v>
      </c>
      <c r="R522" s="182" t="b">
        <f t="shared" ref="R522" si="166">IF(OR(P522=TRUE,T522=TRUE),TRUE,FALSE)</f>
        <v>0</v>
      </c>
      <c r="S522" s="182" t="b">
        <f t="shared" ref="S522" si="167">IF(OR(Q522=TRUE,T522=TRUE),TRUE,FALSE)</f>
        <v>0</v>
      </c>
      <c r="T522" s="181" t="b">
        <f>COUNTIF('New Items'!$A$1:$A$175,A522)&gt;0</f>
        <v>0</v>
      </c>
      <c r="U522" s="181" t="b">
        <f>COUNTIF(Discontinued!$A$1:$A$150,A522)&gt;0</f>
        <v>0</v>
      </c>
    </row>
    <row r="523" spans="1:21" s="8" customFormat="1" ht="11.25" x14ac:dyDescent="0.2">
      <c r="A523" s="152">
        <v>10000098</v>
      </c>
      <c r="B523" s="10" t="s">
        <v>1306</v>
      </c>
      <c r="C523" s="12" t="s">
        <v>1307</v>
      </c>
      <c r="D523" s="11" t="s">
        <v>4116</v>
      </c>
      <c r="E523" s="12" t="s">
        <v>773</v>
      </c>
      <c r="F523" s="13">
        <v>8</v>
      </c>
      <c r="G523" s="22">
        <f>Overview!$B$27</f>
        <v>16</v>
      </c>
      <c r="H523" s="114">
        <f t="shared" si="156"/>
        <v>16</v>
      </c>
      <c r="I523" s="114">
        <f>Overview!$E$27</f>
        <v>0</v>
      </c>
      <c r="J523" s="115">
        <f t="shared" si="157"/>
        <v>0</v>
      </c>
      <c r="K523" s="116">
        <f>Overview!$H$27</f>
        <v>0</v>
      </c>
      <c r="L523" s="117" t="e">
        <f t="shared" si="158"/>
        <v>#DIV/0!</v>
      </c>
      <c r="M523" s="179" t="s">
        <v>3500</v>
      </c>
      <c r="N523" s="179" t="s">
        <v>969</v>
      </c>
      <c r="O523" s="141">
        <f t="shared" si="159"/>
        <v>0</v>
      </c>
      <c r="P523" s="181" t="b">
        <f>COUNTIF('Facility Data'!$A$1:$A$1500,"*"&amp;A523&amp;"*")&gt;0</f>
        <v>0</v>
      </c>
      <c r="Q523" s="181" t="b">
        <f>COUNTIF('Account Data'!$A$1:$A$1000,"*"&amp;A523&amp;"*")&gt;0</f>
        <v>0</v>
      </c>
      <c r="R523" s="182" t="b">
        <f t="shared" si="161"/>
        <v>0</v>
      </c>
      <c r="S523" s="182" t="b">
        <f t="shared" si="160"/>
        <v>0</v>
      </c>
      <c r="T523" s="181" t="b">
        <f>COUNTIF('New Items'!$A$1:$A$175,A523)&gt;0</f>
        <v>0</v>
      </c>
      <c r="U523" s="181" t="b">
        <f>COUNTIF(Discontinued!$A$1:$A$150,A523)&gt;0</f>
        <v>0</v>
      </c>
    </row>
    <row r="524" spans="1:21" s="8" customFormat="1" ht="12" thickBot="1" x14ac:dyDescent="0.25">
      <c r="A524" s="152">
        <v>10001535</v>
      </c>
      <c r="B524" s="10" t="s">
        <v>4816</v>
      </c>
      <c r="C524" s="12" t="s">
        <v>1309</v>
      </c>
      <c r="D524" s="11" t="s">
        <v>4780</v>
      </c>
      <c r="E524" s="12" t="s">
        <v>773</v>
      </c>
      <c r="F524" s="13">
        <v>8</v>
      </c>
      <c r="G524" s="22">
        <f>Overview!$B$27</f>
        <v>16</v>
      </c>
      <c r="H524" s="114">
        <f t="shared" si="156"/>
        <v>16</v>
      </c>
      <c r="I524" s="114">
        <f>Overview!$E$27</f>
        <v>0</v>
      </c>
      <c r="J524" s="115">
        <f t="shared" si="157"/>
        <v>0</v>
      </c>
      <c r="K524" s="116">
        <f>Overview!$H$27</f>
        <v>0</v>
      </c>
      <c r="L524" s="117" t="e">
        <f t="shared" si="158"/>
        <v>#DIV/0!</v>
      </c>
      <c r="M524" s="179" t="s">
        <v>953</v>
      </c>
      <c r="N524" s="179" t="s">
        <v>969</v>
      </c>
      <c r="O524" s="141">
        <f t="shared" si="159"/>
        <v>0</v>
      </c>
      <c r="P524" s="181" t="b">
        <f>COUNTIF('Facility Data'!$A$1:$A$1500,"*"&amp;A524&amp;"*")&gt;0</f>
        <v>0</v>
      </c>
      <c r="Q524" s="181" t="b">
        <f>COUNTIF('Account Data'!$A$1:$A$1000,"*"&amp;A524&amp;"*")&gt;0</f>
        <v>0</v>
      </c>
      <c r="R524" s="182" t="b">
        <f t="shared" si="161"/>
        <v>0</v>
      </c>
      <c r="S524" s="182" t="b">
        <f t="shared" si="160"/>
        <v>0</v>
      </c>
      <c r="T524" s="181" t="b">
        <f>COUNTIF('New Items'!$A$1:$A$175,A524)&gt;0</f>
        <v>0</v>
      </c>
      <c r="U524" s="181" t="b">
        <f>COUNTIF(Discontinued!$A$1:$A$150,A524)&gt;0</f>
        <v>0</v>
      </c>
    </row>
    <row r="525" spans="1:21" s="8" customFormat="1" ht="13.5" thickBot="1" x14ac:dyDescent="0.25">
      <c r="A525" s="300" t="s">
        <v>286</v>
      </c>
      <c r="B525" s="301"/>
      <c r="C525" s="301"/>
      <c r="D525" s="301"/>
      <c r="E525" s="301"/>
      <c r="F525" s="301"/>
      <c r="G525" s="301"/>
      <c r="H525" s="301"/>
      <c r="I525" s="301"/>
      <c r="J525" s="301"/>
      <c r="K525" s="301"/>
      <c r="L525" s="302"/>
      <c r="M525" s="179"/>
      <c r="N525" s="179" t="s">
        <v>970</v>
      </c>
      <c r="O525" s="141">
        <f>AVERAGE(O526:O537)</f>
        <v>0</v>
      </c>
      <c r="P525" s="181" t="b">
        <f>COUNTIF(P526:P537,TRUE)&gt;0</f>
        <v>1</v>
      </c>
      <c r="Q525" s="181" t="b">
        <f>COUNTIF(Q526:Q537,TRUE)&gt;0</f>
        <v>1</v>
      </c>
      <c r="R525" s="181" t="b">
        <f>COUNTIF(R526:R537,TRUE)&gt;0</f>
        <v>1</v>
      </c>
      <c r="S525" s="181" t="b">
        <f>COUNTIF(S526:S537,TRUE)&gt;0</f>
        <v>1</v>
      </c>
      <c r="T525" s="181" t="b">
        <f>COUNTIF(T526:T537,TRUE)&gt;0</f>
        <v>0</v>
      </c>
      <c r="U525" s="249"/>
    </row>
    <row r="526" spans="1:21" s="8" customFormat="1" ht="11.25" x14ac:dyDescent="0.2">
      <c r="A526" s="152">
        <v>10002245</v>
      </c>
      <c r="B526" s="10" t="s">
        <v>1310</v>
      </c>
      <c r="C526" s="12" t="s">
        <v>1311</v>
      </c>
      <c r="D526" s="11" t="s">
        <v>1299</v>
      </c>
      <c r="E526" s="12" t="s">
        <v>773</v>
      </c>
      <c r="F526" s="13">
        <v>8</v>
      </c>
      <c r="G526" s="22">
        <f>Overview!$B$28</f>
        <v>16</v>
      </c>
      <c r="H526" s="114">
        <f t="shared" ref="H526:H537" si="168">G526-I526</f>
        <v>16</v>
      </c>
      <c r="I526" s="114">
        <f>Overview!$E$28</f>
        <v>0</v>
      </c>
      <c r="J526" s="115">
        <f t="shared" ref="J526:J537" si="169">I526/F526</f>
        <v>0</v>
      </c>
      <c r="K526" s="116">
        <f>Overview!$H$28</f>
        <v>0</v>
      </c>
      <c r="L526" s="117" t="e">
        <f t="shared" ref="L526:L537" si="170">(K526-J526)/K526</f>
        <v>#DIV/0!</v>
      </c>
      <c r="M526" s="179"/>
      <c r="N526" s="179" t="s">
        <v>970</v>
      </c>
      <c r="O526" s="141">
        <f t="shared" ref="O526:O537" si="171">I526</f>
        <v>0</v>
      </c>
      <c r="P526" s="181" t="b">
        <f>COUNTIF('Facility Data'!$A$1:$A$1500,"*"&amp;A526&amp;"*")&gt;0</f>
        <v>1</v>
      </c>
      <c r="Q526" s="181" t="b">
        <f>COUNTIF('Account Data'!$A$1:$A$1000,"*"&amp;A526&amp;"*")&gt;0</f>
        <v>0</v>
      </c>
      <c r="R526" s="182" t="b">
        <f t="shared" ref="R526:R537" si="172">IF(OR(P526=TRUE,T526=TRUE),TRUE,FALSE)</f>
        <v>1</v>
      </c>
      <c r="S526" s="182" t="b">
        <f t="shared" ref="S526:S537" si="173">IF(OR(Q526=TRUE,T526=TRUE),TRUE,FALSE)</f>
        <v>0</v>
      </c>
      <c r="T526" s="181" t="b">
        <f>COUNTIF('New Items'!$A$1:$A$175,A526)&gt;0</f>
        <v>0</v>
      </c>
      <c r="U526" s="181" t="b">
        <f>COUNTIF(Discontinued!$A$1:$A$150,A526)&gt;0</f>
        <v>0</v>
      </c>
    </row>
    <row r="527" spans="1:21" s="8" customFormat="1" ht="11.25" x14ac:dyDescent="0.2">
      <c r="A527" s="152">
        <v>10000094</v>
      </c>
      <c r="B527" s="10" t="s">
        <v>1435</v>
      </c>
      <c r="C527" s="12" t="s">
        <v>1436</v>
      </c>
      <c r="D527" s="11" t="s">
        <v>1387</v>
      </c>
      <c r="E527" s="12" t="s">
        <v>773</v>
      </c>
      <c r="F527" s="13">
        <v>8</v>
      </c>
      <c r="G527" s="22">
        <f>Overview!$B$28</f>
        <v>16</v>
      </c>
      <c r="H527" s="114">
        <f t="shared" si="168"/>
        <v>16</v>
      </c>
      <c r="I527" s="114">
        <f>Overview!$E$28</f>
        <v>0</v>
      </c>
      <c r="J527" s="115">
        <f t="shared" si="169"/>
        <v>0</v>
      </c>
      <c r="K527" s="116">
        <f>Overview!$H$28</f>
        <v>0</v>
      </c>
      <c r="L527" s="117" t="e">
        <f t="shared" si="170"/>
        <v>#DIV/0!</v>
      </c>
      <c r="M527" s="179"/>
      <c r="N527" s="179" t="s">
        <v>970</v>
      </c>
      <c r="O527" s="141">
        <f t="shared" si="171"/>
        <v>0</v>
      </c>
      <c r="P527" s="181" t="b">
        <f>COUNTIF('Facility Data'!$A$1:$A$1500,"*"&amp;A527&amp;"*")&gt;0</f>
        <v>1</v>
      </c>
      <c r="Q527" s="181" t="b">
        <f>COUNTIF('Account Data'!$A$1:$A$1000,"*"&amp;A527&amp;"*")&gt;0</f>
        <v>0</v>
      </c>
      <c r="R527" s="182" t="b">
        <f t="shared" si="172"/>
        <v>1</v>
      </c>
      <c r="S527" s="182" t="b">
        <f t="shared" si="173"/>
        <v>0</v>
      </c>
      <c r="T527" s="181" t="b">
        <f>COUNTIF('New Items'!$A$1:$A$175,A527)&gt;0</f>
        <v>0</v>
      </c>
      <c r="U527" s="181" t="b">
        <f>COUNTIF(Discontinued!$A$1:$A$150,A527)&gt;0</f>
        <v>0</v>
      </c>
    </row>
    <row r="528" spans="1:21" s="8" customFormat="1" ht="11.25" customHeight="1" x14ac:dyDescent="0.2">
      <c r="A528" s="152">
        <v>10001453</v>
      </c>
      <c r="B528" s="10" t="s">
        <v>265</v>
      </c>
      <c r="C528" s="12" t="s">
        <v>266</v>
      </c>
      <c r="D528" s="11" t="s">
        <v>640</v>
      </c>
      <c r="E528" s="12" t="s">
        <v>773</v>
      </c>
      <c r="F528" s="13">
        <v>8</v>
      </c>
      <c r="G528" s="22">
        <f>Overview!$B$28</f>
        <v>16</v>
      </c>
      <c r="H528" s="114">
        <f t="shared" si="168"/>
        <v>16</v>
      </c>
      <c r="I528" s="114">
        <f>Overview!$E$28</f>
        <v>0</v>
      </c>
      <c r="J528" s="115">
        <f t="shared" si="169"/>
        <v>0</v>
      </c>
      <c r="K528" s="116">
        <f>Overview!$H$28</f>
        <v>0</v>
      </c>
      <c r="L528" s="117" t="e">
        <f t="shared" si="170"/>
        <v>#DIV/0!</v>
      </c>
      <c r="M528" s="179"/>
      <c r="N528" s="179" t="s">
        <v>970</v>
      </c>
      <c r="O528" s="141">
        <f t="shared" si="171"/>
        <v>0</v>
      </c>
      <c r="P528" s="181" t="b">
        <f>COUNTIF('Facility Data'!$A$1:$A$1500,"*"&amp;A528&amp;"*")&gt;0</f>
        <v>1</v>
      </c>
      <c r="Q528" s="181" t="b">
        <f>COUNTIF('Account Data'!$A$1:$A$1000,"*"&amp;A528&amp;"*")&gt;0</f>
        <v>1</v>
      </c>
      <c r="R528" s="182" t="b">
        <f t="shared" si="172"/>
        <v>1</v>
      </c>
      <c r="S528" s="182" t="b">
        <f t="shared" si="173"/>
        <v>1</v>
      </c>
      <c r="T528" s="181" t="b">
        <f>COUNTIF('New Items'!$A$1:$A$175,A528)&gt;0</f>
        <v>0</v>
      </c>
      <c r="U528" s="181" t="b">
        <f>COUNTIF(Discontinued!$A$1:$A$150,A528)&gt;0</f>
        <v>0</v>
      </c>
    </row>
    <row r="529" spans="1:21" s="8" customFormat="1" ht="11.25" x14ac:dyDescent="0.2">
      <c r="A529" s="152">
        <v>10001470</v>
      </c>
      <c r="B529" s="10" t="s">
        <v>267</v>
      </c>
      <c r="C529" s="12" t="s">
        <v>268</v>
      </c>
      <c r="D529" s="11" t="s">
        <v>662</v>
      </c>
      <c r="E529" s="12" t="s">
        <v>773</v>
      </c>
      <c r="F529" s="13">
        <v>8</v>
      </c>
      <c r="G529" s="22">
        <f>Overview!$B$28</f>
        <v>16</v>
      </c>
      <c r="H529" s="114">
        <f t="shared" si="168"/>
        <v>16</v>
      </c>
      <c r="I529" s="114">
        <f>Overview!$E$28</f>
        <v>0</v>
      </c>
      <c r="J529" s="115">
        <f t="shared" si="169"/>
        <v>0</v>
      </c>
      <c r="K529" s="116">
        <f>Overview!$H$28</f>
        <v>0</v>
      </c>
      <c r="L529" s="117" t="e">
        <f t="shared" si="170"/>
        <v>#DIV/0!</v>
      </c>
      <c r="M529" s="179"/>
      <c r="N529" s="179" t="s">
        <v>970</v>
      </c>
      <c r="O529" s="141">
        <f t="shared" si="171"/>
        <v>0</v>
      </c>
      <c r="P529" s="181" t="b">
        <f>COUNTIF('Facility Data'!$A$1:$A$1500,"*"&amp;A529&amp;"*")&gt;0</f>
        <v>1</v>
      </c>
      <c r="Q529" s="181" t="b">
        <f>COUNTIF('Account Data'!$A$1:$A$1000,"*"&amp;A529&amp;"*")&gt;0</f>
        <v>0</v>
      </c>
      <c r="R529" s="182" t="b">
        <f t="shared" si="172"/>
        <v>1</v>
      </c>
      <c r="S529" s="182" t="b">
        <f t="shared" si="173"/>
        <v>0</v>
      </c>
      <c r="T529" s="181" t="b">
        <f>COUNTIF('New Items'!$A$1:$A$175,A529)&gt;0</f>
        <v>0</v>
      </c>
      <c r="U529" s="181" t="b">
        <f>COUNTIF(Discontinued!$A$1:$A$150,A529)&gt;0</f>
        <v>0</v>
      </c>
    </row>
    <row r="530" spans="1:21" s="8" customFormat="1" ht="11.25" x14ac:dyDescent="0.2">
      <c r="A530" s="152">
        <v>10001606</v>
      </c>
      <c r="B530" s="10" t="s">
        <v>273</v>
      </c>
      <c r="C530" s="12" t="s">
        <v>274</v>
      </c>
      <c r="D530" s="11" t="s">
        <v>659</v>
      </c>
      <c r="E530" s="12" t="s">
        <v>773</v>
      </c>
      <c r="F530" s="13">
        <v>8</v>
      </c>
      <c r="G530" s="22">
        <f>Overview!$B$28</f>
        <v>16</v>
      </c>
      <c r="H530" s="114">
        <f t="shared" si="168"/>
        <v>16</v>
      </c>
      <c r="I530" s="114">
        <f>Overview!$E$28</f>
        <v>0</v>
      </c>
      <c r="J530" s="115">
        <f t="shared" si="169"/>
        <v>0</v>
      </c>
      <c r="K530" s="116">
        <f>Overview!$H$28</f>
        <v>0</v>
      </c>
      <c r="L530" s="117" t="e">
        <f t="shared" si="170"/>
        <v>#DIV/0!</v>
      </c>
      <c r="M530" s="179"/>
      <c r="N530" s="179" t="s">
        <v>970</v>
      </c>
      <c r="O530" s="141">
        <f t="shared" si="171"/>
        <v>0</v>
      </c>
      <c r="P530" s="181" t="b">
        <f>COUNTIF('Facility Data'!$A$1:$A$1500,"*"&amp;A530&amp;"*")&gt;0</f>
        <v>0</v>
      </c>
      <c r="Q530" s="181" t="b">
        <f>COUNTIF('Account Data'!$A$1:$A$1000,"*"&amp;A530&amp;"*")&gt;0</f>
        <v>0</v>
      </c>
      <c r="R530" s="182" t="b">
        <f t="shared" si="172"/>
        <v>0</v>
      </c>
      <c r="S530" s="182" t="b">
        <f t="shared" si="173"/>
        <v>0</v>
      </c>
      <c r="T530" s="181" t="b">
        <f>COUNTIF('New Items'!$A$1:$A$175,A530)&gt;0</f>
        <v>0</v>
      </c>
      <c r="U530" s="181" t="b">
        <f>COUNTIF(Discontinued!$A$1:$A$150,A530)&gt;0</f>
        <v>0</v>
      </c>
    </row>
    <row r="531" spans="1:21" s="8" customFormat="1" ht="11.25" x14ac:dyDescent="0.2">
      <c r="A531" s="152">
        <v>10001426</v>
      </c>
      <c r="B531" s="10" t="s">
        <v>271</v>
      </c>
      <c r="C531" s="12" t="s">
        <v>272</v>
      </c>
      <c r="D531" s="11" t="s">
        <v>658</v>
      </c>
      <c r="E531" s="12" t="s">
        <v>773</v>
      </c>
      <c r="F531" s="13">
        <v>8</v>
      </c>
      <c r="G531" s="22">
        <f>Overview!$B$28</f>
        <v>16</v>
      </c>
      <c r="H531" s="114">
        <f t="shared" si="168"/>
        <v>16</v>
      </c>
      <c r="I531" s="114">
        <f>Overview!$E$28</f>
        <v>0</v>
      </c>
      <c r="J531" s="115">
        <f t="shared" si="169"/>
        <v>0</v>
      </c>
      <c r="K531" s="116">
        <f>Overview!$H$28</f>
        <v>0</v>
      </c>
      <c r="L531" s="117" t="e">
        <f t="shared" si="170"/>
        <v>#DIV/0!</v>
      </c>
      <c r="M531" s="179"/>
      <c r="N531" s="179" t="s">
        <v>970</v>
      </c>
      <c r="O531" s="141">
        <f t="shared" si="171"/>
        <v>0</v>
      </c>
      <c r="P531" s="181" t="b">
        <f>COUNTIF('Facility Data'!$A$1:$A$1500,"*"&amp;A531&amp;"*")&gt;0</f>
        <v>0</v>
      </c>
      <c r="Q531" s="181" t="b">
        <f>COUNTIF('Account Data'!$A$1:$A$1000,"*"&amp;A531&amp;"*")&gt;0</f>
        <v>0</v>
      </c>
      <c r="R531" s="182" t="b">
        <f t="shared" si="172"/>
        <v>0</v>
      </c>
      <c r="S531" s="182" t="b">
        <f t="shared" si="173"/>
        <v>0</v>
      </c>
      <c r="T531" s="181" t="b">
        <f>COUNTIF('New Items'!$A$1:$A$175,A531)&gt;0</f>
        <v>0</v>
      </c>
      <c r="U531" s="181" t="b">
        <f>COUNTIF(Discontinued!$A$1:$A$150,A531)&gt;0</f>
        <v>0</v>
      </c>
    </row>
    <row r="532" spans="1:21" s="8" customFormat="1" ht="11.25" x14ac:dyDescent="0.2">
      <c r="A532" s="152">
        <v>10001468</v>
      </c>
      <c r="B532" s="10" t="s">
        <v>1304</v>
      </c>
      <c r="C532" s="12" t="s">
        <v>1305</v>
      </c>
      <c r="D532" s="11" t="s">
        <v>649</v>
      </c>
      <c r="E532" s="12" t="s">
        <v>773</v>
      </c>
      <c r="F532" s="13">
        <v>8</v>
      </c>
      <c r="G532" s="22">
        <f>Overview!$B$28</f>
        <v>16</v>
      </c>
      <c r="H532" s="114">
        <f t="shared" si="168"/>
        <v>16</v>
      </c>
      <c r="I532" s="114">
        <f>Overview!$E$28</f>
        <v>0</v>
      </c>
      <c r="J532" s="115">
        <f t="shared" si="169"/>
        <v>0</v>
      </c>
      <c r="K532" s="116">
        <f>Overview!$H$28</f>
        <v>0</v>
      </c>
      <c r="L532" s="117" t="e">
        <f t="shared" si="170"/>
        <v>#DIV/0!</v>
      </c>
      <c r="M532" s="179"/>
      <c r="N532" s="179" t="s">
        <v>970</v>
      </c>
      <c r="O532" s="141">
        <f t="shared" si="171"/>
        <v>0</v>
      </c>
      <c r="P532" s="181" t="b">
        <f>COUNTIF('Facility Data'!$A$1:$A$1500,"*"&amp;A532&amp;"*")&gt;0</f>
        <v>0</v>
      </c>
      <c r="Q532" s="181" t="b">
        <f>COUNTIF('Account Data'!$A$1:$A$1000,"*"&amp;A532&amp;"*")&gt;0</f>
        <v>0</v>
      </c>
      <c r="R532" s="182" t="b">
        <f t="shared" si="172"/>
        <v>0</v>
      </c>
      <c r="S532" s="182" t="b">
        <f t="shared" si="173"/>
        <v>0</v>
      </c>
      <c r="T532" s="181" t="b">
        <f>COUNTIF('New Items'!$A$1:$A$175,A532)&gt;0</f>
        <v>0</v>
      </c>
      <c r="U532" s="181" t="b">
        <f>COUNTIF(Discontinued!$A$1:$A$150,A532)&gt;0</f>
        <v>0</v>
      </c>
    </row>
    <row r="533" spans="1:21" s="8" customFormat="1" ht="11.25" x14ac:dyDescent="0.2">
      <c r="A533" s="152">
        <v>10001471</v>
      </c>
      <c r="B533" s="10" t="s">
        <v>1312</v>
      </c>
      <c r="C533" s="12" t="s">
        <v>1313</v>
      </c>
      <c r="D533" s="11" t="s">
        <v>639</v>
      </c>
      <c r="E533" s="12" t="s">
        <v>773</v>
      </c>
      <c r="F533" s="13">
        <v>8</v>
      </c>
      <c r="G533" s="22">
        <f>Overview!$B$28</f>
        <v>16</v>
      </c>
      <c r="H533" s="114">
        <f t="shared" si="168"/>
        <v>16</v>
      </c>
      <c r="I533" s="114">
        <f>Overview!$E$28</f>
        <v>0</v>
      </c>
      <c r="J533" s="115">
        <f t="shared" si="169"/>
        <v>0</v>
      </c>
      <c r="K533" s="116">
        <f>Overview!$H$28</f>
        <v>0</v>
      </c>
      <c r="L533" s="117" t="e">
        <f t="shared" si="170"/>
        <v>#DIV/0!</v>
      </c>
      <c r="M533" s="179" t="s">
        <v>930</v>
      </c>
      <c r="N533" s="179" t="s">
        <v>970</v>
      </c>
      <c r="O533" s="141">
        <f t="shared" si="171"/>
        <v>0</v>
      </c>
      <c r="P533" s="181" t="b">
        <f>COUNTIF('Facility Data'!$A$1:$A$1500,"*"&amp;A533&amp;"*")&gt;0</f>
        <v>1</v>
      </c>
      <c r="Q533" s="181" t="b">
        <f>COUNTIF('Account Data'!$A$1:$A$1000,"*"&amp;A533&amp;"*")&gt;0</f>
        <v>0</v>
      </c>
      <c r="R533" s="182" t="b">
        <f t="shared" si="172"/>
        <v>1</v>
      </c>
      <c r="S533" s="182" t="b">
        <f t="shared" si="173"/>
        <v>0</v>
      </c>
      <c r="T533" s="181" t="b">
        <f>COUNTIF('New Items'!$A$1:$A$175,A533)&gt;0</f>
        <v>0</v>
      </c>
      <c r="U533" s="181" t="b">
        <f>COUNTIF(Discontinued!$A$1:$A$150,A533)&gt;0</f>
        <v>0</v>
      </c>
    </row>
    <row r="534" spans="1:21" s="8" customFormat="1" ht="11.25" x14ac:dyDescent="0.2">
      <c r="A534" s="152">
        <v>10001424</v>
      </c>
      <c r="B534" s="10" t="s">
        <v>275</v>
      </c>
      <c r="C534" s="12" t="s">
        <v>276</v>
      </c>
      <c r="D534" s="11" t="s">
        <v>660</v>
      </c>
      <c r="E534" s="12" t="s">
        <v>773</v>
      </c>
      <c r="F534" s="13">
        <v>8</v>
      </c>
      <c r="G534" s="22">
        <f>Overview!$B$28</f>
        <v>16</v>
      </c>
      <c r="H534" s="114">
        <f t="shared" si="168"/>
        <v>16</v>
      </c>
      <c r="I534" s="114">
        <f>Overview!$E$28</f>
        <v>0</v>
      </c>
      <c r="J534" s="115">
        <f t="shared" si="169"/>
        <v>0</v>
      </c>
      <c r="K534" s="116">
        <f>Overview!$H$28</f>
        <v>0</v>
      </c>
      <c r="L534" s="117" t="e">
        <f t="shared" si="170"/>
        <v>#DIV/0!</v>
      </c>
      <c r="M534" s="179"/>
      <c r="N534" s="179" t="s">
        <v>970</v>
      </c>
      <c r="O534" s="141">
        <f t="shared" si="171"/>
        <v>0</v>
      </c>
      <c r="P534" s="181" t="b">
        <f>COUNTIF('Facility Data'!$A$1:$A$1500,"*"&amp;A534&amp;"*")&gt;0</f>
        <v>1</v>
      </c>
      <c r="Q534" s="181" t="b">
        <f>COUNTIF('Account Data'!$A$1:$A$1000,"*"&amp;A534&amp;"*")&gt;0</f>
        <v>1</v>
      </c>
      <c r="R534" s="182" t="b">
        <f t="shared" si="172"/>
        <v>1</v>
      </c>
      <c r="S534" s="182" t="b">
        <f t="shared" si="173"/>
        <v>1</v>
      </c>
      <c r="T534" s="181" t="b">
        <f>COUNTIF('New Items'!$A$1:$A$175,A534)&gt;0</f>
        <v>0</v>
      </c>
      <c r="U534" s="181" t="b">
        <f>COUNTIF(Discontinued!$A$1:$A$150,A534)&gt;0</f>
        <v>0</v>
      </c>
    </row>
    <row r="535" spans="1:21" s="8" customFormat="1" ht="11.25" x14ac:dyDescent="0.2">
      <c r="A535" s="152">
        <v>10001467</v>
      </c>
      <c r="B535" s="10" t="s">
        <v>269</v>
      </c>
      <c r="C535" s="12" t="s">
        <v>270</v>
      </c>
      <c r="D535" s="11" t="s">
        <v>648</v>
      </c>
      <c r="E535" s="12" t="s">
        <v>773</v>
      </c>
      <c r="F535" s="13">
        <v>8</v>
      </c>
      <c r="G535" s="22">
        <f>Overview!$B$28</f>
        <v>16</v>
      </c>
      <c r="H535" s="114">
        <f t="shared" si="168"/>
        <v>16</v>
      </c>
      <c r="I535" s="114">
        <f>Overview!$E$28</f>
        <v>0</v>
      </c>
      <c r="J535" s="115">
        <f t="shared" si="169"/>
        <v>0</v>
      </c>
      <c r="K535" s="116">
        <f>Overview!$H$28</f>
        <v>0</v>
      </c>
      <c r="L535" s="117" t="e">
        <f t="shared" si="170"/>
        <v>#DIV/0!</v>
      </c>
      <c r="M535" s="179"/>
      <c r="N535" s="179" t="s">
        <v>970</v>
      </c>
      <c r="O535" s="141">
        <f t="shared" si="171"/>
        <v>0</v>
      </c>
      <c r="P535" s="181" t="b">
        <f>COUNTIF('Facility Data'!$A$1:$A$1500,"*"&amp;A535&amp;"*")&gt;0</f>
        <v>0</v>
      </c>
      <c r="Q535" s="181" t="b">
        <f>COUNTIF('Account Data'!$A$1:$A$1000,"*"&amp;A535&amp;"*")&gt;0</f>
        <v>1</v>
      </c>
      <c r="R535" s="182" t="b">
        <f t="shared" si="172"/>
        <v>0</v>
      </c>
      <c r="S535" s="182" t="b">
        <f t="shared" si="173"/>
        <v>1</v>
      </c>
      <c r="T535" s="181" t="b">
        <f>COUNTIF('New Items'!$A$1:$A$175,A535)&gt;0</f>
        <v>0</v>
      </c>
      <c r="U535" s="181" t="b">
        <f>COUNTIF(Discontinued!$A$1:$A$150,A535)&gt;0</f>
        <v>0</v>
      </c>
    </row>
    <row r="536" spans="1:21" s="8" customFormat="1" ht="11.25" x14ac:dyDescent="0.2">
      <c r="A536" s="152">
        <v>10001469</v>
      </c>
      <c r="B536" s="10" t="s">
        <v>263</v>
      </c>
      <c r="C536" s="12" t="s">
        <v>264</v>
      </c>
      <c r="D536" s="11" t="s">
        <v>657</v>
      </c>
      <c r="E536" s="12" t="s">
        <v>773</v>
      </c>
      <c r="F536" s="13">
        <v>8</v>
      </c>
      <c r="G536" s="22">
        <f>Overview!$B$28</f>
        <v>16</v>
      </c>
      <c r="H536" s="114">
        <f t="shared" si="168"/>
        <v>16</v>
      </c>
      <c r="I536" s="114">
        <f>Overview!$E$28</f>
        <v>0</v>
      </c>
      <c r="J536" s="115">
        <f t="shared" si="169"/>
        <v>0</v>
      </c>
      <c r="K536" s="116">
        <f>Overview!$H$28</f>
        <v>0</v>
      </c>
      <c r="L536" s="117" t="e">
        <f t="shared" si="170"/>
        <v>#DIV/0!</v>
      </c>
      <c r="M536" s="179"/>
      <c r="N536" s="179" t="s">
        <v>970</v>
      </c>
      <c r="O536" s="141">
        <f t="shared" si="171"/>
        <v>0</v>
      </c>
      <c r="P536" s="181" t="b">
        <f>COUNTIF('Facility Data'!$A$1:$A$1500,"*"&amp;A536&amp;"*")&gt;0</f>
        <v>0</v>
      </c>
      <c r="Q536" s="181" t="b">
        <f>COUNTIF('Account Data'!$A$1:$A$1000,"*"&amp;A536&amp;"*")&gt;0</f>
        <v>1</v>
      </c>
      <c r="R536" s="182" t="b">
        <f t="shared" si="172"/>
        <v>0</v>
      </c>
      <c r="S536" s="182" t="b">
        <f t="shared" si="173"/>
        <v>1</v>
      </c>
      <c r="T536" s="181" t="b">
        <f>COUNTIF('New Items'!$A$1:$A$175,A536)&gt;0</f>
        <v>0</v>
      </c>
      <c r="U536" s="181" t="b">
        <f>COUNTIF(Discontinued!$A$1:$A$150,A536)&gt;0</f>
        <v>0</v>
      </c>
    </row>
    <row r="537" spans="1:21" s="8" customFormat="1" ht="12" thickBot="1" x14ac:dyDescent="0.25">
      <c r="A537" s="153">
        <v>10023918</v>
      </c>
      <c r="B537" s="10" t="s">
        <v>261</v>
      </c>
      <c r="C537" s="12" t="s">
        <v>262</v>
      </c>
      <c r="D537" s="11" t="s">
        <v>656</v>
      </c>
      <c r="E537" s="12" t="s">
        <v>773</v>
      </c>
      <c r="F537" s="13">
        <v>8</v>
      </c>
      <c r="G537" s="22">
        <f>Overview!$B$28</f>
        <v>16</v>
      </c>
      <c r="H537" s="114">
        <f t="shared" si="168"/>
        <v>16</v>
      </c>
      <c r="I537" s="114">
        <f>Overview!$E$28</f>
        <v>0</v>
      </c>
      <c r="J537" s="115">
        <f t="shared" si="169"/>
        <v>0</v>
      </c>
      <c r="K537" s="116">
        <f>Overview!$H$28</f>
        <v>0</v>
      </c>
      <c r="L537" s="117" t="e">
        <f t="shared" si="170"/>
        <v>#DIV/0!</v>
      </c>
      <c r="M537" s="179" t="s">
        <v>952</v>
      </c>
      <c r="N537" s="179" t="s">
        <v>970</v>
      </c>
      <c r="O537" s="141">
        <f t="shared" si="171"/>
        <v>0</v>
      </c>
      <c r="P537" s="181" t="b">
        <f>COUNTIF('Facility Data'!$A$1:$A$1500,"*"&amp;A537&amp;"*")&gt;0</f>
        <v>0</v>
      </c>
      <c r="Q537" s="181" t="b">
        <f>COUNTIF('Account Data'!$A$1:$A$1000,"*"&amp;A537&amp;"*")&gt;0</f>
        <v>0</v>
      </c>
      <c r="R537" s="182" t="b">
        <f t="shared" si="172"/>
        <v>0</v>
      </c>
      <c r="S537" s="182" t="b">
        <f t="shared" si="173"/>
        <v>0</v>
      </c>
      <c r="T537" s="181" t="b">
        <f>COUNTIF('New Items'!$A$1:$A$175,A537)&gt;0</f>
        <v>0</v>
      </c>
      <c r="U537" s="181" t="b">
        <f>COUNTIF(Discontinued!$A$1:$A$150,A537)&gt;0</f>
        <v>0</v>
      </c>
    </row>
    <row r="538" spans="1:21" s="8" customFormat="1" ht="13.5" thickBot="1" x14ac:dyDescent="0.25">
      <c r="A538" s="300" t="s">
        <v>3998</v>
      </c>
      <c r="B538" s="301"/>
      <c r="C538" s="301"/>
      <c r="D538" s="301"/>
      <c r="E538" s="301"/>
      <c r="F538" s="301"/>
      <c r="G538" s="301"/>
      <c r="H538" s="301"/>
      <c r="I538" s="301"/>
      <c r="J538" s="301"/>
      <c r="K538" s="301"/>
      <c r="L538" s="302"/>
      <c r="M538" s="179"/>
      <c r="N538" s="179" t="s">
        <v>3999</v>
      </c>
      <c r="O538" s="141">
        <f>AVERAGE(O539:O560)</f>
        <v>0</v>
      </c>
      <c r="P538" s="181" t="b">
        <f>COUNTIF(P539:P560,TRUE)&gt;0</f>
        <v>1</v>
      </c>
      <c r="Q538" s="181" t="b">
        <f>COUNTIF(Q539:Q560,TRUE)&gt;0</f>
        <v>1</v>
      </c>
      <c r="R538" s="181" t="b">
        <f>COUNTIF(R539:R560,TRUE)&gt;0</f>
        <v>1</v>
      </c>
      <c r="S538" s="181" t="b">
        <f>COUNTIF(S539:S560,TRUE)&gt;0</f>
        <v>1</v>
      </c>
      <c r="T538" s="181" t="b">
        <f>COUNTIF(T539:T560,TRUE)&gt;0</f>
        <v>0</v>
      </c>
      <c r="U538" s="249"/>
    </row>
    <row r="539" spans="1:21" s="8" customFormat="1" ht="11.25" x14ac:dyDescent="0.2">
      <c r="A539" s="152">
        <v>10083794</v>
      </c>
      <c r="B539" s="10" t="s">
        <v>1579</v>
      </c>
      <c r="C539" s="12" t="s">
        <v>4000</v>
      </c>
      <c r="D539" s="11" t="s">
        <v>643</v>
      </c>
      <c r="E539" s="118" t="s">
        <v>773</v>
      </c>
      <c r="F539" s="120">
        <v>8</v>
      </c>
      <c r="G539" s="121">
        <f>Overview!$B$29</f>
        <v>16</v>
      </c>
      <c r="H539" s="114">
        <f t="shared" ref="H539:H560" si="174">G539-I539</f>
        <v>16</v>
      </c>
      <c r="I539" s="114">
        <f>Overview!$E$29</f>
        <v>0</v>
      </c>
      <c r="J539" s="115">
        <f t="shared" ref="J539:J560" si="175">I539/F539</f>
        <v>0</v>
      </c>
      <c r="K539" s="116">
        <f>Overview!$H$29</f>
        <v>0</v>
      </c>
      <c r="L539" s="117" t="e">
        <f t="shared" ref="L539:L560" si="176">(K539-J539)/K539</f>
        <v>#DIV/0!</v>
      </c>
      <c r="M539" s="179"/>
      <c r="N539" s="179" t="s">
        <v>3999</v>
      </c>
      <c r="O539" s="141">
        <f t="shared" ref="O539:O560" si="177">I539</f>
        <v>0</v>
      </c>
      <c r="P539" s="181" t="b">
        <f>COUNTIF('Facility Data'!$A$1:$A$1500,"*"&amp;A539&amp;"*")&gt;0</f>
        <v>0</v>
      </c>
      <c r="Q539" s="181" t="b">
        <f>COUNTIF('Account Data'!$A$1:$A$1000,"*"&amp;A539&amp;"*")&gt;0</f>
        <v>0</v>
      </c>
      <c r="R539" s="182" t="b">
        <f t="shared" ref="R539:R560" si="178">IF(OR(P539=TRUE,T539=TRUE),TRUE,FALSE)</f>
        <v>0</v>
      </c>
      <c r="S539" s="182" t="b">
        <f t="shared" ref="S539:S560" si="179">IF(OR(Q539=TRUE,T539=TRUE),TRUE,FALSE)</f>
        <v>0</v>
      </c>
      <c r="T539" s="181" t="b">
        <f>COUNTIF('New Items'!$A$1:$A$175,A539)&gt;0</f>
        <v>0</v>
      </c>
      <c r="U539" s="181" t="b">
        <f>COUNTIF(Discontinued!$A$1:$A$150,A539)&gt;0</f>
        <v>0</v>
      </c>
    </row>
    <row r="540" spans="1:21" s="8" customFormat="1" ht="11.25" x14ac:dyDescent="0.2">
      <c r="A540" s="152">
        <v>10089515</v>
      </c>
      <c r="B540" s="10" t="s">
        <v>1590</v>
      </c>
      <c r="C540" s="12" t="s">
        <v>4013</v>
      </c>
      <c r="D540" s="11" t="s">
        <v>1299</v>
      </c>
      <c r="E540" s="118" t="s">
        <v>773</v>
      </c>
      <c r="F540" s="120">
        <v>8</v>
      </c>
      <c r="G540" s="121">
        <f>Overview!$B$29</f>
        <v>16</v>
      </c>
      <c r="H540" s="114">
        <f t="shared" si="174"/>
        <v>16</v>
      </c>
      <c r="I540" s="114">
        <f>Overview!$E$29</f>
        <v>0</v>
      </c>
      <c r="J540" s="115">
        <f t="shared" si="175"/>
        <v>0</v>
      </c>
      <c r="K540" s="116">
        <f>Overview!$H$29</f>
        <v>0</v>
      </c>
      <c r="L540" s="117" t="e">
        <f t="shared" si="176"/>
        <v>#DIV/0!</v>
      </c>
      <c r="M540" s="179"/>
      <c r="N540" s="179" t="s">
        <v>3999</v>
      </c>
      <c r="O540" s="141">
        <f t="shared" si="177"/>
        <v>0</v>
      </c>
      <c r="P540" s="181" t="b">
        <f>COUNTIF('Facility Data'!$A$1:$A$1500,"*"&amp;A540&amp;"*")&gt;0</f>
        <v>0</v>
      </c>
      <c r="Q540" s="181" t="b">
        <f>COUNTIF('Account Data'!$A$1:$A$1000,"*"&amp;A540&amp;"*")&gt;0</f>
        <v>0</v>
      </c>
      <c r="R540" s="182" t="b">
        <f t="shared" si="178"/>
        <v>0</v>
      </c>
      <c r="S540" s="182" t="b">
        <f t="shared" si="179"/>
        <v>0</v>
      </c>
      <c r="T540" s="181" t="b">
        <f>COUNTIF('New Items'!$A$1:$A$175,A540)&gt;0</f>
        <v>0</v>
      </c>
      <c r="U540" s="181" t="b">
        <f>COUNTIF(Discontinued!$A$1:$A$150,A540)&gt;0</f>
        <v>0</v>
      </c>
    </row>
    <row r="541" spans="1:21" s="8" customFormat="1" ht="11.25" x14ac:dyDescent="0.2">
      <c r="A541" s="152">
        <v>10105874</v>
      </c>
      <c r="B541" s="10" t="s">
        <v>1591</v>
      </c>
      <c r="C541" s="12" t="s">
        <v>4014</v>
      </c>
      <c r="D541" s="11" t="s">
        <v>1386</v>
      </c>
      <c r="E541" s="118" t="s">
        <v>773</v>
      </c>
      <c r="F541" s="120">
        <v>8</v>
      </c>
      <c r="G541" s="121">
        <f>Overview!$B$29</f>
        <v>16</v>
      </c>
      <c r="H541" s="114">
        <f t="shared" si="174"/>
        <v>16</v>
      </c>
      <c r="I541" s="114">
        <f>Overview!$E$29</f>
        <v>0</v>
      </c>
      <c r="J541" s="115">
        <f t="shared" si="175"/>
        <v>0</v>
      </c>
      <c r="K541" s="116">
        <f>Overview!$H$29</f>
        <v>0</v>
      </c>
      <c r="L541" s="117" t="e">
        <f t="shared" si="176"/>
        <v>#DIV/0!</v>
      </c>
      <c r="M541" s="179"/>
      <c r="N541" s="179" t="s">
        <v>3999</v>
      </c>
      <c r="O541" s="141">
        <f t="shared" si="177"/>
        <v>0</v>
      </c>
      <c r="P541" s="181" t="b">
        <f>COUNTIF('Facility Data'!$A$1:$A$1500,"*"&amp;A541&amp;"*")&gt;0</f>
        <v>0</v>
      </c>
      <c r="Q541" s="181" t="b">
        <f>COUNTIF('Account Data'!$A$1:$A$1000,"*"&amp;A541&amp;"*")&gt;0</f>
        <v>0</v>
      </c>
      <c r="R541" s="182" t="b">
        <f t="shared" si="178"/>
        <v>0</v>
      </c>
      <c r="S541" s="182" t="b">
        <f t="shared" si="179"/>
        <v>0</v>
      </c>
      <c r="T541" s="181" t="b">
        <f>COUNTIF('New Items'!$A$1:$A$175,A541)&gt;0</f>
        <v>0</v>
      </c>
      <c r="U541" s="181" t="b">
        <f>COUNTIF(Discontinued!$A$1:$A$150,A541)&gt;0</f>
        <v>0</v>
      </c>
    </row>
    <row r="542" spans="1:21" s="8" customFormat="1" ht="11.25" x14ac:dyDescent="0.2">
      <c r="A542" s="152">
        <v>10070593</v>
      </c>
      <c r="B542" s="10" t="s">
        <v>1592</v>
      </c>
      <c r="C542" s="12" t="s">
        <v>4015</v>
      </c>
      <c r="D542" s="11" t="s">
        <v>1387</v>
      </c>
      <c r="E542" s="118" t="s">
        <v>773</v>
      </c>
      <c r="F542" s="120">
        <v>8</v>
      </c>
      <c r="G542" s="121">
        <f>Overview!$B$29</f>
        <v>16</v>
      </c>
      <c r="H542" s="114">
        <f t="shared" si="174"/>
        <v>16</v>
      </c>
      <c r="I542" s="114">
        <f>Overview!$E$29</f>
        <v>0</v>
      </c>
      <c r="J542" s="115">
        <f t="shared" si="175"/>
        <v>0</v>
      </c>
      <c r="K542" s="116">
        <f>Overview!$H$29</f>
        <v>0</v>
      </c>
      <c r="L542" s="117" t="e">
        <f t="shared" si="176"/>
        <v>#DIV/0!</v>
      </c>
      <c r="M542" s="179"/>
      <c r="N542" s="179" t="s">
        <v>3999</v>
      </c>
      <c r="O542" s="141">
        <f t="shared" si="177"/>
        <v>0</v>
      </c>
      <c r="P542" s="181" t="b">
        <f>COUNTIF('Facility Data'!$A$1:$A$1500,"*"&amp;A542&amp;"*")&gt;0</f>
        <v>0</v>
      </c>
      <c r="Q542" s="181" t="b">
        <f>COUNTIF('Account Data'!$A$1:$A$1000,"*"&amp;A542&amp;"*")&gt;0</f>
        <v>0</v>
      </c>
      <c r="R542" s="182" t="b">
        <f t="shared" si="178"/>
        <v>0</v>
      </c>
      <c r="S542" s="182" t="b">
        <f t="shared" si="179"/>
        <v>0</v>
      </c>
      <c r="T542" s="181" t="b">
        <f>COUNTIF('New Items'!$A$1:$A$175,A542)&gt;0</f>
        <v>0</v>
      </c>
      <c r="U542" s="181" t="b">
        <f>COUNTIF(Discontinued!$A$1:$A$150,A542)&gt;0</f>
        <v>0</v>
      </c>
    </row>
    <row r="543" spans="1:21" s="8" customFormat="1" ht="11.25" x14ac:dyDescent="0.2">
      <c r="A543" s="152">
        <v>10001602</v>
      </c>
      <c r="B543" s="10" t="s">
        <v>278</v>
      </c>
      <c r="C543" s="12" t="s">
        <v>4012</v>
      </c>
      <c r="D543" s="11" t="s">
        <v>640</v>
      </c>
      <c r="E543" s="118" t="s">
        <v>773</v>
      </c>
      <c r="F543" s="120">
        <v>8</v>
      </c>
      <c r="G543" s="121">
        <f>Overview!$B$29</f>
        <v>16</v>
      </c>
      <c r="H543" s="114">
        <f t="shared" si="174"/>
        <v>16</v>
      </c>
      <c r="I543" s="114">
        <f>Overview!$E$29</f>
        <v>0</v>
      </c>
      <c r="J543" s="115">
        <f t="shared" si="175"/>
        <v>0</v>
      </c>
      <c r="K543" s="116">
        <f>Overview!$H$29</f>
        <v>0</v>
      </c>
      <c r="L543" s="117" t="e">
        <f t="shared" si="176"/>
        <v>#DIV/0!</v>
      </c>
      <c r="M543" s="179"/>
      <c r="N543" s="179" t="s">
        <v>3999</v>
      </c>
      <c r="O543" s="141">
        <f t="shared" si="177"/>
        <v>0</v>
      </c>
      <c r="P543" s="181" t="b">
        <f>COUNTIF('Facility Data'!$A$1:$A$1500,"*"&amp;A543&amp;"*")&gt;0</f>
        <v>0</v>
      </c>
      <c r="Q543" s="181" t="b">
        <f>COUNTIF('Account Data'!$A$1:$A$1000,"*"&amp;A543&amp;"*")&gt;0</f>
        <v>1</v>
      </c>
      <c r="R543" s="182" t="b">
        <f t="shared" si="178"/>
        <v>0</v>
      </c>
      <c r="S543" s="182" t="b">
        <f t="shared" si="179"/>
        <v>1</v>
      </c>
      <c r="T543" s="181" t="b">
        <f>COUNTIF('New Items'!$A$1:$A$175,A543)&gt;0</f>
        <v>0</v>
      </c>
      <c r="U543" s="181" t="b">
        <f>COUNTIF(Discontinued!$A$1:$A$150,A543)&gt;0</f>
        <v>0</v>
      </c>
    </row>
    <row r="544" spans="1:21" s="8" customFormat="1" ht="11.25" x14ac:dyDescent="0.2">
      <c r="A544" s="152">
        <v>10026329</v>
      </c>
      <c r="B544" s="10" t="s">
        <v>1588</v>
      </c>
      <c r="C544" s="12" t="s">
        <v>4010</v>
      </c>
      <c r="D544" s="11" t="s">
        <v>1572</v>
      </c>
      <c r="E544" s="118" t="s">
        <v>773</v>
      </c>
      <c r="F544" s="120">
        <v>8</v>
      </c>
      <c r="G544" s="121">
        <f>Overview!$B$29</f>
        <v>16</v>
      </c>
      <c r="H544" s="114">
        <f t="shared" si="174"/>
        <v>16</v>
      </c>
      <c r="I544" s="114">
        <f>Overview!$E$29</f>
        <v>0</v>
      </c>
      <c r="J544" s="115">
        <f t="shared" si="175"/>
        <v>0</v>
      </c>
      <c r="K544" s="116">
        <f>Overview!$H$29</f>
        <v>0</v>
      </c>
      <c r="L544" s="117" t="e">
        <f t="shared" si="176"/>
        <v>#DIV/0!</v>
      </c>
      <c r="M544" s="179"/>
      <c r="N544" s="179" t="s">
        <v>3999</v>
      </c>
      <c r="O544" s="141">
        <f t="shared" si="177"/>
        <v>0</v>
      </c>
      <c r="P544" s="181" t="b">
        <f>COUNTIF('Facility Data'!$A$1:$A$1500,"*"&amp;A544&amp;"*")&gt;0</f>
        <v>0</v>
      </c>
      <c r="Q544" s="181" t="b">
        <f>COUNTIF('Account Data'!$A$1:$A$1000,"*"&amp;A544&amp;"*")&gt;0</f>
        <v>0</v>
      </c>
      <c r="R544" s="182" t="b">
        <f t="shared" si="178"/>
        <v>0</v>
      </c>
      <c r="S544" s="182" t="b">
        <f t="shared" si="179"/>
        <v>0</v>
      </c>
      <c r="T544" s="181" t="b">
        <f>COUNTIF('New Items'!$A$1:$A$175,A544)&gt;0</f>
        <v>0</v>
      </c>
      <c r="U544" s="181" t="b">
        <f>COUNTIF(Discontinued!$A$1:$A$150,A544)&gt;0</f>
        <v>0</v>
      </c>
    </row>
    <row r="545" spans="1:21" s="8" customFormat="1" ht="11.25" x14ac:dyDescent="0.2">
      <c r="A545" s="152">
        <v>10083961</v>
      </c>
      <c r="B545" s="10" t="s">
        <v>1580</v>
      </c>
      <c r="C545" s="12" t="s">
        <v>4001</v>
      </c>
      <c r="D545" s="11" t="s">
        <v>633</v>
      </c>
      <c r="E545" s="118" t="s">
        <v>773</v>
      </c>
      <c r="F545" s="120">
        <v>8</v>
      </c>
      <c r="G545" s="121">
        <f>Overview!$B$29</f>
        <v>16</v>
      </c>
      <c r="H545" s="114">
        <f t="shared" si="174"/>
        <v>16</v>
      </c>
      <c r="I545" s="114">
        <f>Overview!$E$29</f>
        <v>0</v>
      </c>
      <c r="J545" s="115">
        <f t="shared" si="175"/>
        <v>0</v>
      </c>
      <c r="K545" s="116">
        <f>Overview!$H$29</f>
        <v>0</v>
      </c>
      <c r="L545" s="117" t="e">
        <f t="shared" si="176"/>
        <v>#DIV/0!</v>
      </c>
      <c r="M545" s="179"/>
      <c r="N545" s="179" t="s">
        <v>3999</v>
      </c>
      <c r="O545" s="141">
        <f t="shared" si="177"/>
        <v>0</v>
      </c>
      <c r="P545" s="181" t="b">
        <f>COUNTIF('Facility Data'!$A$1:$A$1500,"*"&amp;A545&amp;"*")&gt;0</f>
        <v>0</v>
      </c>
      <c r="Q545" s="181" t="b">
        <f>COUNTIF('Account Data'!$A$1:$A$1000,"*"&amp;A545&amp;"*")&gt;0</f>
        <v>0</v>
      </c>
      <c r="R545" s="182" t="b">
        <f t="shared" si="178"/>
        <v>0</v>
      </c>
      <c r="S545" s="182" t="b">
        <f t="shared" si="179"/>
        <v>0</v>
      </c>
      <c r="T545" s="181" t="b">
        <f>COUNTIF('New Items'!$A$1:$A$175,A545)&gt;0</f>
        <v>0</v>
      </c>
      <c r="U545" s="181" t="b">
        <f>COUNTIF(Discontinued!$A$1:$A$150,A545)&gt;0</f>
        <v>0</v>
      </c>
    </row>
    <row r="546" spans="1:21" s="8" customFormat="1" ht="11.25" x14ac:dyDescent="0.2">
      <c r="A546" s="152">
        <v>10006385</v>
      </c>
      <c r="B546" s="10" t="s">
        <v>1595</v>
      </c>
      <c r="C546" s="12" t="s">
        <v>4018</v>
      </c>
      <c r="D546" s="11" t="s">
        <v>659</v>
      </c>
      <c r="E546" s="118" t="s">
        <v>773</v>
      </c>
      <c r="F546" s="120">
        <v>8</v>
      </c>
      <c r="G546" s="121">
        <f>Overview!$B$29</f>
        <v>16</v>
      </c>
      <c r="H546" s="114">
        <f t="shared" si="174"/>
        <v>16</v>
      </c>
      <c r="I546" s="114">
        <f>Overview!$E$29</f>
        <v>0</v>
      </c>
      <c r="J546" s="115">
        <f t="shared" si="175"/>
        <v>0</v>
      </c>
      <c r="K546" s="116">
        <f>Overview!$H$29</f>
        <v>0</v>
      </c>
      <c r="L546" s="117" t="e">
        <f t="shared" si="176"/>
        <v>#DIV/0!</v>
      </c>
      <c r="M546" s="179"/>
      <c r="N546" s="179" t="s">
        <v>3999</v>
      </c>
      <c r="O546" s="141">
        <f t="shared" si="177"/>
        <v>0</v>
      </c>
      <c r="P546" s="181" t="b">
        <f>COUNTIF('Facility Data'!$A$1:$A$1500,"*"&amp;A546&amp;"*")&gt;0</f>
        <v>0</v>
      </c>
      <c r="Q546" s="181" t="b">
        <f>COUNTIF('Account Data'!$A$1:$A$1000,"*"&amp;A546&amp;"*")&gt;0</f>
        <v>0</v>
      </c>
      <c r="R546" s="182" t="b">
        <f t="shared" si="178"/>
        <v>0</v>
      </c>
      <c r="S546" s="182" t="b">
        <f t="shared" si="179"/>
        <v>0</v>
      </c>
      <c r="T546" s="181" t="b">
        <f>COUNTIF('New Items'!$A$1:$A$175,A546)&gt;0</f>
        <v>0</v>
      </c>
      <c r="U546" s="181" t="b">
        <f>COUNTIF(Discontinued!$A$1:$A$150,A546)&gt;0</f>
        <v>0</v>
      </c>
    </row>
    <row r="547" spans="1:21" s="8" customFormat="1" ht="11.25" x14ac:dyDescent="0.2">
      <c r="A547" s="152">
        <v>10002348</v>
      </c>
      <c r="B547" s="10" t="s">
        <v>1594</v>
      </c>
      <c r="C547" s="12" t="s">
        <v>4017</v>
      </c>
      <c r="D547" s="11" t="s">
        <v>1596</v>
      </c>
      <c r="E547" s="118" t="s">
        <v>773</v>
      </c>
      <c r="F547" s="120">
        <v>8</v>
      </c>
      <c r="G547" s="121">
        <f>Overview!$B$29</f>
        <v>16</v>
      </c>
      <c r="H547" s="114">
        <f t="shared" si="174"/>
        <v>16</v>
      </c>
      <c r="I547" s="114">
        <f>Overview!$E$29</f>
        <v>0</v>
      </c>
      <c r="J547" s="115">
        <f t="shared" si="175"/>
        <v>0</v>
      </c>
      <c r="K547" s="116">
        <f>Overview!$H$29</f>
        <v>0</v>
      </c>
      <c r="L547" s="117" t="e">
        <f t="shared" si="176"/>
        <v>#DIV/0!</v>
      </c>
      <c r="M547" s="179"/>
      <c r="N547" s="179" t="s">
        <v>3999</v>
      </c>
      <c r="O547" s="141">
        <f t="shared" si="177"/>
        <v>0</v>
      </c>
      <c r="P547" s="181" t="b">
        <f>COUNTIF('Facility Data'!$A$1:$A$1500,"*"&amp;A547&amp;"*")&gt;0</f>
        <v>0</v>
      </c>
      <c r="Q547" s="181" t="b">
        <f>COUNTIF('Account Data'!$A$1:$A$1000,"*"&amp;A547&amp;"*")&gt;0</f>
        <v>0</v>
      </c>
      <c r="R547" s="182" t="b">
        <f t="shared" si="178"/>
        <v>0</v>
      </c>
      <c r="S547" s="182" t="b">
        <f t="shared" si="179"/>
        <v>0</v>
      </c>
      <c r="T547" s="181" t="b">
        <f>COUNTIF('New Items'!$A$1:$A$175,A547)&gt;0</f>
        <v>0</v>
      </c>
      <c r="U547" s="181" t="b">
        <f>COUNTIF(Discontinued!$A$1:$A$150,A547)&gt;0</f>
        <v>0</v>
      </c>
    </row>
    <row r="548" spans="1:21" s="8" customFormat="1" ht="11.25" x14ac:dyDescent="0.2">
      <c r="A548" s="152">
        <v>10001714</v>
      </c>
      <c r="B548" s="10" t="s">
        <v>1593</v>
      </c>
      <c r="C548" s="12" t="s">
        <v>4016</v>
      </c>
      <c r="D548" s="11" t="s">
        <v>639</v>
      </c>
      <c r="E548" s="118" t="s">
        <v>773</v>
      </c>
      <c r="F548" s="120">
        <v>8</v>
      </c>
      <c r="G548" s="121">
        <f>Overview!$B$29</f>
        <v>16</v>
      </c>
      <c r="H548" s="114">
        <f t="shared" si="174"/>
        <v>16</v>
      </c>
      <c r="I548" s="114">
        <f>Overview!$E$29</f>
        <v>0</v>
      </c>
      <c r="J548" s="115">
        <f t="shared" si="175"/>
        <v>0</v>
      </c>
      <c r="K548" s="116">
        <f>Overview!$H$29</f>
        <v>0</v>
      </c>
      <c r="L548" s="117" t="e">
        <f t="shared" si="176"/>
        <v>#DIV/0!</v>
      </c>
      <c r="M548" s="179"/>
      <c r="N548" s="179" t="s">
        <v>3999</v>
      </c>
      <c r="O548" s="141">
        <f t="shared" si="177"/>
        <v>0</v>
      </c>
      <c r="P548" s="181" t="b">
        <f>COUNTIF('Facility Data'!$A$1:$A$1500,"*"&amp;A548&amp;"*")&gt;0</f>
        <v>1</v>
      </c>
      <c r="Q548" s="181" t="b">
        <f>COUNTIF('Account Data'!$A$1:$A$1000,"*"&amp;A548&amp;"*")&gt;0</f>
        <v>0</v>
      </c>
      <c r="R548" s="182" t="b">
        <f t="shared" si="178"/>
        <v>1</v>
      </c>
      <c r="S548" s="182" t="b">
        <f t="shared" si="179"/>
        <v>0</v>
      </c>
      <c r="T548" s="181" t="b">
        <f>COUNTIF('New Items'!$A$1:$A$175,A548)&gt;0</f>
        <v>0</v>
      </c>
      <c r="U548" s="181" t="b">
        <f>COUNTIF(Discontinued!$A$1:$A$150,A548)&gt;0</f>
        <v>0</v>
      </c>
    </row>
    <row r="549" spans="1:21" s="8" customFormat="1" ht="11.25" x14ac:dyDescent="0.2">
      <c r="A549" s="152">
        <v>10001597</v>
      </c>
      <c r="B549" s="10" t="s">
        <v>279</v>
      </c>
      <c r="C549" s="12" t="s">
        <v>4019</v>
      </c>
      <c r="D549" s="11" t="s">
        <v>660</v>
      </c>
      <c r="E549" s="118" t="s">
        <v>773</v>
      </c>
      <c r="F549" s="120">
        <v>8</v>
      </c>
      <c r="G549" s="121">
        <f>Overview!$B$29</f>
        <v>16</v>
      </c>
      <c r="H549" s="114">
        <f t="shared" si="174"/>
        <v>16</v>
      </c>
      <c r="I549" s="114">
        <f>Overview!$E$29</f>
        <v>0</v>
      </c>
      <c r="J549" s="115">
        <f t="shared" si="175"/>
        <v>0</v>
      </c>
      <c r="K549" s="116">
        <f>Overview!$H$29</f>
        <v>0</v>
      </c>
      <c r="L549" s="117" t="e">
        <f t="shared" si="176"/>
        <v>#DIV/0!</v>
      </c>
      <c r="M549" s="179" t="s">
        <v>952</v>
      </c>
      <c r="N549" s="179" t="s">
        <v>3999</v>
      </c>
      <c r="O549" s="141">
        <f t="shared" si="177"/>
        <v>0</v>
      </c>
      <c r="P549" s="181" t="b">
        <f>COUNTIF('Facility Data'!$A$1:$A$1500,"*"&amp;A549&amp;"*")&gt;0</f>
        <v>1</v>
      </c>
      <c r="Q549" s="181" t="b">
        <f>COUNTIF('Account Data'!$A$1:$A$1000,"*"&amp;A549&amp;"*")&gt;0</f>
        <v>1</v>
      </c>
      <c r="R549" s="182" t="b">
        <f t="shared" si="178"/>
        <v>1</v>
      </c>
      <c r="S549" s="182" t="b">
        <f t="shared" si="179"/>
        <v>1</v>
      </c>
      <c r="T549" s="181" t="b">
        <f>COUNTIF('New Items'!$A$1:$A$175,A549)&gt;0</f>
        <v>0</v>
      </c>
      <c r="U549" s="181" t="b">
        <f>COUNTIF(Discontinued!$A$1:$A$150,A549)&gt;0</f>
        <v>0</v>
      </c>
    </row>
    <row r="550" spans="1:21" s="8" customFormat="1" ht="11.25" x14ac:dyDescent="0.2">
      <c r="A550" s="152">
        <v>10033321</v>
      </c>
      <c r="B550" s="10" t="s">
        <v>1581</v>
      </c>
      <c r="C550" s="12" t="s">
        <v>4002</v>
      </c>
      <c r="D550" s="11" t="s">
        <v>648</v>
      </c>
      <c r="E550" s="118" t="s">
        <v>773</v>
      </c>
      <c r="F550" s="120">
        <v>8</v>
      </c>
      <c r="G550" s="121">
        <f>Overview!$B$29</f>
        <v>16</v>
      </c>
      <c r="H550" s="114">
        <f t="shared" si="174"/>
        <v>16</v>
      </c>
      <c r="I550" s="114">
        <f>Overview!$E$29</f>
        <v>0</v>
      </c>
      <c r="J550" s="115">
        <f t="shared" si="175"/>
        <v>0</v>
      </c>
      <c r="K550" s="116">
        <f>Overview!$H$29</f>
        <v>0</v>
      </c>
      <c r="L550" s="117" t="e">
        <f t="shared" si="176"/>
        <v>#DIV/0!</v>
      </c>
      <c r="M550" s="179"/>
      <c r="N550" s="179" t="s">
        <v>3999</v>
      </c>
      <c r="O550" s="141">
        <f t="shared" si="177"/>
        <v>0</v>
      </c>
      <c r="P550" s="181" t="b">
        <f>COUNTIF('Facility Data'!$A$1:$A$1500,"*"&amp;A550&amp;"*")&gt;0</f>
        <v>0</v>
      </c>
      <c r="Q550" s="181" t="b">
        <f>COUNTIF('Account Data'!$A$1:$A$1000,"*"&amp;A550&amp;"*")&gt;0</f>
        <v>0</v>
      </c>
      <c r="R550" s="182" t="b">
        <f t="shared" si="178"/>
        <v>0</v>
      </c>
      <c r="S550" s="182" t="b">
        <f t="shared" si="179"/>
        <v>0</v>
      </c>
      <c r="T550" s="181" t="b">
        <f>COUNTIF('New Items'!$A$1:$A$175,A550)&gt;0</f>
        <v>0</v>
      </c>
      <c r="U550" s="181" t="b">
        <f>COUNTIF(Discontinued!$A$1:$A$150,A550)&gt;0</f>
        <v>0</v>
      </c>
    </row>
    <row r="551" spans="1:21" s="8" customFormat="1" ht="11.25" x14ac:dyDescent="0.2">
      <c r="A551" s="152">
        <v>10026326</v>
      </c>
      <c r="B551" s="10" t="s">
        <v>1584</v>
      </c>
      <c r="C551" s="12" t="s">
        <v>4005</v>
      </c>
      <c r="D551" s="11" t="s">
        <v>635</v>
      </c>
      <c r="E551" s="118" t="s">
        <v>773</v>
      </c>
      <c r="F551" s="120">
        <v>8</v>
      </c>
      <c r="G551" s="121">
        <f>Overview!$B$29</f>
        <v>16</v>
      </c>
      <c r="H551" s="114">
        <f t="shared" si="174"/>
        <v>16</v>
      </c>
      <c r="I551" s="114">
        <f>Overview!$E$29</f>
        <v>0</v>
      </c>
      <c r="J551" s="115">
        <f t="shared" si="175"/>
        <v>0</v>
      </c>
      <c r="K551" s="116">
        <f>Overview!$H$29</f>
        <v>0</v>
      </c>
      <c r="L551" s="117" t="e">
        <f t="shared" si="176"/>
        <v>#DIV/0!</v>
      </c>
      <c r="M551" s="179" t="s">
        <v>4369</v>
      </c>
      <c r="N551" s="179" t="s">
        <v>3999</v>
      </c>
      <c r="O551" s="141">
        <f t="shared" si="177"/>
        <v>0</v>
      </c>
      <c r="P551" s="181" t="b">
        <f>COUNTIF('Facility Data'!$A$1:$A$1500,"*"&amp;A551&amp;"*")&gt;0</f>
        <v>1</v>
      </c>
      <c r="Q551" s="181" t="b">
        <f>COUNTIF('Account Data'!$A$1:$A$1000,"*"&amp;A551&amp;"*")&gt;0</f>
        <v>0</v>
      </c>
      <c r="R551" s="182" t="b">
        <f t="shared" si="178"/>
        <v>1</v>
      </c>
      <c r="S551" s="182" t="b">
        <f t="shared" si="179"/>
        <v>0</v>
      </c>
      <c r="T551" s="181" t="b">
        <f>COUNTIF('New Items'!$A$1:$A$175,A551)&gt;0</f>
        <v>0</v>
      </c>
      <c r="U551" s="181" t="b">
        <f>COUNTIF(Discontinued!$A$1:$A$150,A551)&gt;0</f>
        <v>0</v>
      </c>
    </row>
    <row r="552" spans="1:21" s="8" customFormat="1" ht="11.25" x14ac:dyDescent="0.2">
      <c r="A552" s="152">
        <v>10119485</v>
      </c>
      <c r="B552" s="10" t="s">
        <v>1586</v>
      </c>
      <c r="C552" s="12" t="s">
        <v>4007</v>
      </c>
      <c r="D552" s="11" t="s">
        <v>651</v>
      </c>
      <c r="E552" s="118" t="s">
        <v>773</v>
      </c>
      <c r="F552" s="120">
        <v>8</v>
      </c>
      <c r="G552" s="121">
        <f>Overview!$B$29</f>
        <v>16</v>
      </c>
      <c r="H552" s="114">
        <f t="shared" si="174"/>
        <v>16</v>
      </c>
      <c r="I552" s="114">
        <f>Overview!$E$29</f>
        <v>0</v>
      </c>
      <c r="J552" s="115">
        <f t="shared" si="175"/>
        <v>0</v>
      </c>
      <c r="K552" s="116">
        <f>Overview!$H$29</f>
        <v>0</v>
      </c>
      <c r="L552" s="117" t="e">
        <f t="shared" si="176"/>
        <v>#DIV/0!</v>
      </c>
      <c r="M552" s="179" t="s">
        <v>4369</v>
      </c>
      <c r="N552" s="179" t="s">
        <v>3999</v>
      </c>
      <c r="O552" s="141">
        <f t="shared" si="177"/>
        <v>0</v>
      </c>
      <c r="P552" s="181" t="b">
        <f>COUNTIF('Facility Data'!$A$1:$A$1500,"*"&amp;A552&amp;"*")&gt;0</f>
        <v>0</v>
      </c>
      <c r="Q552" s="181" t="b">
        <f>COUNTIF('Account Data'!$A$1:$A$1000,"*"&amp;A552&amp;"*")&gt;0</f>
        <v>0</v>
      </c>
      <c r="R552" s="182" t="b">
        <f t="shared" si="178"/>
        <v>0</v>
      </c>
      <c r="S552" s="182" t="b">
        <f t="shared" si="179"/>
        <v>0</v>
      </c>
      <c r="T552" s="181" t="b">
        <f>COUNTIF('New Items'!$A$1:$A$175,A552)&gt;0</f>
        <v>0</v>
      </c>
      <c r="U552" s="181" t="b">
        <f>COUNTIF(Discontinued!$A$1:$A$150,A552)&gt;0</f>
        <v>0</v>
      </c>
    </row>
    <row r="553" spans="1:21" s="8" customFormat="1" ht="11.25" x14ac:dyDescent="0.2">
      <c r="A553" s="152">
        <v>10088173</v>
      </c>
      <c r="B553" s="10" t="s">
        <v>1582</v>
      </c>
      <c r="C553" s="12" t="s">
        <v>4003</v>
      </c>
      <c r="D553" s="11" t="s">
        <v>650</v>
      </c>
      <c r="E553" s="118" t="s">
        <v>773</v>
      </c>
      <c r="F553" s="120">
        <v>8</v>
      </c>
      <c r="G553" s="121">
        <f>Overview!$B$29</f>
        <v>16</v>
      </c>
      <c r="H553" s="114">
        <f t="shared" si="174"/>
        <v>16</v>
      </c>
      <c r="I553" s="114">
        <f>Overview!$E$29</f>
        <v>0</v>
      </c>
      <c r="J553" s="115">
        <f t="shared" si="175"/>
        <v>0</v>
      </c>
      <c r="K553" s="116">
        <f>Overview!$H$29</f>
        <v>0</v>
      </c>
      <c r="L553" s="117" t="e">
        <f t="shared" si="176"/>
        <v>#DIV/0!</v>
      </c>
      <c r="M553" s="179" t="s">
        <v>4369</v>
      </c>
      <c r="N553" s="179" t="s">
        <v>3999</v>
      </c>
      <c r="O553" s="141">
        <f t="shared" si="177"/>
        <v>0</v>
      </c>
      <c r="P553" s="181" t="b">
        <f>COUNTIF('Facility Data'!$A$1:$A$1500,"*"&amp;A553&amp;"*")&gt;0</f>
        <v>1</v>
      </c>
      <c r="Q553" s="181" t="b">
        <f>COUNTIF('Account Data'!$A$1:$A$1000,"*"&amp;A553&amp;"*")&gt;0</f>
        <v>0</v>
      </c>
      <c r="R553" s="182" t="b">
        <f t="shared" si="178"/>
        <v>1</v>
      </c>
      <c r="S553" s="182" t="b">
        <f t="shared" si="179"/>
        <v>0</v>
      </c>
      <c r="T553" s="181" t="b">
        <f>COUNTIF('New Items'!$A$1:$A$175,A553)&gt;0</f>
        <v>0</v>
      </c>
      <c r="U553" s="181" t="b">
        <f>COUNTIF(Discontinued!$A$1:$A$150,A553)&gt;0</f>
        <v>0</v>
      </c>
    </row>
    <row r="554" spans="1:21" s="8" customFormat="1" ht="11.25" x14ac:dyDescent="0.2">
      <c r="A554" s="152">
        <v>10133230</v>
      </c>
      <c r="B554" s="10" t="s">
        <v>4020</v>
      </c>
      <c r="C554" s="12" t="s">
        <v>4021</v>
      </c>
      <c r="D554" s="11" t="s">
        <v>1070</v>
      </c>
      <c r="E554" s="118" t="s">
        <v>773</v>
      </c>
      <c r="F554" s="120">
        <v>8</v>
      </c>
      <c r="G554" s="121">
        <f>Overview!$B$29</f>
        <v>16</v>
      </c>
      <c r="H554" s="114">
        <f t="shared" si="174"/>
        <v>16</v>
      </c>
      <c r="I554" s="114">
        <f>Overview!$E$29</f>
        <v>0</v>
      </c>
      <c r="J554" s="115">
        <f t="shared" si="175"/>
        <v>0</v>
      </c>
      <c r="K554" s="116">
        <f>Overview!$H$29</f>
        <v>0</v>
      </c>
      <c r="L554" s="117" t="e">
        <f t="shared" si="176"/>
        <v>#DIV/0!</v>
      </c>
      <c r="M554" s="179" t="s">
        <v>4369</v>
      </c>
      <c r="N554" s="179" t="s">
        <v>3999</v>
      </c>
      <c r="O554" s="141">
        <f t="shared" si="177"/>
        <v>0</v>
      </c>
      <c r="P554" s="181" t="b">
        <f>COUNTIF('Facility Data'!$A$1:$A$1500,"*"&amp;A554&amp;"*")&gt;0</f>
        <v>0</v>
      </c>
      <c r="Q554" s="181" t="b">
        <f>COUNTIF('Account Data'!$A$1:$A$1000,"*"&amp;A554&amp;"*")&gt;0</f>
        <v>0</v>
      </c>
      <c r="R554" s="182" t="b">
        <f t="shared" si="178"/>
        <v>0</v>
      </c>
      <c r="S554" s="182" t="b">
        <f t="shared" si="179"/>
        <v>0</v>
      </c>
      <c r="T554" s="181" t="b">
        <f>COUNTIF('New Items'!$A$1:$A$175,A554)&gt;0</f>
        <v>0</v>
      </c>
      <c r="U554" s="181" t="b">
        <f>COUNTIF(Discontinued!$A$1:$A$150,A554)&gt;0</f>
        <v>0</v>
      </c>
    </row>
    <row r="555" spans="1:21" s="8" customFormat="1" ht="11.25" x14ac:dyDescent="0.2">
      <c r="A555" s="152">
        <v>10063204</v>
      </c>
      <c r="B555" s="10" t="s">
        <v>1585</v>
      </c>
      <c r="C555" s="12" t="s">
        <v>4006</v>
      </c>
      <c r="D555" s="11" t="s">
        <v>1061</v>
      </c>
      <c r="E555" s="118" t="s">
        <v>773</v>
      </c>
      <c r="F555" s="120">
        <v>8</v>
      </c>
      <c r="G555" s="121">
        <f>Overview!$B$29</f>
        <v>16</v>
      </c>
      <c r="H555" s="114">
        <f t="shared" si="174"/>
        <v>16</v>
      </c>
      <c r="I555" s="114">
        <f>Overview!$E$29</f>
        <v>0</v>
      </c>
      <c r="J555" s="115">
        <f t="shared" si="175"/>
        <v>0</v>
      </c>
      <c r="K555" s="116">
        <f>Overview!$H$29</f>
        <v>0</v>
      </c>
      <c r="L555" s="117" t="e">
        <f t="shared" si="176"/>
        <v>#DIV/0!</v>
      </c>
      <c r="M555" s="179" t="s">
        <v>4369</v>
      </c>
      <c r="N555" s="179" t="s">
        <v>3999</v>
      </c>
      <c r="O555" s="141">
        <f t="shared" si="177"/>
        <v>0</v>
      </c>
      <c r="P555" s="181" t="b">
        <f>COUNTIF('Facility Data'!$A$1:$A$1500,"*"&amp;A555&amp;"*")&gt;0</f>
        <v>0</v>
      </c>
      <c r="Q555" s="181" t="b">
        <f>COUNTIF('Account Data'!$A$1:$A$1000,"*"&amp;A555&amp;"*")&gt;0</f>
        <v>0</v>
      </c>
      <c r="R555" s="182" t="b">
        <f t="shared" si="178"/>
        <v>0</v>
      </c>
      <c r="S555" s="182" t="b">
        <f t="shared" si="179"/>
        <v>0</v>
      </c>
      <c r="T555" s="181" t="b">
        <f>COUNTIF('New Items'!$A$1:$A$175,A555)&gt;0</f>
        <v>0</v>
      </c>
      <c r="U555" s="181" t="b">
        <f>COUNTIF(Discontinued!$A$1:$A$150,A555)&gt;0</f>
        <v>0</v>
      </c>
    </row>
    <row r="556" spans="1:21" s="8" customFormat="1" ht="11.25" x14ac:dyDescent="0.2">
      <c r="A556" s="152">
        <v>10119486</v>
      </c>
      <c r="B556" s="10" t="s">
        <v>1587</v>
      </c>
      <c r="C556" s="12" t="s">
        <v>4008</v>
      </c>
      <c r="D556" s="11" t="s">
        <v>1294</v>
      </c>
      <c r="E556" s="118" t="s">
        <v>773</v>
      </c>
      <c r="F556" s="120">
        <v>8</v>
      </c>
      <c r="G556" s="121">
        <f>Overview!$B$29</f>
        <v>16</v>
      </c>
      <c r="H556" s="114">
        <f t="shared" si="174"/>
        <v>16</v>
      </c>
      <c r="I556" s="114">
        <f>Overview!$E$29</f>
        <v>0</v>
      </c>
      <c r="J556" s="115">
        <f t="shared" si="175"/>
        <v>0</v>
      </c>
      <c r="K556" s="116">
        <f>Overview!$H$29</f>
        <v>0</v>
      </c>
      <c r="L556" s="117" t="e">
        <f t="shared" si="176"/>
        <v>#DIV/0!</v>
      </c>
      <c r="M556" s="179" t="s">
        <v>4369</v>
      </c>
      <c r="N556" s="179" t="s">
        <v>3999</v>
      </c>
      <c r="O556" s="141">
        <f t="shared" si="177"/>
        <v>0</v>
      </c>
      <c r="P556" s="181" t="b">
        <f>COUNTIF('Facility Data'!$A$1:$A$1500,"*"&amp;A556&amp;"*")&gt;0</f>
        <v>0</v>
      </c>
      <c r="Q556" s="181" t="b">
        <f>COUNTIF('Account Data'!$A$1:$A$1000,"*"&amp;A556&amp;"*")&gt;0</f>
        <v>0</v>
      </c>
      <c r="R556" s="182" t="b">
        <f t="shared" si="178"/>
        <v>0</v>
      </c>
      <c r="S556" s="182" t="b">
        <f t="shared" si="179"/>
        <v>0</v>
      </c>
      <c r="T556" s="181" t="b">
        <f>COUNTIF('New Items'!$A$1:$A$175,A556)&gt;0</f>
        <v>0</v>
      </c>
      <c r="U556" s="181" t="b">
        <f>COUNTIF(Discontinued!$A$1:$A$150,A556)&gt;0</f>
        <v>0</v>
      </c>
    </row>
    <row r="557" spans="1:21" s="8" customFormat="1" ht="11.25" x14ac:dyDescent="0.2">
      <c r="A557" s="152">
        <v>10026324</v>
      </c>
      <c r="B557" s="10" t="s">
        <v>1583</v>
      </c>
      <c r="C557" s="12" t="s">
        <v>4004</v>
      </c>
      <c r="D557" s="11" t="s">
        <v>634</v>
      </c>
      <c r="E557" s="118" t="s">
        <v>773</v>
      </c>
      <c r="F557" s="120">
        <v>8</v>
      </c>
      <c r="G557" s="121">
        <f>Overview!$B$29</f>
        <v>16</v>
      </c>
      <c r="H557" s="114">
        <f t="shared" si="174"/>
        <v>16</v>
      </c>
      <c r="I557" s="114">
        <f>Overview!$E$29</f>
        <v>0</v>
      </c>
      <c r="J557" s="115">
        <f t="shared" si="175"/>
        <v>0</v>
      </c>
      <c r="K557" s="116">
        <f>Overview!$H$29</f>
        <v>0</v>
      </c>
      <c r="L557" s="117" t="e">
        <f t="shared" si="176"/>
        <v>#DIV/0!</v>
      </c>
      <c r="M557" s="179" t="s">
        <v>4369</v>
      </c>
      <c r="N557" s="179" t="s">
        <v>3999</v>
      </c>
      <c r="O557" s="141">
        <f t="shared" si="177"/>
        <v>0</v>
      </c>
      <c r="P557" s="181" t="b">
        <f>COUNTIF('Facility Data'!$A$1:$A$1500,"*"&amp;A557&amp;"*")&gt;0</f>
        <v>1</v>
      </c>
      <c r="Q557" s="181" t="b">
        <f>COUNTIF('Account Data'!$A$1:$A$1000,"*"&amp;A557&amp;"*")&gt;0</f>
        <v>0</v>
      </c>
      <c r="R557" s="182" t="b">
        <f t="shared" si="178"/>
        <v>1</v>
      </c>
      <c r="S557" s="182" t="b">
        <f t="shared" si="179"/>
        <v>0</v>
      </c>
      <c r="T557" s="181" t="b">
        <f>COUNTIF('New Items'!$A$1:$A$175,A557)&gt;0</f>
        <v>0</v>
      </c>
      <c r="U557" s="181" t="b">
        <f>COUNTIF(Discontinued!$A$1:$A$150,A557)&gt;0</f>
        <v>0</v>
      </c>
    </row>
    <row r="558" spans="1:21" s="8" customFormat="1" ht="11.25" x14ac:dyDescent="0.2">
      <c r="A558" s="152">
        <v>10133232</v>
      </c>
      <c r="B558" s="10" t="s">
        <v>4023</v>
      </c>
      <c r="C558" s="12" t="s">
        <v>4022</v>
      </c>
      <c r="D558" s="11" t="s">
        <v>1054</v>
      </c>
      <c r="E558" s="118" t="s">
        <v>773</v>
      </c>
      <c r="F558" s="120">
        <v>8</v>
      </c>
      <c r="G558" s="121">
        <f>Overview!$B$29</f>
        <v>16</v>
      </c>
      <c r="H558" s="114">
        <f t="shared" si="174"/>
        <v>16</v>
      </c>
      <c r="I558" s="114">
        <f>Overview!$E$29</f>
        <v>0</v>
      </c>
      <c r="J558" s="115">
        <f t="shared" si="175"/>
        <v>0</v>
      </c>
      <c r="K558" s="116">
        <f>Overview!$H$29</f>
        <v>0</v>
      </c>
      <c r="L558" s="117" t="e">
        <f t="shared" si="176"/>
        <v>#DIV/0!</v>
      </c>
      <c r="M558" s="179" t="s">
        <v>4369</v>
      </c>
      <c r="N558" s="179" t="s">
        <v>3999</v>
      </c>
      <c r="O558" s="141">
        <f t="shared" si="177"/>
        <v>0</v>
      </c>
      <c r="P558" s="181" t="b">
        <f>COUNTIF('Facility Data'!$A$1:$A$1500,"*"&amp;A558&amp;"*")&gt;0</f>
        <v>1</v>
      </c>
      <c r="Q558" s="181" t="b">
        <f>COUNTIF('Account Data'!$A$1:$A$1000,"*"&amp;A558&amp;"*")&gt;0</f>
        <v>0</v>
      </c>
      <c r="R558" s="182" t="b">
        <f t="shared" si="178"/>
        <v>1</v>
      </c>
      <c r="S558" s="182" t="b">
        <f t="shared" si="179"/>
        <v>0</v>
      </c>
      <c r="T558" s="181" t="b">
        <f>COUNTIF('New Items'!$A$1:$A$175,A558)&gt;0</f>
        <v>0</v>
      </c>
      <c r="U558" s="181" t="b">
        <f>COUNTIF(Discontinued!$A$1:$A$150,A558)&gt;0</f>
        <v>0</v>
      </c>
    </row>
    <row r="559" spans="1:21" s="8" customFormat="1" ht="11.25" x14ac:dyDescent="0.2">
      <c r="A559" s="152">
        <v>10044944</v>
      </c>
      <c r="B559" s="10" t="s">
        <v>1589</v>
      </c>
      <c r="C559" s="12" t="s">
        <v>4011</v>
      </c>
      <c r="D559" s="11" t="s">
        <v>657</v>
      </c>
      <c r="E559" s="118" t="s">
        <v>773</v>
      </c>
      <c r="F559" s="120">
        <v>8</v>
      </c>
      <c r="G559" s="121">
        <f>Overview!$B$29</f>
        <v>16</v>
      </c>
      <c r="H559" s="114">
        <f t="shared" si="174"/>
        <v>16</v>
      </c>
      <c r="I559" s="114">
        <f>Overview!$E$29</f>
        <v>0</v>
      </c>
      <c r="J559" s="115">
        <f t="shared" si="175"/>
        <v>0</v>
      </c>
      <c r="K559" s="116">
        <f>Overview!$H$29</f>
        <v>0</v>
      </c>
      <c r="L559" s="117" t="e">
        <f t="shared" si="176"/>
        <v>#DIV/0!</v>
      </c>
      <c r="M559" s="179"/>
      <c r="N559" s="179" t="s">
        <v>3999</v>
      </c>
      <c r="O559" s="141">
        <f t="shared" si="177"/>
        <v>0</v>
      </c>
      <c r="P559" s="181" t="b">
        <f>COUNTIF('Facility Data'!$A$1:$A$1500,"*"&amp;A559&amp;"*")&gt;0</f>
        <v>0</v>
      </c>
      <c r="Q559" s="181" t="b">
        <f>COUNTIF('Account Data'!$A$1:$A$1000,"*"&amp;A559&amp;"*")&gt;0</f>
        <v>0</v>
      </c>
      <c r="R559" s="182" t="b">
        <f t="shared" si="178"/>
        <v>0</v>
      </c>
      <c r="S559" s="182" t="b">
        <f t="shared" si="179"/>
        <v>0</v>
      </c>
      <c r="T559" s="181" t="b">
        <f>COUNTIF('New Items'!$A$1:$A$175,A559)&gt;0</f>
        <v>0</v>
      </c>
      <c r="U559" s="181" t="b">
        <f>COUNTIF(Discontinued!$A$1:$A$150,A559)&gt;0</f>
        <v>0</v>
      </c>
    </row>
    <row r="560" spans="1:21" s="8" customFormat="1" ht="12" thickBot="1" x14ac:dyDescent="0.25">
      <c r="A560" s="152">
        <v>10023922</v>
      </c>
      <c r="B560" s="10" t="s">
        <v>277</v>
      </c>
      <c r="C560" s="12" t="s">
        <v>4009</v>
      </c>
      <c r="D560" s="11" t="s">
        <v>656</v>
      </c>
      <c r="E560" s="118" t="s">
        <v>773</v>
      </c>
      <c r="F560" s="120">
        <v>8</v>
      </c>
      <c r="G560" s="121">
        <f>Overview!$B$29</f>
        <v>16</v>
      </c>
      <c r="H560" s="114">
        <f t="shared" si="174"/>
        <v>16</v>
      </c>
      <c r="I560" s="114">
        <f>Overview!$E$29</f>
        <v>0</v>
      </c>
      <c r="J560" s="115">
        <f t="shared" si="175"/>
        <v>0</v>
      </c>
      <c r="K560" s="116">
        <f>Overview!$H$29</f>
        <v>0</v>
      </c>
      <c r="L560" s="117" t="e">
        <f t="shared" si="176"/>
        <v>#DIV/0!</v>
      </c>
      <c r="M560" s="179"/>
      <c r="N560" s="179" t="s">
        <v>3999</v>
      </c>
      <c r="O560" s="141">
        <f t="shared" si="177"/>
        <v>0</v>
      </c>
      <c r="P560" s="181" t="b">
        <f>COUNTIF('Facility Data'!$A$1:$A$1500,"*"&amp;A560&amp;"*")&gt;0</f>
        <v>1</v>
      </c>
      <c r="Q560" s="181" t="b">
        <f>COUNTIF('Account Data'!$A$1:$A$1000,"*"&amp;A560&amp;"*")&gt;0</f>
        <v>1</v>
      </c>
      <c r="R560" s="182" t="b">
        <f t="shared" si="178"/>
        <v>1</v>
      </c>
      <c r="S560" s="182" t="b">
        <f t="shared" si="179"/>
        <v>1</v>
      </c>
      <c r="T560" s="181" t="b">
        <f>COUNTIF('New Items'!$A$1:$A$175,A560)&gt;0</f>
        <v>0</v>
      </c>
      <c r="U560" s="181" t="b">
        <f>COUNTIF(Discontinued!$A$1:$A$150,A560)&gt;0</f>
        <v>0</v>
      </c>
    </row>
    <row r="561" spans="1:21" s="8" customFormat="1" ht="13.5" thickBot="1" x14ac:dyDescent="0.25">
      <c r="A561" s="300" t="s">
        <v>1062</v>
      </c>
      <c r="B561" s="301"/>
      <c r="C561" s="301"/>
      <c r="D561" s="301"/>
      <c r="E561" s="301"/>
      <c r="F561" s="301"/>
      <c r="G561" s="301"/>
      <c r="H561" s="301"/>
      <c r="I561" s="301"/>
      <c r="J561" s="301"/>
      <c r="K561" s="301"/>
      <c r="L561" s="302"/>
      <c r="M561" s="179"/>
      <c r="N561" s="179" t="s">
        <v>1249</v>
      </c>
      <c r="O561" s="141">
        <f>AVERAGE(O562:O568)</f>
        <v>0</v>
      </c>
      <c r="P561" s="181" t="b">
        <f>COUNTIF(P562:P568,TRUE)&gt;0</f>
        <v>0</v>
      </c>
      <c r="Q561" s="181" t="b">
        <f>COUNTIF(Q562:Q568,TRUE)&gt;0</f>
        <v>0</v>
      </c>
      <c r="R561" s="181" t="b">
        <f>COUNTIF(R562:R568,TRUE)&gt;0</f>
        <v>0</v>
      </c>
      <c r="S561" s="181" t="b">
        <f>COUNTIF(S562:S568,TRUE)&gt;0</f>
        <v>0</v>
      </c>
      <c r="T561" s="181" t="b">
        <f>COUNTIF(T562:T568,TRUE)&gt;0</f>
        <v>0</v>
      </c>
      <c r="U561" s="249"/>
    </row>
    <row r="562" spans="1:21" s="8" customFormat="1" ht="11.25" x14ac:dyDescent="0.2">
      <c r="A562" s="152">
        <v>10120951</v>
      </c>
      <c r="B562" s="231" t="s">
        <v>1064</v>
      </c>
      <c r="C562" s="118" t="s">
        <v>1083</v>
      </c>
      <c r="D562" s="119" t="s">
        <v>660</v>
      </c>
      <c r="E562" s="118" t="s">
        <v>773</v>
      </c>
      <c r="F562" s="120">
        <v>8</v>
      </c>
      <c r="G562" s="121">
        <f>Overview!$B$30</f>
        <v>16</v>
      </c>
      <c r="H562" s="114">
        <f t="shared" ref="H562:H568" si="180">G562-I562</f>
        <v>16</v>
      </c>
      <c r="I562" s="114">
        <f>Overview!$E$30</f>
        <v>0</v>
      </c>
      <c r="J562" s="115">
        <f t="shared" ref="J562:J568" si="181">I562/F562</f>
        <v>0</v>
      </c>
      <c r="K562" s="116">
        <f>Overview!$H$30</f>
        <v>0</v>
      </c>
      <c r="L562" s="117" t="e">
        <f t="shared" ref="L562:L568" si="182">(K562-J562)/K562</f>
        <v>#DIV/0!</v>
      </c>
      <c r="M562" s="179"/>
      <c r="N562" s="179" t="s">
        <v>1249</v>
      </c>
      <c r="O562" s="141">
        <f t="shared" ref="O562:O568" si="183">I562</f>
        <v>0</v>
      </c>
      <c r="P562" s="181" t="b">
        <f>COUNTIF('Facility Data'!$A$1:$A$1500,"*"&amp;A562&amp;"*")&gt;0</f>
        <v>0</v>
      </c>
      <c r="Q562" s="181" t="b">
        <f>COUNTIF('Account Data'!$A$1:$A$1000,"*"&amp;A562&amp;"*")&gt;0</f>
        <v>0</v>
      </c>
      <c r="R562" s="182" t="b">
        <f t="shared" ref="R562:R568" si="184">IF(OR(P562=TRUE,T562=TRUE),TRUE,FALSE)</f>
        <v>0</v>
      </c>
      <c r="S562" s="182" t="b">
        <f t="shared" ref="S562:S568" si="185">IF(OR(Q562=TRUE,T562=TRUE),TRUE,FALSE)</f>
        <v>0</v>
      </c>
      <c r="T562" s="181" t="b">
        <f>COUNTIF('New Items'!$A$1:$A$175,A562)&gt;0</f>
        <v>0</v>
      </c>
      <c r="U562" s="181" t="b">
        <f>COUNTIF(Discontinued!$A$1:$A$150,A562)&gt;0</f>
        <v>0</v>
      </c>
    </row>
    <row r="563" spans="1:21" s="8" customFormat="1" ht="11.25" x14ac:dyDescent="0.2">
      <c r="A563" s="152">
        <v>10120822</v>
      </c>
      <c r="B563" s="231" t="s">
        <v>1067</v>
      </c>
      <c r="C563" s="118" t="s">
        <v>1086</v>
      </c>
      <c r="D563" s="119" t="s">
        <v>635</v>
      </c>
      <c r="E563" s="118" t="s">
        <v>773</v>
      </c>
      <c r="F563" s="120">
        <v>8</v>
      </c>
      <c r="G563" s="121">
        <f>Overview!$B$30</f>
        <v>16</v>
      </c>
      <c r="H563" s="114">
        <f t="shared" si="180"/>
        <v>16</v>
      </c>
      <c r="I563" s="114">
        <f>Overview!$E$30</f>
        <v>0</v>
      </c>
      <c r="J563" s="115">
        <f t="shared" si="181"/>
        <v>0</v>
      </c>
      <c r="K563" s="116">
        <f>Overview!$H$30</f>
        <v>0</v>
      </c>
      <c r="L563" s="117" t="e">
        <f t="shared" si="182"/>
        <v>#DIV/0!</v>
      </c>
      <c r="M563" s="179" t="s">
        <v>4369</v>
      </c>
      <c r="N563" s="179" t="s">
        <v>1249</v>
      </c>
      <c r="O563" s="141">
        <f t="shared" si="183"/>
        <v>0</v>
      </c>
      <c r="P563" s="181" t="b">
        <f>COUNTIF('Facility Data'!$A$1:$A$1500,"*"&amp;A563&amp;"*")&gt;0</f>
        <v>0</v>
      </c>
      <c r="Q563" s="181" t="b">
        <f>COUNTIF('Account Data'!$A$1:$A$1000,"*"&amp;A563&amp;"*")&gt;0</f>
        <v>0</v>
      </c>
      <c r="R563" s="182" t="b">
        <f t="shared" si="184"/>
        <v>0</v>
      </c>
      <c r="S563" s="182" t="b">
        <f t="shared" si="185"/>
        <v>0</v>
      </c>
      <c r="T563" s="181" t="b">
        <f>COUNTIF('New Items'!$A$1:$A$175,A563)&gt;0</f>
        <v>0</v>
      </c>
      <c r="U563" s="181" t="b">
        <f>COUNTIF(Discontinued!$A$1:$A$150,A563)&gt;0</f>
        <v>0</v>
      </c>
    </row>
    <row r="564" spans="1:21" s="8" customFormat="1" ht="11.25" x14ac:dyDescent="0.2">
      <c r="A564" s="152">
        <v>10120952</v>
      </c>
      <c r="B564" s="231" t="s">
        <v>1065</v>
      </c>
      <c r="C564" s="118" t="s">
        <v>1084</v>
      </c>
      <c r="D564" s="119" t="s">
        <v>650</v>
      </c>
      <c r="E564" s="118" t="s">
        <v>773</v>
      </c>
      <c r="F564" s="120">
        <v>8</v>
      </c>
      <c r="G564" s="121">
        <f>Overview!$B$30</f>
        <v>16</v>
      </c>
      <c r="H564" s="114">
        <f t="shared" si="180"/>
        <v>16</v>
      </c>
      <c r="I564" s="114">
        <f>Overview!$E$30</f>
        <v>0</v>
      </c>
      <c r="J564" s="115">
        <f t="shared" si="181"/>
        <v>0</v>
      </c>
      <c r="K564" s="116">
        <f>Overview!$H$30</f>
        <v>0</v>
      </c>
      <c r="L564" s="117" t="e">
        <f t="shared" si="182"/>
        <v>#DIV/0!</v>
      </c>
      <c r="M564" s="179" t="s">
        <v>4369</v>
      </c>
      <c r="N564" s="179" t="s">
        <v>1249</v>
      </c>
      <c r="O564" s="141">
        <f t="shared" si="183"/>
        <v>0</v>
      </c>
      <c r="P564" s="181" t="b">
        <f>COUNTIF('Facility Data'!$A$1:$A$1500,"*"&amp;A564&amp;"*")&gt;0</f>
        <v>0</v>
      </c>
      <c r="Q564" s="181" t="b">
        <f>COUNTIF('Account Data'!$A$1:$A$1000,"*"&amp;A564&amp;"*")&gt;0</f>
        <v>0</v>
      </c>
      <c r="R564" s="182" t="b">
        <f t="shared" si="184"/>
        <v>0</v>
      </c>
      <c r="S564" s="182" t="b">
        <f t="shared" si="185"/>
        <v>0</v>
      </c>
      <c r="T564" s="181" t="b">
        <f>COUNTIF('New Items'!$A$1:$A$175,A564)&gt;0</f>
        <v>0</v>
      </c>
      <c r="U564" s="181" t="b">
        <f>COUNTIF(Discontinued!$A$1:$A$150,A564)&gt;0</f>
        <v>0</v>
      </c>
    </row>
    <row r="565" spans="1:21" s="8" customFormat="1" ht="11.25" x14ac:dyDescent="0.2">
      <c r="A565" s="160">
        <v>10128280</v>
      </c>
      <c r="B565" s="231" t="s">
        <v>3784</v>
      </c>
      <c r="C565" s="118" t="s">
        <v>3785</v>
      </c>
      <c r="D565" s="119" t="s">
        <v>1070</v>
      </c>
      <c r="E565" s="118" t="s">
        <v>773</v>
      </c>
      <c r="F565" s="120">
        <v>8</v>
      </c>
      <c r="G565" s="121">
        <f>Overview!$B$30</f>
        <v>16</v>
      </c>
      <c r="H565" s="114">
        <f>G565-I565</f>
        <v>16</v>
      </c>
      <c r="I565" s="114">
        <f>Overview!$E$30</f>
        <v>0</v>
      </c>
      <c r="J565" s="115">
        <f>I565/F565</f>
        <v>0</v>
      </c>
      <c r="K565" s="116">
        <f>Overview!$H$30</f>
        <v>0</v>
      </c>
      <c r="L565" s="117" t="e">
        <f>(K565-J565)/K565</f>
        <v>#DIV/0!</v>
      </c>
      <c r="M565" s="179" t="s">
        <v>4369</v>
      </c>
      <c r="N565" s="179" t="s">
        <v>1249</v>
      </c>
      <c r="O565" s="141">
        <f>I565</f>
        <v>0</v>
      </c>
      <c r="P565" s="181" t="b">
        <f>COUNTIF('Facility Data'!$A$1:$A$1500,"*"&amp;A565&amp;"*")&gt;0</f>
        <v>0</v>
      </c>
      <c r="Q565" s="181" t="b">
        <f>COUNTIF('Account Data'!$A$1:$A$1000,"*"&amp;A565&amp;"*")&gt;0</f>
        <v>0</v>
      </c>
      <c r="R565" s="182" t="b">
        <f t="shared" si="184"/>
        <v>0</v>
      </c>
      <c r="S565" s="182" t="b">
        <f>IF(OR(Q565=TRUE,T565=TRUE),TRUE,FALSE)</f>
        <v>0</v>
      </c>
      <c r="T565" s="181" t="b">
        <f>COUNTIF('New Items'!$A$1:$A$175,A565)&gt;0</f>
        <v>0</v>
      </c>
      <c r="U565" s="181" t="b">
        <f>COUNTIF(Discontinued!$A$1:$A$150,A565)&gt;0</f>
        <v>0</v>
      </c>
    </row>
    <row r="566" spans="1:21" s="8" customFormat="1" ht="11.25" x14ac:dyDescent="0.2">
      <c r="A566" s="152">
        <v>10120823</v>
      </c>
      <c r="B566" s="231" t="s">
        <v>1068</v>
      </c>
      <c r="C566" s="118" t="s">
        <v>1087</v>
      </c>
      <c r="D566" s="119" t="s">
        <v>1061</v>
      </c>
      <c r="E566" s="118" t="s">
        <v>773</v>
      </c>
      <c r="F566" s="120">
        <v>8</v>
      </c>
      <c r="G566" s="121">
        <f>Overview!$B$30</f>
        <v>16</v>
      </c>
      <c r="H566" s="114">
        <f t="shared" si="180"/>
        <v>16</v>
      </c>
      <c r="I566" s="114">
        <f>Overview!$E$30</f>
        <v>0</v>
      </c>
      <c r="J566" s="115">
        <f t="shared" si="181"/>
        <v>0</v>
      </c>
      <c r="K566" s="116">
        <f>Overview!$H$30</f>
        <v>0</v>
      </c>
      <c r="L566" s="117" t="e">
        <f t="shared" si="182"/>
        <v>#DIV/0!</v>
      </c>
      <c r="M566" s="179" t="s">
        <v>4369</v>
      </c>
      <c r="N566" s="179" t="s">
        <v>1249</v>
      </c>
      <c r="O566" s="141">
        <f t="shared" si="183"/>
        <v>0</v>
      </c>
      <c r="P566" s="181" t="b">
        <f>COUNTIF('Facility Data'!$A$1:$A$1500,"*"&amp;A566&amp;"*")&gt;0</f>
        <v>0</v>
      </c>
      <c r="Q566" s="181" t="b">
        <f>COUNTIF('Account Data'!$A$1:$A$1000,"*"&amp;A566&amp;"*")&gt;0</f>
        <v>0</v>
      </c>
      <c r="R566" s="182" t="b">
        <f t="shared" si="184"/>
        <v>0</v>
      </c>
      <c r="S566" s="182" t="b">
        <f t="shared" si="185"/>
        <v>0</v>
      </c>
      <c r="T566" s="181" t="b">
        <f>COUNTIF('New Items'!$A$1:$A$175,A566)&gt;0</f>
        <v>0</v>
      </c>
      <c r="U566" s="181" t="b">
        <f>COUNTIF(Discontinued!$A$1:$A$150,A566)&gt;0</f>
        <v>0</v>
      </c>
    </row>
    <row r="567" spans="1:21" s="8" customFormat="1" ht="11.25" x14ac:dyDescent="0.2">
      <c r="A567" s="152">
        <v>10120821</v>
      </c>
      <c r="B567" s="231" t="s">
        <v>1066</v>
      </c>
      <c r="C567" s="118" t="s">
        <v>1085</v>
      </c>
      <c r="D567" s="119" t="s">
        <v>634</v>
      </c>
      <c r="E567" s="118" t="s">
        <v>773</v>
      </c>
      <c r="F567" s="120">
        <v>8</v>
      </c>
      <c r="G567" s="121">
        <f>Overview!$B$30</f>
        <v>16</v>
      </c>
      <c r="H567" s="114">
        <f t="shared" si="180"/>
        <v>16</v>
      </c>
      <c r="I567" s="114">
        <f>Overview!$E$30</f>
        <v>0</v>
      </c>
      <c r="J567" s="115">
        <f t="shared" si="181"/>
        <v>0</v>
      </c>
      <c r="K567" s="116">
        <f>Overview!$H$30</f>
        <v>0</v>
      </c>
      <c r="L567" s="117" t="e">
        <f t="shared" si="182"/>
        <v>#DIV/0!</v>
      </c>
      <c r="M567" s="179" t="s">
        <v>4369</v>
      </c>
      <c r="N567" s="179" t="s">
        <v>1249</v>
      </c>
      <c r="O567" s="141">
        <f t="shared" si="183"/>
        <v>0</v>
      </c>
      <c r="P567" s="181" t="b">
        <f>COUNTIF('Facility Data'!$A$1:$A$1500,"*"&amp;A567&amp;"*")&gt;0</f>
        <v>0</v>
      </c>
      <c r="Q567" s="181" t="b">
        <f>COUNTIF('Account Data'!$A$1:$A$1000,"*"&amp;A567&amp;"*")&gt;0</f>
        <v>0</v>
      </c>
      <c r="R567" s="182" t="b">
        <f t="shared" si="184"/>
        <v>0</v>
      </c>
      <c r="S567" s="182" t="b">
        <f t="shared" si="185"/>
        <v>0</v>
      </c>
      <c r="T567" s="181" t="b">
        <f>COUNTIF('New Items'!$A$1:$A$175,A567)&gt;0</f>
        <v>0</v>
      </c>
      <c r="U567" s="181" t="b">
        <f>COUNTIF(Discontinued!$A$1:$A$150,A567)&gt;0</f>
        <v>0</v>
      </c>
    </row>
    <row r="568" spans="1:21" s="8" customFormat="1" ht="12" thickBot="1" x14ac:dyDescent="0.25">
      <c r="A568" s="152">
        <v>10023921</v>
      </c>
      <c r="B568" s="231" t="s">
        <v>1063</v>
      </c>
      <c r="C568" s="118" t="s">
        <v>1082</v>
      </c>
      <c r="D568" s="119" t="s">
        <v>656</v>
      </c>
      <c r="E568" s="118" t="s">
        <v>773</v>
      </c>
      <c r="F568" s="120">
        <v>8</v>
      </c>
      <c r="G568" s="121">
        <f>Overview!$B$30</f>
        <v>16</v>
      </c>
      <c r="H568" s="114">
        <f t="shared" si="180"/>
        <v>16</v>
      </c>
      <c r="I568" s="114">
        <f>Overview!$E$30</f>
        <v>0</v>
      </c>
      <c r="J568" s="115">
        <f t="shared" si="181"/>
        <v>0</v>
      </c>
      <c r="K568" s="116">
        <f>Overview!$H$30</f>
        <v>0</v>
      </c>
      <c r="L568" s="117" t="e">
        <f t="shared" si="182"/>
        <v>#DIV/0!</v>
      </c>
      <c r="M568" s="179" t="s">
        <v>952</v>
      </c>
      <c r="N568" s="179" t="s">
        <v>1249</v>
      </c>
      <c r="O568" s="141">
        <f t="shared" si="183"/>
        <v>0</v>
      </c>
      <c r="P568" s="181" t="b">
        <f>COUNTIF('Facility Data'!$A$1:$A$1500,"*"&amp;A568&amp;"*")&gt;0</f>
        <v>0</v>
      </c>
      <c r="Q568" s="181" t="b">
        <f>COUNTIF('Account Data'!$A$1:$A$1000,"*"&amp;A568&amp;"*")&gt;0</f>
        <v>0</v>
      </c>
      <c r="R568" s="182" t="b">
        <f t="shared" si="184"/>
        <v>0</v>
      </c>
      <c r="S568" s="182" t="b">
        <f t="shared" si="185"/>
        <v>0</v>
      </c>
      <c r="T568" s="181" t="b">
        <f>COUNTIF('New Items'!$A$1:$A$175,A568)&gt;0</f>
        <v>0</v>
      </c>
      <c r="U568" s="181" t="b">
        <f>COUNTIF(Discontinued!$A$1:$A$150,A568)&gt;0</f>
        <v>0</v>
      </c>
    </row>
    <row r="569" spans="1:21" s="8" customFormat="1" ht="13.5" thickBot="1" x14ac:dyDescent="0.25">
      <c r="A569" s="300" t="s">
        <v>1069</v>
      </c>
      <c r="B569" s="301"/>
      <c r="C569" s="301"/>
      <c r="D569" s="301"/>
      <c r="E569" s="301"/>
      <c r="F569" s="301"/>
      <c r="G569" s="301"/>
      <c r="H569" s="301"/>
      <c r="I569" s="301"/>
      <c r="J569" s="301"/>
      <c r="K569" s="301"/>
      <c r="L569" s="302"/>
      <c r="M569" s="179"/>
      <c r="N569" s="179" t="s">
        <v>1250</v>
      </c>
      <c r="O569" s="141">
        <f>AVERAGE(O570:O580)</f>
        <v>0</v>
      </c>
      <c r="P569" s="181" t="b">
        <f>COUNTIF(P570:P580,TRUE)&gt;0</f>
        <v>1</v>
      </c>
      <c r="Q569" s="181" t="b">
        <f>COUNTIF(Q570:Q580,TRUE)&gt;0</f>
        <v>0</v>
      </c>
      <c r="R569" s="181" t="b">
        <f>COUNTIF(R570:R580,TRUE)&gt;0</f>
        <v>1</v>
      </c>
      <c r="S569" s="181" t="b">
        <f>COUNTIF(S570:S580,TRUE)&gt;0</f>
        <v>0</v>
      </c>
      <c r="T569" s="181" t="b">
        <f>COUNTIF(T570:T580,TRUE)&gt;0</f>
        <v>0</v>
      </c>
      <c r="U569" s="249"/>
    </row>
    <row r="570" spans="1:21" s="8" customFormat="1" ht="11.25" x14ac:dyDescent="0.2">
      <c r="A570" s="152">
        <v>10121412</v>
      </c>
      <c r="B570" s="231" t="s">
        <v>1073</v>
      </c>
      <c r="C570" s="118" t="s">
        <v>1090</v>
      </c>
      <c r="D570" s="119" t="s">
        <v>640</v>
      </c>
      <c r="E570" s="118" t="s">
        <v>773</v>
      </c>
      <c r="F570" s="120">
        <v>8</v>
      </c>
      <c r="G570" s="121">
        <f>Overview!$B$31</f>
        <v>16</v>
      </c>
      <c r="H570" s="114">
        <f t="shared" ref="H570:H580" si="186">G570-I570</f>
        <v>16</v>
      </c>
      <c r="I570" s="114">
        <f>Overview!$E$31</f>
        <v>0</v>
      </c>
      <c r="J570" s="115">
        <f t="shared" ref="J570:J580" si="187">I570/F570</f>
        <v>0</v>
      </c>
      <c r="K570" s="116">
        <f>Overview!$H$31</f>
        <v>0</v>
      </c>
      <c r="L570" s="117" t="e">
        <f t="shared" ref="L570:L580" si="188">(K570-J570)/K570</f>
        <v>#DIV/0!</v>
      </c>
      <c r="M570" s="179"/>
      <c r="N570" s="179" t="s">
        <v>1250</v>
      </c>
      <c r="O570" s="141">
        <f t="shared" ref="O570:O580" si="189">I570</f>
        <v>0</v>
      </c>
      <c r="P570" s="181" t="b">
        <f>COUNTIF('Facility Data'!$A$1:$A$1500,"*"&amp;A570&amp;"*")&gt;0</f>
        <v>0</v>
      </c>
      <c r="Q570" s="181" t="b">
        <f>COUNTIF('Account Data'!$A$1:$A$1000,"*"&amp;A570&amp;"*")&gt;0</f>
        <v>0</v>
      </c>
      <c r="R570" s="182" t="b">
        <f t="shared" ref="R570:R580" si="190">IF(OR(P570=TRUE,T570=TRUE),TRUE,FALSE)</f>
        <v>0</v>
      </c>
      <c r="S570" s="182" t="b">
        <f t="shared" ref="S570:S580" si="191">IF(OR(Q570=TRUE,T570=TRUE),TRUE,FALSE)</f>
        <v>0</v>
      </c>
      <c r="T570" s="181" t="b">
        <f>COUNTIF('New Items'!$A$1:$A$175,A570)&gt;0</f>
        <v>0</v>
      </c>
      <c r="U570" s="181" t="b">
        <f>COUNTIF(Discontinued!$A$1:$A$150,A570)&gt;0</f>
        <v>0</v>
      </c>
    </row>
    <row r="571" spans="1:21" s="8" customFormat="1" ht="11.25" x14ac:dyDescent="0.2">
      <c r="A571" s="152">
        <v>10120765</v>
      </c>
      <c r="B571" s="231" t="s">
        <v>1075</v>
      </c>
      <c r="C571" s="118" t="s">
        <v>1092</v>
      </c>
      <c r="D571" s="119" t="s">
        <v>659</v>
      </c>
      <c r="E571" s="118" t="s">
        <v>773</v>
      </c>
      <c r="F571" s="120">
        <v>8</v>
      </c>
      <c r="G571" s="121">
        <f>Overview!$B$31</f>
        <v>16</v>
      </c>
      <c r="H571" s="114">
        <f t="shared" si="186"/>
        <v>16</v>
      </c>
      <c r="I571" s="114">
        <f>Overview!$E$31</f>
        <v>0</v>
      </c>
      <c r="J571" s="115">
        <f t="shared" si="187"/>
        <v>0</v>
      </c>
      <c r="K571" s="116">
        <f>Overview!$H$31</f>
        <v>0</v>
      </c>
      <c r="L571" s="117" t="e">
        <f t="shared" si="188"/>
        <v>#DIV/0!</v>
      </c>
      <c r="M571" s="179"/>
      <c r="N571" s="179" t="s">
        <v>1250</v>
      </c>
      <c r="O571" s="141">
        <f t="shared" si="189"/>
        <v>0</v>
      </c>
      <c r="P571" s="181" t="b">
        <f>COUNTIF('Facility Data'!$A$1:$A$1500,"*"&amp;A571&amp;"*")&gt;0</f>
        <v>0</v>
      </c>
      <c r="Q571" s="181" t="b">
        <f>COUNTIF('Account Data'!$A$1:$A$1000,"*"&amp;A571&amp;"*")&gt;0</f>
        <v>0</v>
      </c>
      <c r="R571" s="182" t="b">
        <f t="shared" si="190"/>
        <v>0</v>
      </c>
      <c r="S571" s="182" t="b">
        <f t="shared" si="191"/>
        <v>0</v>
      </c>
      <c r="T571" s="181" t="b">
        <f>COUNTIF('New Items'!$A$1:$A$175,A571)&gt;0</f>
        <v>0</v>
      </c>
      <c r="U571" s="181" t="b">
        <f>COUNTIF(Discontinued!$A$1:$A$150,A571)&gt;0</f>
        <v>0</v>
      </c>
    </row>
    <row r="572" spans="1:21" s="8" customFormat="1" ht="11.25" x14ac:dyDescent="0.2">
      <c r="A572" s="152">
        <v>10120771</v>
      </c>
      <c r="B572" s="231" t="s">
        <v>1074</v>
      </c>
      <c r="C572" s="118" t="s">
        <v>1091</v>
      </c>
      <c r="D572" s="119" t="s">
        <v>639</v>
      </c>
      <c r="E572" s="118" t="s">
        <v>773</v>
      </c>
      <c r="F572" s="120">
        <v>8</v>
      </c>
      <c r="G572" s="121">
        <f>Overview!$B$31</f>
        <v>16</v>
      </c>
      <c r="H572" s="114">
        <f t="shared" si="186"/>
        <v>16</v>
      </c>
      <c r="I572" s="114">
        <f>Overview!$E$31</f>
        <v>0</v>
      </c>
      <c r="J572" s="115">
        <f t="shared" si="187"/>
        <v>0</v>
      </c>
      <c r="K572" s="116">
        <f>Overview!$H$31</f>
        <v>0</v>
      </c>
      <c r="L572" s="117" t="e">
        <f t="shared" si="188"/>
        <v>#DIV/0!</v>
      </c>
      <c r="M572" s="179" t="s">
        <v>930</v>
      </c>
      <c r="N572" s="179" t="s">
        <v>1250</v>
      </c>
      <c r="O572" s="141">
        <f t="shared" si="189"/>
        <v>0</v>
      </c>
      <c r="P572" s="181" t="b">
        <f>COUNTIF('Facility Data'!$A$1:$A$1500,"*"&amp;A572&amp;"*")&gt;0</f>
        <v>0</v>
      </c>
      <c r="Q572" s="181" t="b">
        <f>COUNTIF('Account Data'!$A$1:$A$1000,"*"&amp;A572&amp;"*")&gt;0</f>
        <v>0</v>
      </c>
      <c r="R572" s="182" t="b">
        <f t="shared" si="190"/>
        <v>0</v>
      </c>
      <c r="S572" s="182" t="b">
        <f t="shared" si="191"/>
        <v>0</v>
      </c>
      <c r="T572" s="181" t="b">
        <f>COUNTIF('New Items'!$A$1:$A$175,A572)&gt;0</f>
        <v>0</v>
      </c>
      <c r="U572" s="181" t="b">
        <f>COUNTIF(Discontinued!$A$1:$A$150,A572)&gt;0</f>
        <v>0</v>
      </c>
    </row>
    <row r="573" spans="1:21" s="8" customFormat="1" ht="11.25" x14ac:dyDescent="0.2">
      <c r="A573" s="152">
        <v>10120764</v>
      </c>
      <c r="B573" s="231" t="s">
        <v>1076</v>
      </c>
      <c r="C573" s="118" t="s">
        <v>1093</v>
      </c>
      <c r="D573" s="119" t="s">
        <v>660</v>
      </c>
      <c r="E573" s="118" t="s">
        <v>773</v>
      </c>
      <c r="F573" s="120">
        <v>8</v>
      </c>
      <c r="G573" s="121">
        <f>Overview!$B$31</f>
        <v>16</v>
      </c>
      <c r="H573" s="114">
        <f t="shared" si="186"/>
        <v>16</v>
      </c>
      <c r="I573" s="114">
        <f>Overview!$E$31</f>
        <v>0</v>
      </c>
      <c r="J573" s="115">
        <f t="shared" si="187"/>
        <v>0</v>
      </c>
      <c r="K573" s="116">
        <f>Overview!$H$31</f>
        <v>0</v>
      </c>
      <c r="L573" s="117" t="e">
        <f t="shared" si="188"/>
        <v>#DIV/0!</v>
      </c>
      <c r="M573" s="179"/>
      <c r="N573" s="179" t="s">
        <v>1250</v>
      </c>
      <c r="O573" s="141">
        <f t="shared" si="189"/>
        <v>0</v>
      </c>
      <c r="P573" s="181" t="b">
        <f>COUNTIF('Facility Data'!$A$1:$A$1500,"*"&amp;A573&amp;"*")&gt;0</f>
        <v>1</v>
      </c>
      <c r="Q573" s="181" t="b">
        <f>COUNTIF('Account Data'!$A$1:$A$1000,"*"&amp;A573&amp;"*")&gt;0</f>
        <v>0</v>
      </c>
      <c r="R573" s="182" t="b">
        <f t="shared" si="190"/>
        <v>1</v>
      </c>
      <c r="S573" s="182" t="b">
        <f t="shared" si="191"/>
        <v>0</v>
      </c>
      <c r="T573" s="181" t="b">
        <f>COUNTIF('New Items'!$A$1:$A$175,A573)&gt;0</f>
        <v>0</v>
      </c>
      <c r="U573" s="181" t="b">
        <f>COUNTIF(Discontinued!$A$1:$A$150,A573)&gt;0</f>
        <v>0</v>
      </c>
    </row>
    <row r="574" spans="1:21" s="8" customFormat="1" ht="11.25" x14ac:dyDescent="0.2">
      <c r="A574" s="152">
        <v>10120770</v>
      </c>
      <c r="B574" s="231" t="s">
        <v>1079</v>
      </c>
      <c r="C574" s="118" t="s">
        <v>1096</v>
      </c>
      <c r="D574" s="119" t="s">
        <v>635</v>
      </c>
      <c r="E574" s="118" t="s">
        <v>773</v>
      </c>
      <c r="F574" s="120">
        <v>8</v>
      </c>
      <c r="G574" s="121">
        <f>Overview!$B$31</f>
        <v>16</v>
      </c>
      <c r="H574" s="114">
        <f t="shared" si="186"/>
        <v>16</v>
      </c>
      <c r="I574" s="114">
        <f>Overview!$E$31</f>
        <v>0</v>
      </c>
      <c r="J574" s="115">
        <f t="shared" si="187"/>
        <v>0</v>
      </c>
      <c r="K574" s="116">
        <f>Overview!$H$31</f>
        <v>0</v>
      </c>
      <c r="L574" s="117" t="e">
        <f t="shared" si="188"/>
        <v>#DIV/0!</v>
      </c>
      <c r="M574" s="179" t="s">
        <v>4369</v>
      </c>
      <c r="N574" s="179" t="s">
        <v>1250</v>
      </c>
      <c r="O574" s="141">
        <f t="shared" si="189"/>
        <v>0</v>
      </c>
      <c r="P574" s="181" t="b">
        <f>COUNTIF('Facility Data'!$A$1:$A$1500,"*"&amp;A574&amp;"*")&gt;0</f>
        <v>1</v>
      </c>
      <c r="Q574" s="181" t="b">
        <f>COUNTIF('Account Data'!$A$1:$A$1000,"*"&amp;A574&amp;"*")&gt;0</f>
        <v>0</v>
      </c>
      <c r="R574" s="182" t="b">
        <f t="shared" si="190"/>
        <v>1</v>
      </c>
      <c r="S574" s="182" t="b">
        <f t="shared" si="191"/>
        <v>0</v>
      </c>
      <c r="T574" s="181" t="b">
        <f>COUNTIF('New Items'!$A$1:$A$175,A574)&gt;0</f>
        <v>0</v>
      </c>
      <c r="U574" s="181" t="b">
        <f>COUNTIF(Discontinued!$A$1:$A$150,A574)&gt;0</f>
        <v>0</v>
      </c>
    </row>
    <row r="575" spans="1:21" s="8" customFormat="1" ht="11.25" x14ac:dyDescent="0.2">
      <c r="A575" s="152">
        <v>10120772</v>
      </c>
      <c r="B575" s="231" t="s">
        <v>1077</v>
      </c>
      <c r="C575" s="118" t="s">
        <v>1094</v>
      </c>
      <c r="D575" s="119" t="s">
        <v>650</v>
      </c>
      <c r="E575" s="118" t="s">
        <v>773</v>
      </c>
      <c r="F575" s="120">
        <v>8</v>
      </c>
      <c r="G575" s="121">
        <f>Overview!$B$31</f>
        <v>16</v>
      </c>
      <c r="H575" s="114">
        <f t="shared" si="186"/>
        <v>16</v>
      </c>
      <c r="I575" s="114">
        <f>Overview!$E$31</f>
        <v>0</v>
      </c>
      <c r="J575" s="115">
        <f t="shared" si="187"/>
        <v>0</v>
      </c>
      <c r="K575" s="116">
        <f>Overview!$H$31</f>
        <v>0</v>
      </c>
      <c r="L575" s="117" t="e">
        <f t="shared" si="188"/>
        <v>#DIV/0!</v>
      </c>
      <c r="M575" s="179" t="s">
        <v>4369</v>
      </c>
      <c r="N575" s="179" t="s">
        <v>1250</v>
      </c>
      <c r="O575" s="141">
        <f t="shared" si="189"/>
        <v>0</v>
      </c>
      <c r="P575" s="181" t="b">
        <f>COUNTIF('Facility Data'!$A$1:$A$1500,"*"&amp;A575&amp;"*")&gt;0</f>
        <v>1</v>
      </c>
      <c r="Q575" s="181" t="b">
        <f>COUNTIF('Account Data'!$A$1:$A$1000,"*"&amp;A575&amp;"*")&gt;0</f>
        <v>0</v>
      </c>
      <c r="R575" s="182" t="b">
        <f t="shared" si="190"/>
        <v>1</v>
      </c>
      <c r="S575" s="182" t="b">
        <f t="shared" si="191"/>
        <v>0</v>
      </c>
      <c r="T575" s="181" t="b">
        <f>COUNTIF('New Items'!$A$1:$A$175,A575)&gt;0</f>
        <v>0</v>
      </c>
      <c r="U575" s="181" t="b">
        <f>COUNTIF(Discontinued!$A$1:$A$150,A575)&gt;0</f>
        <v>0</v>
      </c>
    </row>
    <row r="576" spans="1:21" s="8" customFormat="1" ht="11.25" x14ac:dyDescent="0.2">
      <c r="A576" s="152">
        <v>10120769</v>
      </c>
      <c r="B576" s="231" t="s">
        <v>1081</v>
      </c>
      <c r="C576" s="118" t="s">
        <v>1098</v>
      </c>
      <c r="D576" s="119" t="s">
        <v>1070</v>
      </c>
      <c r="E576" s="118" t="s">
        <v>773</v>
      </c>
      <c r="F576" s="120">
        <v>8</v>
      </c>
      <c r="G576" s="121">
        <f>Overview!$B$31</f>
        <v>16</v>
      </c>
      <c r="H576" s="114">
        <f t="shared" si="186"/>
        <v>16</v>
      </c>
      <c r="I576" s="114">
        <f>Overview!$E$31</f>
        <v>0</v>
      </c>
      <c r="J576" s="115">
        <f t="shared" si="187"/>
        <v>0</v>
      </c>
      <c r="K576" s="116">
        <f>Overview!$H$31</f>
        <v>0</v>
      </c>
      <c r="L576" s="117" t="e">
        <f t="shared" si="188"/>
        <v>#DIV/0!</v>
      </c>
      <c r="M576" s="179" t="s">
        <v>4369</v>
      </c>
      <c r="N576" s="179" t="s">
        <v>1250</v>
      </c>
      <c r="O576" s="141">
        <f t="shared" si="189"/>
        <v>0</v>
      </c>
      <c r="P576" s="181" t="b">
        <f>COUNTIF('Facility Data'!$A$1:$A$1500,"*"&amp;A576&amp;"*")&gt;0</f>
        <v>0</v>
      </c>
      <c r="Q576" s="181" t="b">
        <f>COUNTIF('Account Data'!$A$1:$A$1000,"*"&amp;A576&amp;"*")&gt;0</f>
        <v>0</v>
      </c>
      <c r="R576" s="182" t="b">
        <f t="shared" si="190"/>
        <v>0</v>
      </c>
      <c r="S576" s="182" t="b">
        <f t="shared" si="191"/>
        <v>0</v>
      </c>
      <c r="T576" s="181" t="b">
        <f>COUNTIF('New Items'!$A$1:$A$175,A576)&gt;0</f>
        <v>0</v>
      </c>
      <c r="U576" s="181" t="b">
        <f>COUNTIF(Discontinued!$A$1:$A$150,A576)&gt;0</f>
        <v>0</v>
      </c>
    </row>
    <row r="577" spans="1:21" s="8" customFormat="1" ht="11.25" x14ac:dyDescent="0.2">
      <c r="A577" s="152">
        <v>10120766</v>
      </c>
      <c r="B577" s="231" t="s">
        <v>1080</v>
      </c>
      <c r="C577" s="118" t="s">
        <v>1097</v>
      </c>
      <c r="D577" s="119" t="s">
        <v>1061</v>
      </c>
      <c r="E577" s="118" t="s">
        <v>773</v>
      </c>
      <c r="F577" s="120">
        <v>8</v>
      </c>
      <c r="G577" s="121">
        <f>Overview!$B$31</f>
        <v>16</v>
      </c>
      <c r="H577" s="114">
        <f t="shared" si="186"/>
        <v>16</v>
      </c>
      <c r="I577" s="114">
        <f>Overview!$E$31</f>
        <v>0</v>
      </c>
      <c r="J577" s="115">
        <f t="shared" si="187"/>
        <v>0</v>
      </c>
      <c r="K577" s="116">
        <f>Overview!$H$31</f>
        <v>0</v>
      </c>
      <c r="L577" s="117" t="e">
        <f t="shared" si="188"/>
        <v>#DIV/0!</v>
      </c>
      <c r="M577" s="179" t="s">
        <v>4369</v>
      </c>
      <c r="N577" s="179" t="s">
        <v>1250</v>
      </c>
      <c r="O577" s="141">
        <f t="shared" si="189"/>
        <v>0</v>
      </c>
      <c r="P577" s="181" t="b">
        <f>COUNTIF('Facility Data'!$A$1:$A$1500,"*"&amp;A577&amp;"*")&gt;0</f>
        <v>0</v>
      </c>
      <c r="Q577" s="181" t="b">
        <f>COUNTIF('Account Data'!$A$1:$A$1000,"*"&amp;A577&amp;"*")&gt;0</f>
        <v>0</v>
      </c>
      <c r="R577" s="182" t="b">
        <f t="shared" si="190"/>
        <v>0</v>
      </c>
      <c r="S577" s="182" t="b">
        <f t="shared" si="191"/>
        <v>0</v>
      </c>
      <c r="T577" s="181" t="b">
        <f>COUNTIF('New Items'!$A$1:$A$175,A577)&gt;0</f>
        <v>0</v>
      </c>
      <c r="U577" s="181" t="b">
        <f>COUNTIF(Discontinued!$A$1:$A$150,A577)&gt;0</f>
        <v>0</v>
      </c>
    </row>
    <row r="578" spans="1:21" s="8" customFormat="1" ht="11.25" x14ac:dyDescent="0.2">
      <c r="A578" s="152">
        <v>10120767</v>
      </c>
      <c r="B578" s="231" t="s">
        <v>1078</v>
      </c>
      <c r="C578" s="118" t="s">
        <v>1095</v>
      </c>
      <c r="D578" s="119" t="s">
        <v>634</v>
      </c>
      <c r="E578" s="118" t="s">
        <v>773</v>
      </c>
      <c r="F578" s="120">
        <v>8</v>
      </c>
      <c r="G578" s="121">
        <f>Overview!$B$31</f>
        <v>16</v>
      </c>
      <c r="H578" s="114">
        <f t="shared" si="186"/>
        <v>16</v>
      </c>
      <c r="I578" s="114">
        <f>Overview!$E$31</f>
        <v>0</v>
      </c>
      <c r="J578" s="115">
        <f t="shared" si="187"/>
        <v>0</v>
      </c>
      <c r="K578" s="116">
        <f>Overview!$H$31</f>
        <v>0</v>
      </c>
      <c r="L578" s="117" t="e">
        <f t="shared" si="188"/>
        <v>#DIV/0!</v>
      </c>
      <c r="M578" s="179" t="s">
        <v>4369</v>
      </c>
      <c r="N578" s="179" t="s">
        <v>1250</v>
      </c>
      <c r="O578" s="141">
        <f t="shared" si="189"/>
        <v>0</v>
      </c>
      <c r="P578" s="181" t="b">
        <f>COUNTIF('Facility Data'!$A$1:$A$1500,"*"&amp;A578&amp;"*")&gt;0</f>
        <v>1</v>
      </c>
      <c r="Q578" s="181" t="b">
        <f>COUNTIF('Account Data'!$A$1:$A$1000,"*"&amp;A578&amp;"*")&gt;0</f>
        <v>0</v>
      </c>
      <c r="R578" s="182" t="b">
        <f t="shared" si="190"/>
        <v>1</v>
      </c>
      <c r="S578" s="182" t="b">
        <f t="shared" si="191"/>
        <v>0</v>
      </c>
      <c r="T578" s="181" t="b">
        <f>COUNTIF('New Items'!$A$1:$A$175,A578)&gt;0</f>
        <v>0</v>
      </c>
      <c r="U578" s="181" t="b">
        <f>COUNTIF(Discontinued!$A$1:$A$150,A578)&gt;0</f>
        <v>0</v>
      </c>
    </row>
    <row r="579" spans="1:21" s="8" customFormat="1" ht="11.25" x14ac:dyDescent="0.2">
      <c r="A579" s="152">
        <v>10121439</v>
      </c>
      <c r="B579" s="231" t="s">
        <v>1072</v>
      </c>
      <c r="C579" s="118" t="s">
        <v>1089</v>
      </c>
      <c r="D579" s="119" t="s">
        <v>657</v>
      </c>
      <c r="E579" s="118" t="s">
        <v>773</v>
      </c>
      <c r="F579" s="120">
        <v>8</v>
      </c>
      <c r="G579" s="121">
        <f>Overview!$B$31</f>
        <v>16</v>
      </c>
      <c r="H579" s="114">
        <f t="shared" si="186"/>
        <v>16</v>
      </c>
      <c r="I579" s="114">
        <f>Overview!$E$31</f>
        <v>0</v>
      </c>
      <c r="J579" s="115">
        <f t="shared" si="187"/>
        <v>0</v>
      </c>
      <c r="K579" s="116">
        <f>Overview!$H$31</f>
        <v>0</v>
      </c>
      <c r="L579" s="117" t="e">
        <f t="shared" si="188"/>
        <v>#DIV/0!</v>
      </c>
      <c r="M579" s="179"/>
      <c r="N579" s="179" t="s">
        <v>1250</v>
      </c>
      <c r="O579" s="141">
        <f t="shared" si="189"/>
        <v>0</v>
      </c>
      <c r="P579" s="181" t="b">
        <f>COUNTIF('Facility Data'!$A$1:$A$1500,"*"&amp;A579&amp;"*")&gt;0</f>
        <v>0</v>
      </c>
      <c r="Q579" s="181" t="b">
        <f>COUNTIF('Account Data'!$A$1:$A$1000,"*"&amp;A579&amp;"*")&gt;0</f>
        <v>0</v>
      </c>
      <c r="R579" s="182" t="b">
        <f t="shared" si="190"/>
        <v>0</v>
      </c>
      <c r="S579" s="182" t="b">
        <f t="shared" si="191"/>
        <v>0</v>
      </c>
      <c r="T579" s="181" t="b">
        <f>COUNTIF('New Items'!$A$1:$A$175,A579)&gt;0</f>
        <v>0</v>
      </c>
      <c r="U579" s="181" t="b">
        <f>COUNTIF(Discontinued!$A$1:$A$150,A579)&gt;0</f>
        <v>0</v>
      </c>
    </row>
    <row r="580" spans="1:21" s="8" customFormat="1" ht="12" thickBot="1" x14ac:dyDescent="0.25">
      <c r="A580" s="152">
        <v>10120768</v>
      </c>
      <c r="B580" s="231" t="s">
        <v>1071</v>
      </c>
      <c r="C580" s="118" t="s">
        <v>1088</v>
      </c>
      <c r="D580" s="119" t="s">
        <v>656</v>
      </c>
      <c r="E580" s="118" t="s">
        <v>773</v>
      </c>
      <c r="F580" s="120">
        <v>8</v>
      </c>
      <c r="G580" s="121">
        <f>Overview!$B$31</f>
        <v>16</v>
      </c>
      <c r="H580" s="114">
        <f t="shared" si="186"/>
        <v>16</v>
      </c>
      <c r="I580" s="114">
        <f>Overview!$E$31</f>
        <v>0</v>
      </c>
      <c r="J580" s="115">
        <f t="shared" si="187"/>
        <v>0</v>
      </c>
      <c r="K580" s="116">
        <f>Overview!$H$31</f>
        <v>0</v>
      </c>
      <c r="L580" s="117" t="e">
        <f t="shared" si="188"/>
        <v>#DIV/0!</v>
      </c>
      <c r="M580" s="179" t="s">
        <v>952</v>
      </c>
      <c r="N580" s="179" t="s">
        <v>1250</v>
      </c>
      <c r="O580" s="141">
        <f t="shared" si="189"/>
        <v>0</v>
      </c>
      <c r="P580" s="181" t="b">
        <f>COUNTIF('Facility Data'!$A$1:$A$1500,"*"&amp;A580&amp;"*")&gt;0</f>
        <v>1</v>
      </c>
      <c r="Q580" s="181" t="b">
        <f>COUNTIF('Account Data'!$A$1:$A$1000,"*"&amp;A580&amp;"*")&gt;0</f>
        <v>0</v>
      </c>
      <c r="R580" s="182" t="b">
        <f t="shared" si="190"/>
        <v>1</v>
      </c>
      <c r="S580" s="182" t="b">
        <f t="shared" si="191"/>
        <v>0</v>
      </c>
      <c r="T580" s="181" t="b">
        <f>COUNTIF('New Items'!$A$1:$A$175,A580)&gt;0</f>
        <v>0</v>
      </c>
      <c r="U580" s="181" t="b">
        <f>COUNTIF(Discontinued!$A$1:$A$150,A580)&gt;0</f>
        <v>0</v>
      </c>
    </row>
    <row r="581" spans="1:21" s="8" customFormat="1" ht="13.5" thickBot="1" x14ac:dyDescent="0.25">
      <c r="A581" s="300" t="s">
        <v>2934</v>
      </c>
      <c r="B581" s="301"/>
      <c r="C581" s="301"/>
      <c r="D581" s="301"/>
      <c r="E581" s="301"/>
      <c r="F581" s="301"/>
      <c r="G581" s="301"/>
      <c r="H581" s="301"/>
      <c r="I581" s="301"/>
      <c r="J581" s="301"/>
      <c r="K581" s="301"/>
      <c r="L581" s="302"/>
      <c r="M581" s="179"/>
      <c r="N581" s="179" t="s">
        <v>3125</v>
      </c>
      <c r="O581" s="141">
        <f>AVERAGE(O582:O591)</f>
        <v>0</v>
      </c>
      <c r="P581" s="181" t="b">
        <f>COUNTIF(P582:P591,TRUE)&gt;0</f>
        <v>0</v>
      </c>
      <c r="Q581" s="181" t="b">
        <f>COUNTIF(Q582:Q591,TRUE)&gt;0</f>
        <v>0</v>
      </c>
      <c r="R581" s="181" t="b">
        <f>COUNTIF(R582:R591,TRUE)&gt;0</f>
        <v>0</v>
      </c>
      <c r="S581" s="181" t="b">
        <f>COUNTIF(S582:S591,TRUE)&gt;0</f>
        <v>0</v>
      </c>
      <c r="T581" s="181" t="b">
        <f>COUNTIF(T582:T591,TRUE)&gt;0</f>
        <v>0</v>
      </c>
      <c r="U581" s="249"/>
    </row>
    <row r="582" spans="1:21" s="8" customFormat="1" ht="11.25" x14ac:dyDescent="0.2">
      <c r="A582" s="152">
        <v>20004221</v>
      </c>
      <c r="B582" s="10" t="s">
        <v>2856</v>
      </c>
      <c r="C582" s="12" t="s">
        <v>244</v>
      </c>
      <c r="D582" s="11" t="s">
        <v>652</v>
      </c>
      <c r="E582" s="12" t="s">
        <v>773</v>
      </c>
      <c r="F582" s="13">
        <v>6</v>
      </c>
      <c r="G582" s="22">
        <f>Overview!$B$32</f>
        <v>8.5</v>
      </c>
      <c r="H582" s="114">
        <f t="shared" ref="H582:H591" si="192">G582-I582</f>
        <v>8.5</v>
      </c>
      <c r="I582" s="114">
        <f>Overview!$E$32</f>
        <v>0</v>
      </c>
      <c r="J582" s="115">
        <f t="shared" ref="J582:J591" si="193">I582/F582</f>
        <v>0</v>
      </c>
      <c r="K582" s="116">
        <f>Overview!$H$32</f>
        <v>0</v>
      </c>
      <c r="L582" s="117" t="e">
        <f t="shared" ref="L582:L591" si="194">(K582-J582)/K582</f>
        <v>#DIV/0!</v>
      </c>
      <c r="M582" s="179"/>
      <c r="N582" s="179" t="s">
        <v>3125</v>
      </c>
      <c r="O582" s="141">
        <f t="shared" ref="O582:O591" si="195">I582</f>
        <v>0</v>
      </c>
      <c r="P582" s="181" t="b">
        <f>COUNTIF('Facility Data'!$A$1:$A$1500,"*"&amp;A582&amp;"*")&gt;0</f>
        <v>0</v>
      </c>
      <c r="Q582" s="181" t="b">
        <f>COUNTIF('Account Data'!$A$1:$A$1000,"*"&amp;A582&amp;"*")&gt;0</f>
        <v>0</v>
      </c>
      <c r="R582" s="182" t="b">
        <f t="shared" ref="R582:R591" si="196">IF(OR(P582=TRUE,T582=TRUE),TRUE,FALSE)</f>
        <v>0</v>
      </c>
      <c r="S582" s="182" t="b">
        <f t="shared" ref="S582:S591" si="197">IF(OR(Q582=TRUE,T582=TRUE),TRUE,FALSE)</f>
        <v>0</v>
      </c>
      <c r="T582" s="181" t="b">
        <f>COUNTIF('New Items'!$A$1:$A$175,A582)&gt;0</f>
        <v>0</v>
      </c>
      <c r="U582" s="181" t="b">
        <f>COUNTIF(Discontinued!$A$1:$A$150,A582)&gt;0</f>
        <v>0</v>
      </c>
    </row>
    <row r="583" spans="1:21" s="8" customFormat="1" ht="11.25" x14ac:dyDescent="0.2">
      <c r="A583" s="152">
        <v>20004219</v>
      </c>
      <c r="B583" s="10" t="s">
        <v>2854</v>
      </c>
      <c r="C583" s="12" t="s">
        <v>2835</v>
      </c>
      <c r="D583" s="11" t="s">
        <v>669</v>
      </c>
      <c r="E583" s="12" t="s">
        <v>773</v>
      </c>
      <c r="F583" s="13">
        <v>6</v>
      </c>
      <c r="G583" s="22">
        <f>Overview!$B$32</f>
        <v>8.5</v>
      </c>
      <c r="H583" s="114">
        <f t="shared" si="192"/>
        <v>8.5</v>
      </c>
      <c r="I583" s="114">
        <f>Overview!$E$32</f>
        <v>0</v>
      </c>
      <c r="J583" s="115">
        <f t="shared" si="193"/>
        <v>0</v>
      </c>
      <c r="K583" s="116">
        <f>Overview!$H$32</f>
        <v>0</v>
      </c>
      <c r="L583" s="117" t="e">
        <f t="shared" si="194"/>
        <v>#DIV/0!</v>
      </c>
      <c r="M583" s="179"/>
      <c r="N583" s="179" t="s">
        <v>3125</v>
      </c>
      <c r="O583" s="141">
        <f t="shared" si="195"/>
        <v>0</v>
      </c>
      <c r="P583" s="181" t="b">
        <f>COUNTIF('Facility Data'!$A$1:$A$1500,"*"&amp;A583&amp;"*")&gt;0</f>
        <v>0</v>
      </c>
      <c r="Q583" s="181" t="b">
        <f>COUNTIF('Account Data'!$A$1:$A$1000,"*"&amp;A583&amp;"*")&gt;0</f>
        <v>0</v>
      </c>
      <c r="R583" s="182" t="b">
        <f t="shared" si="196"/>
        <v>0</v>
      </c>
      <c r="S583" s="182" t="b">
        <f t="shared" si="197"/>
        <v>0</v>
      </c>
      <c r="T583" s="181" t="b">
        <f>COUNTIF('New Items'!$A$1:$A$175,A583)&gt;0</f>
        <v>0</v>
      </c>
      <c r="U583" s="181" t="b">
        <f>COUNTIF(Discontinued!$A$1:$A$150,A583)&gt;0</f>
        <v>0</v>
      </c>
    </row>
    <row r="584" spans="1:21" s="8" customFormat="1" ht="11.25" x14ac:dyDescent="0.2">
      <c r="A584" s="152">
        <v>20004216</v>
      </c>
      <c r="B584" s="10" t="s">
        <v>2855</v>
      </c>
      <c r="C584" s="12" t="s">
        <v>2837</v>
      </c>
      <c r="D584" s="11" t="s">
        <v>671</v>
      </c>
      <c r="E584" s="12" t="s">
        <v>773</v>
      </c>
      <c r="F584" s="13">
        <v>6</v>
      </c>
      <c r="G584" s="22">
        <f>Overview!$B$32</f>
        <v>8.5</v>
      </c>
      <c r="H584" s="114">
        <f t="shared" si="192"/>
        <v>8.5</v>
      </c>
      <c r="I584" s="114">
        <f>Overview!$E$32</f>
        <v>0</v>
      </c>
      <c r="J584" s="115">
        <f t="shared" si="193"/>
        <v>0</v>
      </c>
      <c r="K584" s="116">
        <f>Overview!$H$32</f>
        <v>0</v>
      </c>
      <c r="L584" s="117" t="e">
        <f t="shared" si="194"/>
        <v>#DIV/0!</v>
      </c>
      <c r="M584" s="179"/>
      <c r="N584" s="179" t="s">
        <v>3125</v>
      </c>
      <c r="O584" s="141">
        <f t="shared" si="195"/>
        <v>0</v>
      </c>
      <c r="P584" s="181" t="b">
        <f>COUNTIF('Facility Data'!$A$1:$A$1500,"*"&amp;A584&amp;"*")&gt;0</f>
        <v>0</v>
      </c>
      <c r="Q584" s="181" t="b">
        <f>COUNTIF('Account Data'!$A$1:$A$1000,"*"&amp;A584&amp;"*")&gt;0</f>
        <v>0</v>
      </c>
      <c r="R584" s="182" t="b">
        <f t="shared" si="196"/>
        <v>0</v>
      </c>
      <c r="S584" s="182" t="b">
        <f t="shared" si="197"/>
        <v>0</v>
      </c>
      <c r="T584" s="181" t="b">
        <f>COUNTIF('New Items'!$A$1:$A$175,A584)&gt;0</f>
        <v>0</v>
      </c>
      <c r="U584" s="181" t="b">
        <f>COUNTIF(Discontinued!$A$1:$A$150,A584)&gt;0</f>
        <v>0</v>
      </c>
    </row>
    <row r="585" spans="1:21" s="8" customFormat="1" ht="11.25" x14ac:dyDescent="0.2">
      <c r="A585" s="152">
        <v>20004217</v>
      </c>
      <c r="B585" s="10" t="s">
        <v>2853</v>
      </c>
      <c r="C585" s="12" t="s">
        <v>2833</v>
      </c>
      <c r="D585" s="11" t="s">
        <v>668</v>
      </c>
      <c r="E585" s="12" t="s">
        <v>773</v>
      </c>
      <c r="F585" s="13">
        <v>6</v>
      </c>
      <c r="G585" s="22">
        <f>Overview!$B$32</f>
        <v>8.5</v>
      </c>
      <c r="H585" s="114">
        <f t="shared" si="192"/>
        <v>8.5</v>
      </c>
      <c r="I585" s="114">
        <f>Overview!$E$32</f>
        <v>0</v>
      </c>
      <c r="J585" s="115">
        <f t="shared" si="193"/>
        <v>0</v>
      </c>
      <c r="K585" s="116">
        <f>Overview!$H$32</f>
        <v>0</v>
      </c>
      <c r="L585" s="117" t="e">
        <f t="shared" si="194"/>
        <v>#DIV/0!</v>
      </c>
      <c r="M585" s="179"/>
      <c r="N585" s="179" t="s">
        <v>3125</v>
      </c>
      <c r="O585" s="141">
        <f t="shared" si="195"/>
        <v>0</v>
      </c>
      <c r="P585" s="181" t="b">
        <f>COUNTIF('Facility Data'!$A$1:$A$1500,"*"&amp;A585&amp;"*")&gt;0</f>
        <v>0</v>
      </c>
      <c r="Q585" s="181" t="b">
        <f>COUNTIF('Account Data'!$A$1:$A$1000,"*"&amp;A585&amp;"*")&gt;0</f>
        <v>0</v>
      </c>
      <c r="R585" s="182" t="b">
        <f t="shared" si="196"/>
        <v>0</v>
      </c>
      <c r="S585" s="182" t="b">
        <f t="shared" si="197"/>
        <v>0</v>
      </c>
      <c r="T585" s="181" t="b">
        <f>COUNTIF('New Items'!$A$1:$A$175,A585)&gt;0</f>
        <v>0</v>
      </c>
      <c r="U585" s="181" t="b">
        <f>COUNTIF(Discontinued!$A$1:$A$150,A585)&gt;0</f>
        <v>0</v>
      </c>
    </row>
    <row r="586" spans="1:21" s="8" customFormat="1" ht="11.25" x14ac:dyDescent="0.2">
      <c r="A586" s="152">
        <v>20004220</v>
      </c>
      <c r="B586" s="10" t="s">
        <v>2857</v>
      </c>
      <c r="C586" s="12" t="s">
        <v>246</v>
      </c>
      <c r="D586" s="11" t="s">
        <v>661</v>
      </c>
      <c r="E586" s="12" t="s">
        <v>773</v>
      </c>
      <c r="F586" s="13">
        <v>6</v>
      </c>
      <c r="G586" s="22">
        <f>Overview!$B$32</f>
        <v>8.5</v>
      </c>
      <c r="H586" s="114">
        <f t="shared" si="192"/>
        <v>8.5</v>
      </c>
      <c r="I586" s="114">
        <f>Overview!$E$32</f>
        <v>0</v>
      </c>
      <c r="J586" s="115">
        <f t="shared" si="193"/>
        <v>0</v>
      </c>
      <c r="K586" s="116">
        <f>Overview!$H$32</f>
        <v>0</v>
      </c>
      <c r="L586" s="117" t="e">
        <f t="shared" si="194"/>
        <v>#DIV/0!</v>
      </c>
      <c r="M586" s="179"/>
      <c r="N586" s="179" t="s">
        <v>3125</v>
      </c>
      <c r="O586" s="141">
        <f t="shared" si="195"/>
        <v>0</v>
      </c>
      <c r="P586" s="181" t="b">
        <f>COUNTIF('Facility Data'!$A$1:$A$1500,"*"&amp;A586&amp;"*")&gt;0</f>
        <v>0</v>
      </c>
      <c r="Q586" s="181" t="b">
        <f>COUNTIF('Account Data'!$A$1:$A$1000,"*"&amp;A586&amp;"*")&gt;0</f>
        <v>0</v>
      </c>
      <c r="R586" s="182" t="b">
        <f t="shared" si="196"/>
        <v>0</v>
      </c>
      <c r="S586" s="182" t="b">
        <f t="shared" si="197"/>
        <v>0</v>
      </c>
      <c r="T586" s="181" t="b">
        <f>COUNTIF('New Items'!$A$1:$A$175,A586)&gt;0</f>
        <v>0</v>
      </c>
      <c r="U586" s="181" t="b">
        <f>COUNTIF(Discontinued!$A$1:$A$150,A586)&gt;0</f>
        <v>0</v>
      </c>
    </row>
    <row r="587" spans="1:21" s="8" customFormat="1" ht="11.25" x14ac:dyDescent="0.2">
      <c r="A587" s="152">
        <v>20006832</v>
      </c>
      <c r="B587" s="10" t="s">
        <v>2849</v>
      </c>
      <c r="C587" s="12" t="s">
        <v>2850</v>
      </c>
      <c r="D587" s="11" t="s">
        <v>1694</v>
      </c>
      <c r="E587" s="12" t="s">
        <v>773</v>
      </c>
      <c r="F587" s="13">
        <v>6</v>
      </c>
      <c r="G587" s="22">
        <f>Overview!$B$32</f>
        <v>8.5</v>
      </c>
      <c r="H587" s="114">
        <f t="shared" si="192"/>
        <v>8.5</v>
      </c>
      <c r="I587" s="114">
        <f>Overview!$E$32</f>
        <v>0</v>
      </c>
      <c r="J587" s="115">
        <f t="shared" si="193"/>
        <v>0</v>
      </c>
      <c r="K587" s="116">
        <f>Overview!$H$32</f>
        <v>0</v>
      </c>
      <c r="L587" s="117" t="e">
        <f t="shared" si="194"/>
        <v>#DIV/0!</v>
      </c>
      <c r="M587" s="179" t="s">
        <v>4149</v>
      </c>
      <c r="N587" s="179" t="s">
        <v>3125</v>
      </c>
      <c r="O587" s="141">
        <f t="shared" si="195"/>
        <v>0</v>
      </c>
      <c r="P587" s="181" t="b">
        <f>COUNTIF('Facility Data'!$A$1:$A$1500,"*"&amp;A587&amp;"*")&gt;0</f>
        <v>0</v>
      </c>
      <c r="Q587" s="181" t="b">
        <f>COUNTIF('Account Data'!$A$1:$A$1000,"*"&amp;A587&amp;"*")&gt;0</f>
        <v>0</v>
      </c>
      <c r="R587" s="182" t="b">
        <f t="shared" si="196"/>
        <v>0</v>
      </c>
      <c r="S587" s="182" t="b">
        <f t="shared" si="197"/>
        <v>0</v>
      </c>
      <c r="T587" s="181" t="b">
        <f>COUNTIF('New Items'!$A$1:$A$175,A587)&gt;0</f>
        <v>0</v>
      </c>
      <c r="U587" s="181" t="b">
        <f>COUNTIF(Discontinued!$A$1:$A$150,A587)&gt;0</f>
        <v>0</v>
      </c>
    </row>
    <row r="588" spans="1:21" s="8" customFormat="1" ht="11.25" x14ac:dyDescent="0.2">
      <c r="A588" s="152">
        <v>20006834</v>
      </c>
      <c r="B588" s="10" t="s">
        <v>2845</v>
      </c>
      <c r="C588" s="12" t="s">
        <v>2846</v>
      </c>
      <c r="D588" s="11" t="s">
        <v>1692</v>
      </c>
      <c r="E588" s="12" t="s">
        <v>773</v>
      </c>
      <c r="F588" s="13">
        <v>6</v>
      </c>
      <c r="G588" s="22">
        <f>Overview!$B$32</f>
        <v>8.5</v>
      </c>
      <c r="H588" s="114">
        <f t="shared" si="192"/>
        <v>8.5</v>
      </c>
      <c r="I588" s="114">
        <f>Overview!$E$32</f>
        <v>0</v>
      </c>
      <c r="J588" s="115">
        <f t="shared" si="193"/>
        <v>0</v>
      </c>
      <c r="K588" s="116">
        <f>Overview!$H$32</f>
        <v>0</v>
      </c>
      <c r="L588" s="117" t="e">
        <f t="shared" si="194"/>
        <v>#DIV/0!</v>
      </c>
      <c r="M588" s="179" t="s">
        <v>4149</v>
      </c>
      <c r="N588" s="179" t="s">
        <v>3125</v>
      </c>
      <c r="O588" s="141">
        <f t="shared" si="195"/>
        <v>0</v>
      </c>
      <c r="P588" s="181" t="b">
        <f>COUNTIF('Facility Data'!$A$1:$A$1500,"*"&amp;A588&amp;"*")&gt;0</f>
        <v>0</v>
      </c>
      <c r="Q588" s="181" t="b">
        <f>COUNTIF('Account Data'!$A$1:$A$1000,"*"&amp;A588&amp;"*")&gt;0</f>
        <v>0</v>
      </c>
      <c r="R588" s="182" t="b">
        <f t="shared" si="196"/>
        <v>0</v>
      </c>
      <c r="S588" s="182" t="b">
        <f t="shared" si="197"/>
        <v>0</v>
      </c>
      <c r="T588" s="181" t="b">
        <f>COUNTIF('New Items'!$A$1:$A$175,A588)&gt;0</f>
        <v>0</v>
      </c>
      <c r="U588" s="181" t="b">
        <f>COUNTIF(Discontinued!$A$1:$A$150,A588)&gt;0</f>
        <v>0</v>
      </c>
    </row>
    <row r="589" spans="1:21" s="8" customFormat="1" ht="11.25" x14ac:dyDescent="0.2">
      <c r="A589" s="152">
        <v>20006831</v>
      </c>
      <c r="B589" s="10" t="s">
        <v>2847</v>
      </c>
      <c r="C589" s="12" t="s">
        <v>2848</v>
      </c>
      <c r="D589" s="11" t="s">
        <v>1693</v>
      </c>
      <c r="E589" s="12" t="s">
        <v>773</v>
      </c>
      <c r="F589" s="13">
        <v>6</v>
      </c>
      <c r="G589" s="22">
        <f>Overview!$B$32</f>
        <v>8.5</v>
      </c>
      <c r="H589" s="114">
        <f t="shared" si="192"/>
        <v>8.5</v>
      </c>
      <c r="I589" s="114">
        <f>Overview!$E$32</f>
        <v>0</v>
      </c>
      <c r="J589" s="115">
        <f t="shared" si="193"/>
        <v>0</v>
      </c>
      <c r="K589" s="116">
        <f>Overview!$H$32</f>
        <v>0</v>
      </c>
      <c r="L589" s="117" t="e">
        <f t="shared" si="194"/>
        <v>#DIV/0!</v>
      </c>
      <c r="M589" s="179" t="s">
        <v>4149</v>
      </c>
      <c r="N589" s="179" t="s">
        <v>3125</v>
      </c>
      <c r="O589" s="141">
        <f t="shared" si="195"/>
        <v>0</v>
      </c>
      <c r="P589" s="181" t="b">
        <f>COUNTIF('Facility Data'!$A$1:$A$1500,"*"&amp;A589&amp;"*")&gt;0</f>
        <v>0</v>
      </c>
      <c r="Q589" s="181" t="b">
        <f>COUNTIF('Account Data'!$A$1:$A$1000,"*"&amp;A589&amp;"*")&gt;0</f>
        <v>0</v>
      </c>
      <c r="R589" s="182" t="b">
        <f t="shared" si="196"/>
        <v>0</v>
      </c>
      <c r="S589" s="182" t="b">
        <f t="shared" si="197"/>
        <v>0</v>
      </c>
      <c r="T589" s="181" t="b">
        <f>COUNTIF('New Items'!$A$1:$A$175,A589)&gt;0</f>
        <v>0</v>
      </c>
      <c r="U589" s="181" t="b">
        <f>COUNTIF(Discontinued!$A$1:$A$150,A589)&gt;0</f>
        <v>0</v>
      </c>
    </row>
    <row r="590" spans="1:21" s="8" customFormat="1" ht="11.25" x14ac:dyDescent="0.2">
      <c r="A590" s="152">
        <v>20006833</v>
      </c>
      <c r="B590" s="10" t="s">
        <v>2843</v>
      </c>
      <c r="C590" s="12" t="s">
        <v>2844</v>
      </c>
      <c r="D590" s="11" t="s">
        <v>1691</v>
      </c>
      <c r="E590" s="12" t="s">
        <v>773</v>
      </c>
      <c r="F590" s="13">
        <v>6</v>
      </c>
      <c r="G590" s="22">
        <f>Overview!$B$32</f>
        <v>8.5</v>
      </c>
      <c r="H590" s="114">
        <f t="shared" si="192"/>
        <v>8.5</v>
      </c>
      <c r="I590" s="114">
        <f>Overview!$E$32</f>
        <v>0</v>
      </c>
      <c r="J590" s="115">
        <f t="shared" si="193"/>
        <v>0</v>
      </c>
      <c r="K590" s="116">
        <f>Overview!$H$32</f>
        <v>0</v>
      </c>
      <c r="L590" s="117" t="e">
        <f t="shared" si="194"/>
        <v>#DIV/0!</v>
      </c>
      <c r="M590" s="179" t="s">
        <v>4149</v>
      </c>
      <c r="N590" s="179" t="s">
        <v>3125</v>
      </c>
      <c r="O590" s="141">
        <f t="shared" si="195"/>
        <v>0</v>
      </c>
      <c r="P590" s="181" t="b">
        <f>COUNTIF('Facility Data'!$A$1:$A$1500,"*"&amp;A590&amp;"*")&gt;0</f>
        <v>0</v>
      </c>
      <c r="Q590" s="181" t="b">
        <f>COUNTIF('Account Data'!$A$1:$A$1000,"*"&amp;A590&amp;"*")&gt;0</f>
        <v>0</v>
      </c>
      <c r="R590" s="182" t="b">
        <f t="shared" si="196"/>
        <v>0</v>
      </c>
      <c r="S590" s="182" t="b">
        <f t="shared" si="197"/>
        <v>0</v>
      </c>
      <c r="T590" s="181" t="b">
        <f>COUNTIF('New Items'!$A$1:$A$175,A590)&gt;0</f>
        <v>0</v>
      </c>
      <c r="U590" s="181" t="b">
        <f>COUNTIF(Discontinued!$A$1:$A$150,A590)&gt;0</f>
        <v>0</v>
      </c>
    </row>
    <row r="591" spans="1:21" s="8" customFormat="1" ht="12" thickBot="1" x14ac:dyDescent="0.25">
      <c r="A591" s="152">
        <v>20006835</v>
      </c>
      <c r="B591" s="10" t="s">
        <v>2851</v>
      </c>
      <c r="C591" s="12" t="s">
        <v>2852</v>
      </c>
      <c r="D591" s="11" t="s">
        <v>2858</v>
      </c>
      <c r="E591" s="12" t="s">
        <v>773</v>
      </c>
      <c r="F591" s="13">
        <v>6</v>
      </c>
      <c r="G591" s="22">
        <f>Overview!$B$32</f>
        <v>8.5</v>
      </c>
      <c r="H591" s="114">
        <f t="shared" si="192"/>
        <v>8.5</v>
      </c>
      <c r="I591" s="114">
        <f>Overview!$E$32</f>
        <v>0</v>
      </c>
      <c r="J591" s="115">
        <f t="shared" si="193"/>
        <v>0</v>
      </c>
      <c r="K591" s="116">
        <f>Overview!$H$32</f>
        <v>0</v>
      </c>
      <c r="L591" s="117" t="e">
        <f t="shared" si="194"/>
        <v>#DIV/0!</v>
      </c>
      <c r="M591" s="179" t="s">
        <v>4149</v>
      </c>
      <c r="N591" s="179" t="s">
        <v>3125</v>
      </c>
      <c r="O591" s="141">
        <f t="shared" si="195"/>
        <v>0</v>
      </c>
      <c r="P591" s="181" t="b">
        <f>COUNTIF('Facility Data'!$A$1:$A$1500,"*"&amp;A591&amp;"*")&gt;0</f>
        <v>0</v>
      </c>
      <c r="Q591" s="181" t="b">
        <f>COUNTIF('Account Data'!$A$1:$A$1000,"*"&amp;A591&amp;"*")&gt;0</f>
        <v>0</v>
      </c>
      <c r="R591" s="182" t="b">
        <f t="shared" si="196"/>
        <v>0</v>
      </c>
      <c r="S591" s="182" t="b">
        <f t="shared" si="197"/>
        <v>0</v>
      </c>
      <c r="T591" s="181" t="b">
        <f>COUNTIF('New Items'!$A$1:$A$175,A591)&gt;0</f>
        <v>0</v>
      </c>
      <c r="U591" s="181" t="b">
        <f>COUNTIF(Discontinued!$A$1:$A$150,A591)&gt;0</f>
        <v>0</v>
      </c>
    </row>
    <row r="592" spans="1:21" s="8" customFormat="1" ht="13.5" thickBot="1" x14ac:dyDescent="0.25">
      <c r="A592" s="300" t="s">
        <v>2663</v>
      </c>
      <c r="B592" s="301"/>
      <c r="C592" s="301"/>
      <c r="D592" s="301"/>
      <c r="E592" s="301"/>
      <c r="F592" s="301"/>
      <c r="G592" s="301"/>
      <c r="H592" s="301"/>
      <c r="I592" s="301"/>
      <c r="J592" s="301"/>
      <c r="K592" s="301"/>
      <c r="L592" s="302"/>
      <c r="M592" s="179"/>
      <c r="N592" s="179" t="s">
        <v>3130</v>
      </c>
      <c r="O592" s="141">
        <f>AVERAGE(O593:O594)</f>
        <v>0</v>
      </c>
      <c r="P592" s="181" t="b">
        <f>COUNTIF(P593:P594,TRUE)&gt;0</f>
        <v>0</v>
      </c>
      <c r="Q592" s="181" t="b">
        <f>COUNTIF(Q593:Q594,TRUE)&gt;0</f>
        <v>0</v>
      </c>
      <c r="R592" s="181" t="b">
        <f>COUNTIF(R593:R594,TRUE)&gt;0</f>
        <v>0</v>
      </c>
      <c r="S592" s="181" t="b">
        <f>COUNTIF(S593:S594,TRUE)&gt;0</f>
        <v>0</v>
      </c>
      <c r="T592" s="181" t="b">
        <f>COUNTIF(T593:T594,TRUE)&gt;0</f>
        <v>0</v>
      </c>
      <c r="U592" s="249"/>
    </row>
    <row r="593" spans="1:21" s="8" customFormat="1" ht="11.25" x14ac:dyDescent="0.2">
      <c r="A593" s="152">
        <v>20000538</v>
      </c>
      <c r="B593" s="10" t="s">
        <v>2665</v>
      </c>
      <c r="C593" s="12" t="s">
        <v>2666</v>
      </c>
      <c r="D593" s="11" t="s">
        <v>2668</v>
      </c>
      <c r="E593" s="12" t="s">
        <v>2669</v>
      </c>
      <c r="F593" s="13">
        <v>1</v>
      </c>
      <c r="G593" s="22">
        <f>Overview!$B$45</f>
        <v>44</v>
      </c>
      <c r="H593" s="114">
        <f>G593-I593</f>
        <v>44</v>
      </c>
      <c r="I593" s="114">
        <f>Overview!$E$45</f>
        <v>0</v>
      </c>
      <c r="J593" s="115">
        <f>I593/F593</f>
        <v>0</v>
      </c>
      <c r="K593" s="116">
        <f>Overview!$H$45</f>
        <v>0</v>
      </c>
      <c r="L593" s="117" t="e">
        <f>(K593-J593)/K593</f>
        <v>#DIV/0!</v>
      </c>
      <c r="M593" s="179"/>
      <c r="N593" s="179" t="s">
        <v>3130</v>
      </c>
      <c r="O593" s="141">
        <f>I593</f>
        <v>0</v>
      </c>
      <c r="P593" s="181" t="b">
        <f>COUNTIF('Facility Data'!$A$1:$A$1500,"*"&amp;A593&amp;"*")&gt;0</f>
        <v>0</v>
      </c>
      <c r="Q593" s="181" t="b">
        <f>COUNTIF('Account Data'!$A$1:$A$1000,"*"&amp;A593&amp;"*")&gt;0</f>
        <v>0</v>
      </c>
      <c r="R593" s="182" t="b">
        <f>IF(OR(P593=TRUE,T593=TRUE),TRUE,FALSE)</f>
        <v>0</v>
      </c>
      <c r="S593" s="182" t="b">
        <f>IF(OR(Q593=TRUE,T593=TRUE),TRUE,FALSE)</f>
        <v>0</v>
      </c>
      <c r="T593" s="181" t="b">
        <f>COUNTIF('New Items'!$A$1:$A$175,A593)&gt;0</f>
        <v>0</v>
      </c>
      <c r="U593" s="181" t="b">
        <f>COUNTIF(Discontinued!$A$1:$A$150,A593)&gt;0</f>
        <v>0</v>
      </c>
    </row>
    <row r="594" spans="1:21" s="8" customFormat="1" ht="12" thickBot="1" x14ac:dyDescent="0.25">
      <c r="A594" s="152">
        <v>20027930</v>
      </c>
      <c r="B594" s="10" t="s">
        <v>2664</v>
      </c>
      <c r="C594" s="12" t="s">
        <v>3356</v>
      </c>
      <c r="D594" s="11" t="s">
        <v>2667</v>
      </c>
      <c r="E594" s="12" t="s">
        <v>2669</v>
      </c>
      <c r="F594" s="13">
        <v>1</v>
      </c>
      <c r="G594" s="22">
        <f>Overview!$B$45</f>
        <v>44</v>
      </c>
      <c r="H594" s="114">
        <f>G594-I594</f>
        <v>44</v>
      </c>
      <c r="I594" s="114">
        <f>Overview!$E$45</f>
        <v>0</v>
      </c>
      <c r="J594" s="115">
        <f>I594/F594</f>
        <v>0</v>
      </c>
      <c r="K594" s="116">
        <f>Overview!$H$45</f>
        <v>0</v>
      </c>
      <c r="L594" s="117" t="e">
        <f>(K594-J594)/K594</f>
        <v>#DIV/0!</v>
      </c>
      <c r="M594" s="179"/>
      <c r="N594" s="179" t="s">
        <v>3130</v>
      </c>
      <c r="O594" s="141">
        <f>I594</f>
        <v>0</v>
      </c>
      <c r="P594" s="181" t="b">
        <f>COUNTIF('Facility Data'!$A$1:$A$1500,"*"&amp;A594&amp;"*")&gt;0</f>
        <v>0</v>
      </c>
      <c r="Q594" s="181" t="b">
        <f>COUNTIF('Account Data'!$A$1:$A$1000,"*"&amp;A594&amp;"*")&gt;0</f>
        <v>0</v>
      </c>
      <c r="R594" s="182" t="b">
        <f>IF(OR(P594=TRUE,T594=TRUE),TRUE,FALSE)</f>
        <v>0</v>
      </c>
      <c r="S594" s="182" t="b">
        <f>IF(OR(Q594=TRUE,T594=TRUE),TRUE,FALSE)</f>
        <v>0</v>
      </c>
      <c r="T594" s="181" t="b">
        <f>COUNTIF('New Items'!$A$1:$A$175,A594)&gt;0</f>
        <v>0</v>
      </c>
      <c r="U594" s="181" t="b">
        <f>COUNTIF(Discontinued!$A$1:$A$150,A594)&gt;0</f>
        <v>0</v>
      </c>
    </row>
    <row r="595" spans="1:21" s="8" customFormat="1" ht="13.5" thickBot="1" x14ac:dyDescent="0.25">
      <c r="A595" s="300" t="s">
        <v>2581</v>
      </c>
      <c r="B595" s="301"/>
      <c r="C595" s="301"/>
      <c r="D595" s="301"/>
      <c r="E595" s="301"/>
      <c r="F595" s="301"/>
      <c r="G595" s="301"/>
      <c r="H595" s="301"/>
      <c r="I595" s="301"/>
      <c r="J595" s="301"/>
      <c r="K595" s="301"/>
      <c r="L595" s="302"/>
      <c r="M595" s="179"/>
      <c r="N595" s="179" t="s">
        <v>3129</v>
      </c>
      <c r="O595" s="141">
        <f>AVERAGE(O596:O631)</f>
        <v>0</v>
      </c>
      <c r="P595" s="181" t="b">
        <f>COUNTIF(P596:P631,TRUE)&gt;0</f>
        <v>0</v>
      </c>
      <c r="Q595" s="181" t="b">
        <f>COUNTIF(Q596:Q631,TRUE)&gt;0</f>
        <v>1</v>
      </c>
      <c r="R595" s="181" t="b">
        <f>COUNTIF(R596:R631,TRUE)&gt;0</f>
        <v>0</v>
      </c>
      <c r="S595" s="181" t="b">
        <f>COUNTIF(S596:S631,TRUE)&gt;0</f>
        <v>1</v>
      </c>
      <c r="T595" s="181" t="b">
        <f>COUNTIF(T596:T631,TRUE)&gt;0</f>
        <v>0</v>
      </c>
      <c r="U595" s="249"/>
    </row>
    <row r="596" spans="1:21" s="8" customFormat="1" ht="11.25" x14ac:dyDescent="0.2">
      <c r="A596" s="152">
        <v>10000321</v>
      </c>
      <c r="B596" s="10" t="s">
        <v>2587</v>
      </c>
      <c r="C596" s="12" t="s">
        <v>2588</v>
      </c>
      <c r="D596" s="11" t="s">
        <v>643</v>
      </c>
      <c r="E596" s="12" t="s">
        <v>2582</v>
      </c>
      <c r="F596" s="13">
        <v>1</v>
      </c>
      <c r="G596" s="22">
        <f>Overview!$B$44</f>
        <v>44</v>
      </c>
      <c r="H596" s="114">
        <f t="shared" ref="H596:H631" si="198">G596-I596</f>
        <v>44</v>
      </c>
      <c r="I596" s="114">
        <f>Overview!$E$44</f>
        <v>0</v>
      </c>
      <c r="J596" s="115">
        <f t="shared" ref="J596:J631" si="199">I596/F596</f>
        <v>0</v>
      </c>
      <c r="K596" s="116">
        <f>Overview!$H$44</f>
        <v>0</v>
      </c>
      <c r="L596" s="117" t="e">
        <f t="shared" ref="L596:L631" si="200">(K596-J596)/K596</f>
        <v>#DIV/0!</v>
      </c>
      <c r="M596" s="179"/>
      <c r="N596" s="179" t="s">
        <v>3129</v>
      </c>
      <c r="O596" s="141">
        <f t="shared" ref="O596:O631" si="201">I596</f>
        <v>0</v>
      </c>
      <c r="P596" s="181" t="b">
        <f>COUNTIF('Facility Data'!$A$1:$A$1500,"*"&amp;A596&amp;"*")&gt;0</f>
        <v>0</v>
      </c>
      <c r="Q596" s="181" t="b">
        <f>COUNTIF('Account Data'!$A$1:$A$1000,"*"&amp;A596&amp;"*")&gt;0</f>
        <v>1</v>
      </c>
      <c r="R596" s="182" t="b">
        <f t="shared" ref="R596:R631" si="202">IF(OR(P596=TRUE,T596=TRUE),TRUE,FALSE)</f>
        <v>0</v>
      </c>
      <c r="S596" s="182" t="b">
        <f t="shared" ref="S596:S631" si="203">IF(OR(Q596=TRUE,T596=TRUE),TRUE,FALSE)</f>
        <v>1</v>
      </c>
      <c r="T596" s="181" t="b">
        <f>COUNTIF('New Items'!$A$1:$A$175,A596)&gt;0</f>
        <v>0</v>
      </c>
      <c r="U596" s="181" t="b">
        <f>COUNTIF(Discontinued!$A$1:$A$150,A596)&gt;0</f>
        <v>0</v>
      </c>
    </row>
    <row r="597" spans="1:21" s="8" customFormat="1" ht="11.25" x14ac:dyDescent="0.2">
      <c r="A597" s="152">
        <v>10120827</v>
      </c>
      <c r="B597" s="10" t="s">
        <v>2625</v>
      </c>
      <c r="C597" s="12" t="s">
        <v>2626</v>
      </c>
      <c r="D597" s="11" t="s">
        <v>2651</v>
      </c>
      <c r="E597" s="12" t="s">
        <v>2582</v>
      </c>
      <c r="F597" s="13">
        <v>1</v>
      </c>
      <c r="G597" s="22">
        <f>Overview!$B$44</f>
        <v>44</v>
      </c>
      <c r="H597" s="114">
        <f t="shared" si="198"/>
        <v>44</v>
      </c>
      <c r="I597" s="114">
        <f>Overview!$E$44</f>
        <v>0</v>
      </c>
      <c r="J597" s="115">
        <f t="shared" si="199"/>
        <v>0</v>
      </c>
      <c r="K597" s="116">
        <f>Overview!$H$44</f>
        <v>0</v>
      </c>
      <c r="L597" s="117" t="e">
        <f t="shared" si="200"/>
        <v>#DIV/0!</v>
      </c>
      <c r="M597" s="179"/>
      <c r="N597" s="179" t="s">
        <v>3129</v>
      </c>
      <c r="O597" s="141">
        <f t="shared" si="201"/>
        <v>0</v>
      </c>
      <c r="P597" s="181" t="b">
        <f>COUNTIF('Facility Data'!$A$1:$A$1500,"*"&amp;A597&amp;"*")&gt;0</f>
        <v>0</v>
      </c>
      <c r="Q597" s="181" t="b">
        <f>COUNTIF('Account Data'!$A$1:$A$1000,"*"&amp;A597&amp;"*")&gt;0</f>
        <v>0</v>
      </c>
      <c r="R597" s="182" t="b">
        <f t="shared" si="202"/>
        <v>0</v>
      </c>
      <c r="S597" s="182" t="b">
        <f t="shared" si="203"/>
        <v>0</v>
      </c>
      <c r="T597" s="181" t="b">
        <f>COUNTIF('New Items'!$A$1:$A$175,A597)&gt;0</f>
        <v>0</v>
      </c>
      <c r="U597" s="181" t="b">
        <f>COUNTIF(Discontinued!$A$1:$A$150,A597)&gt;0</f>
        <v>0</v>
      </c>
    </row>
    <row r="598" spans="1:21" s="8" customFormat="1" ht="11.25" x14ac:dyDescent="0.2">
      <c r="A598" s="152">
        <v>10000324</v>
      </c>
      <c r="B598" s="10" t="s">
        <v>2617</v>
      </c>
      <c r="C598" s="12" t="s">
        <v>2618</v>
      </c>
      <c r="D598" s="11" t="s">
        <v>640</v>
      </c>
      <c r="E598" s="12" t="s">
        <v>2582</v>
      </c>
      <c r="F598" s="13">
        <v>1</v>
      </c>
      <c r="G598" s="22">
        <f>Overview!$B$44</f>
        <v>44</v>
      </c>
      <c r="H598" s="114">
        <f>G598-I598</f>
        <v>44</v>
      </c>
      <c r="I598" s="114">
        <f>Overview!$E$44</f>
        <v>0</v>
      </c>
      <c r="J598" s="115">
        <f>I598/F598</f>
        <v>0</v>
      </c>
      <c r="K598" s="116">
        <f>Overview!$H$44</f>
        <v>0</v>
      </c>
      <c r="L598" s="117" t="e">
        <f>(K598-J598)/K598</f>
        <v>#DIV/0!</v>
      </c>
      <c r="M598" s="179"/>
      <c r="N598" s="179" t="s">
        <v>3129</v>
      </c>
      <c r="O598" s="141">
        <f>I598</f>
        <v>0</v>
      </c>
      <c r="P598" s="181" t="b">
        <f>COUNTIF('Facility Data'!$A$1:$A$1500,"*"&amp;A598&amp;"*")&gt;0</f>
        <v>0</v>
      </c>
      <c r="Q598" s="181" t="b">
        <f>COUNTIF('Account Data'!$A$1:$A$1000,"*"&amp;A598&amp;"*")&gt;0</f>
        <v>0</v>
      </c>
      <c r="R598" s="182" t="b">
        <f t="shared" si="202"/>
        <v>0</v>
      </c>
      <c r="S598" s="182" t="b">
        <f>IF(OR(Q598=TRUE,T598=TRUE),TRUE,FALSE)</f>
        <v>0</v>
      </c>
      <c r="T598" s="181" t="b">
        <f>COUNTIF('New Items'!$A$1:$A$175,A598)&gt;0</f>
        <v>0</v>
      </c>
      <c r="U598" s="181" t="b">
        <f>COUNTIF(Discontinued!$A$1:$A$150,A598)&gt;0</f>
        <v>0</v>
      </c>
    </row>
    <row r="599" spans="1:21" s="8" customFormat="1" ht="11.25" x14ac:dyDescent="0.2">
      <c r="A599" s="152">
        <v>10000332</v>
      </c>
      <c r="B599" s="10" t="s">
        <v>4125</v>
      </c>
      <c r="C599" s="12" t="s">
        <v>4126</v>
      </c>
      <c r="D599" s="11" t="s">
        <v>4122</v>
      </c>
      <c r="E599" s="12" t="s">
        <v>2582</v>
      </c>
      <c r="F599" s="13">
        <v>1</v>
      </c>
      <c r="G599" s="22">
        <f>Overview!$B$44</f>
        <v>44</v>
      </c>
      <c r="H599" s="114">
        <f t="shared" si="198"/>
        <v>44</v>
      </c>
      <c r="I599" s="114">
        <f>Overview!$E$44</f>
        <v>0</v>
      </c>
      <c r="J599" s="115">
        <f t="shared" si="199"/>
        <v>0</v>
      </c>
      <c r="K599" s="116">
        <f>Overview!$H$44</f>
        <v>0</v>
      </c>
      <c r="L599" s="117" t="e">
        <f t="shared" si="200"/>
        <v>#DIV/0!</v>
      </c>
      <c r="M599" s="179"/>
      <c r="N599" s="179" t="s">
        <v>3129</v>
      </c>
      <c r="O599" s="141">
        <f t="shared" si="201"/>
        <v>0</v>
      </c>
      <c r="P599" s="181" t="b">
        <f>COUNTIF('Facility Data'!$A$1:$A$1500,"*"&amp;A599&amp;"*")&gt;0</f>
        <v>0</v>
      </c>
      <c r="Q599" s="181" t="b">
        <f>COUNTIF('Account Data'!$A$1:$A$1000,"*"&amp;A599&amp;"*")&gt;0</f>
        <v>0</v>
      </c>
      <c r="R599" s="182" t="b">
        <f t="shared" si="202"/>
        <v>0</v>
      </c>
      <c r="S599" s="182" t="b">
        <f t="shared" si="203"/>
        <v>0</v>
      </c>
      <c r="T599" s="181" t="b">
        <f>COUNTIF('New Items'!$A$1:$A$175,A599)&gt;0</f>
        <v>0</v>
      </c>
      <c r="U599" s="181" t="b">
        <f>COUNTIF(Discontinued!$A$1:$A$150,A599)&gt;0</f>
        <v>0</v>
      </c>
    </row>
    <row r="600" spans="1:21" s="8" customFormat="1" ht="11.25" x14ac:dyDescent="0.2">
      <c r="A600" s="152">
        <v>10066318</v>
      </c>
      <c r="B600" s="10" t="s">
        <v>2603</v>
      </c>
      <c r="C600" s="12" t="s">
        <v>2604</v>
      </c>
      <c r="D600" s="11" t="s">
        <v>652</v>
      </c>
      <c r="E600" s="12" t="s">
        <v>2582</v>
      </c>
      <c r="F600" s="13">
        <v>1</v>
      </c>
      <c r="G600" s="22">
        <f>Overview!$B$44</f>
        <v>44</v>
      </c>
      <c r="H600" s="114">
        <f t="shared" si="198"/>
        <v>44</v>
      </c>
      <c r="I600" s="114">
        <f>Overview!$E$44</f>
        <v>0</v>
      </c>
      <c r="J600" s="115">
        <f t="shared" si="199"/>
        <v>0</v>
      </c>
      <c r="K600" s="116">
        <f>Overview!$H$44</f>
        <v>0</v>
      </c>
      <c r="L600" s="117" t="e">
        <f t="shared" si="200"/>
        <v>#DIV/0!</v>
      </c>
      <c r="M600" s="179"/>
      <c r="N600" s="179" t="s">
        <v>3129</v>
      </c>
      <c r="O600" s="141">
        <f t="shared" si="201"/>
        <v>0</v>
      </c>
      <c r="P600" s="181" t="b">
        <f>COUNTIF('Facility Data'!$A$1:$A$1500,"*"&amp;A600&amp;"*")&gt;0</f>
        <v>0</v>
      </c>
      <c r="Q600" s="181" t="b">
        <f>COUNTIF('Account Data'!$A$1:$A$1000,"*"&amp;A600&amp;"*")&gt;0</f>
        <v>0</v>
      </c>
      <c r="R600" s="182" t="b">
        <f t="shared" si="202"/>
        <v>0</v>
      </c>
      <c r="S600" s="182" t="b">
        <f t="shared" si="203"/>
        <v>0</v>
      </c>
      <c r="T600" s="181" t="b">
        <f>COUNTIF('New Items'!$A$1:$A$175,A600)&gt;0</f>
        <v>0</v>
      </c>
      <c r="U600" s="181" t="b">
        <f>COUNTIF(Discontinued!$A$1:$A$150,A600)&gt;0</f>
        <v>0</v>
      </c>
    </row>
    <row r="601" spans="1:21" s="8" customFormat="1" ht="11.25" x14ac:dyDescent="0.2">
      <c r="A601" s="152">
        <v>10000330</v>
      </c>
      <c r="B601" s="10" t="s">
        <v>2605</v>
      </c>
      <c r="C601" s="12" t="s">
        <v>2606</v>
      </c>
      <c r="D601" s="11" t="s">
        <v>675</v>
      </c>
      <c r="E601" s="12" t="s">
        <v>2582</v>
      </c>
      <c r="F601" s="13">
        <v>1</v>
      </c>
      <c r="G601" s="22">
        <f>Overview!$B$44</f>
        <v>44</v>
      </c>
      <c r="H601" s="114">
        <f t="shared" si="198"/>
        <v>44</v>
      </c>
      <c r="I601" s="114">
        <f>Overview!$E$44</f>
        <v>0</v>
      </c>
      <c r="J601" s="115">
        <f t="shared" si="199"/>
        <v>0</v>
      </c>
      <c r="K601" s="116">
        <f>Overview!$H$44</f>
        <v>0</v>
      </c>
      <c r="L601" s="117" t="e">
        <f t="shared" si="200"/>
        <v>#DIV/0!</v>
      </c>
      <c r="M601" s="179"/>
      <c r="N601" s="179" t="s">
        <v>3129</v>
      </c>
      <c r="O601" s="141">
        <f t="shared" si="201"/>
        <v>0</v>
      </c>
      <c r="P601" s="181" t="b">
        <f>COUNTIF('Facility Data'!$A$1:$A$1500,"*"&amp;A601&amp;"*")&gt;0</f>
        <v>0</v>
      </c>
      <c r="Q601" s="181" t="b">
        <f>COUNTIF('Account Data'!$A$1:$A$1000,"*"&amp;A601&amp;"*")&gt;0</f>
        <v>0</v>
      </c>
      <c r="R601" s="182" t="b">
        <f t="shared" si="202"/>
        <v>0</v>
      </c>
      <c r="S601" s="182" t="b">
        <f t="shared" si="203"/>
        <v>0</v>
      </c>
      <c r="T601" s="181" t="b">
        <f>COUNTIF('New Items'!$A$1:$A$175,A601)&gt;0</f>
        <v>0</v>
      </c>
      <c r="U601" s="181" t="b">
        <f>COUNTIF(Discontinued!$A$1:$A$150,A601)&gt;0</f>
        <v>0</v>
      </c>
    </row>
    <row r="602" spans="1:21" s="8" customFormat="1" ht="11.25" x14ac:dyDescent="0.2">
      <c r="A602" s="152">
        <v>10000322</v>
      </c>
      <c r="B602" s="10" t="s">
        <v>2589</v>
      </c>
      <c r="C602" s="12" t="s">
        <v>2590</v>
      </c>
      <c r="D602" s="11" t="s">
        <v>644</v>
      </c>
      <c r="E602" s="12" t="s">
        <v>2582</v>
      </c>
      <c r="F602" s="13">
        <v>1</v>
      </c>
      <c r="G602" s="22">
        <f>Overview!$B$44</f>
        <v>44</v>
      </c>
      <c r="H602" s="114">
        <f t="shared" si="198"/>
        <v>44</v>
      </c>
      <c r="I602" s="114">
        <f>Overview!$E$44</f>
        <v>0</v>
      </c>
      <c r="J602" s="115">
        <f t="shared" si="199"/>
        <v>0</v>
      </c>
      <c r="K602" s="116">
        <f>Overview!$H$44</f>
        <v>0</v>
      </c>
      <c r="L602" s="117" t="e">
        <f t="shared" si="200"/>
        <v>#DIV/0!</v>
      </c>
      <c r="M602" s="179"/>
      <c r="N602" s="179" t="s">
        <v>3129</v>
      </c>
      <c r="O602" s="141">
        <f t="shared" si="201"/>
        <v>0</v>
      </c>
      <c r="P602" s="181" t="b">
        <f>COUNTIF('Facility Data'!$A$1:$A$1500,"*"&amp;A602&amp;"*")&gt;0</f>
        <v>0</v>
      </c>
      <c r="Q602" s="181" t="b">
        <f>COUNTIF('Account Data'!$A$1:$A$1000,"*"&amp;A602&amp;"*")&gt;0</f>
        <v>0</v>
      </c>
      <c r="R602" s="182" t="b">
        <f t="shared" si="202"/>
        <v>0</v>
      </c>
      <c r="S602" s="182" t="b">
        <f t="shared" si="203"/>
        <v>0</v>
      </c>
      <c r="T602" s="181" t="b">
        <f>COUNTIF('New Items'!$A$1:$A$175,A602)&gt;0</f>
        <v>0</v>
      </c>
      <c r="U602" s="181" t="b">
        <f>COUNTIF(Discontinued!$A$1:$A$150,A602)&gt;0</f>
        <v>0</v>
      </c>
    </row>
    <row r="603" spans="1:21" s="8" customFormat="1" ht="11.25" x14ac:dyDescent="0.2">
      <c r="A603" s="152">
        <v>10001622</v>
      </c>
      <c r="B603" s="10" t="s">
        <v>2585</v>
      </c>
      <c r="C603" s="12" t="s">
        <v>2586</v>
      </c>
      <c r="D603" s="11" t="s">
        <v>631</v>
      </c>
      <c r="E603" s="12" t="s">
        <v>2582</v>
      </c>
      <c r="F603" s="13">
        <v>1</v>
      </c>
      <c r="G603" s="22">
        <f>Overview!$B$44</f>
        <v>44</v>
      </c>
      <c r="H603" s="114">
        <f t="shared" si="198"/>
        <v>44</v>
      </c>
      <c r="I603" s="114">
        <f>Overview!$E$44</f>
        <v>0</v>
      </c>
      <c r="J603" s="115">
        <f t="shared" si="199"/>
        <v>0</v>
      </c>
      <c r="K603" s="116">
        <f>Overview!$H$44</f>
        <v>0</v>
      </c>
      <c r="L603" s="117" t="e">
        <f t="shared" si="200"/>
        <v>#DIV/0!</v>
      </c>
      <c r="M603" s="179" t="s">
        <v>951</v>
      </c>
      <c r="N603" s="179" t="s">
        <v>3129</v>
      </c>
      <c r="O603" s="141">
        <f t="shared" si="201"/>
        <v>0</v>
      </c>
      <c r="P603" s="181" t="b">
        <f>COUNTIF('Facility Data'!$A$1:$A$1500,"*"&amp;A603&amp;"*")&gt;0</f>
        <v>0</v>
      </c>
      <c r="Q603" s="181" t="b">
        <f>COUNTIF('Account Data'!$A$1:$A$1000,"*"&amp;A603&amp;"*")&gt;0</f>
        <v>1</v>
      </c>
      <c r="R603" s="182" t="b">
        <f t="shared" si="202"/>
        <v>0</v>
      </c>
      <c r="S603" s="182" t="b">
        <f t="shared" si="203"/>
        <v>1</v>
      </c>
      <c r="T603" s="181" t="b">
        <f>COUNTIF('New Items'!$A$1:$A$175,A603)&gt;0</f>
        <v>0</v>
      </c>
      <c r="U603" s="181" t="b">
        <f>COUNTIF(Discontinued!$A$1:$A$150,A603)&gt;0</f>
        <v>0</v>
      </c>
    </row>
    <row r="604" spans="1:21" s="8" customFormat="1" ht="11.25" x14ac:dyDescent="0.2">
      <c r="A604" s="152">
        <v>10000323</v>
      </c>
      <c r="B604" s="10" t="s">
        <v>2621</v>
      </c>
      <c r="C604" s="12" t="s">
        <v>2622</v>
      </c>
      <c r="D604" s="11" t="s">
        <v>1272</v>
      </c>
      <c r="E604" s="12" t="s">
        <v>2582</v>
      </c>
      <c r="F604" s="13">
        <v>1</v>
      </c>
      <c r="G604" s="22">
        <f>Overview!$B$44</f>
        <v>44</v>
      </c>
      <c r="H604" s="114">
        <f t="shared" si="198"/>
        <v>44</v>
      </c>
      <c r="I604" s="114">
        <f>Overview!$E$44</f>
        <v>0</v>
      </c>
      <c r="J604" s="115">
        <f t="shared" si="199"/>
        <v>0</v>
      </c>
      <c r="K604" s="116">
        <f>Overview!$H$44</f>
        <v>0</v>
      </c>
      <c r="L604" s="117" t="e">
        <f t="shared" si="200"/>
        <v>#DIV/0!</v>
      </c>
      <c r="M604" s="179"/>
      <c r="N604" s="179" t="s">
        <v>3129</v>
      </c>
      <c r="O604" s="141">
        <f t="shared" si="201"/>
        <v>0</v>
      </c>
      <c r="P604" s="181" t="b">
        <f>COUNTIF('Facility Data'!$A$1:$A$1500,"*"&amp;A604&amp;"*")&gt;0</f>
        <v>0</v>
      </c>
      <c r="Q604" s="181" t="b">
        <f>COUNTIF('Account Data'!$A$1:$A$1000,"*"&amp;A604&amp;"*")&gt;0</f>
        <v>0</v>
      </c>
      <c r="R604" s="182" t="b">
        <f t="shared" si="202"/>
        <v>0</v>
      </c>
      <c r="S604" s="182" t="b">
        <f t="shared" si="203"/>
        <v>0</v>
      </c>
      <c r="T604" s="181" t="b">
        <f>COUNTIF('New Items'!$A$1:$A$175,A604)&gt;0</f>
        <v>0</v>
      </c>
      <c r="U604" s="181" t="b">
        <f>COUNTIF(Discontinued!$A$1:$A$150,A604)&gt;0</f>
        <v>0</v>
      </c>
    </row>
    <row r="605" spans="1:21" s="8" customFormat="1" ht="11.25" x14ac:dyDescent="0.2">
      <c r="A605" s="152">
        <v>10000260</v>
      </c>
      <c r="B605" s="10" t="s">
        <v>2619</v>
      </c>
      <c r="C605" s="12" t="s">
        <v>2620</v>
      </c>
      <c r="D605" s="11" t="s">
        <v>658</v>
      </c>
      <c r="E605" s="12" t="s">
        <v>2582</v>
      </c>
      <c r="F605" s="13">
        <v>1</v>
      </c>
      <c r="G605" s="22">
        <f>Overview!$B$44</f>
        <v>44</v>
      </c>
      <c r="H605" s="114">
        <f t="shared" si="198"/>
        <v>44</v>
      </c>
      <c r="I605" s="114">
        <f>Overview!$E$44</f>
        <v>0</v>
      </c>
      <c r="J605" s="115">
        <f t="shared" si="199"/>
        <v>0</v>
      </c>
      <c r="K605" s="116">
        <f>Overview!$H$44</f>
        <v>0</v>
      </c>
      <c r="L605" s="117" t="e">
        <f t="shared" si="200"/>
        <v>#DIV/0!</v>
      </c>
      <c r="M605" s="179"/>
      <c r="N605" s="179" t="s">
        <v>3129</v>
      </c>
      <c r="O605" s="141">
        <f t="shared" si="201"/>
        <v>0</v>
      </c>
      <c r="P605" s="181" t="b">
        <f>COUNTIF('Facility Data'!$A$1:$A$1500,"*"&amp;A605&amp;"*")&gt;0</f>
        <v>0</v>
      </c>
      <c r="Q605" s="181" t="b">
        <f>COUNTIF('Account Data'!$A$1:$A$1000,"*"&amp;A605&amp;"*")&gt;0</f>
        <v>1</v>
      </c>
      <c r="R605" s="182" t="b">
        <f t="shared" si="202"/>
        <v>0</v>
      </c>
      <c r="S605" s="182" t="b">
        <f t="shared" si="203"/>
        <v>1</v>
      </c>
      <c r="T605" s="181" t="b">
        <f>COUNTIF('New Items'!$A$1:$A$175,A605)&gt;0</f>
        <v>0</v>
      </c>
      <c r="U605" s="181" t="b">
        <f>COUNTIF(Discontinued!$A$1:$A$150,A605)&gt;0</f>
        <v>0</v>
      </c>
    </row>
    <row r="606" spans="1:21" s="8" customFormat="1" ht="11.25" x14ac:dyDescent="0.2">
      <c r="A606" s="152">
        <v>10000320</v>
      </c>
      <c r="B606" s="10" t="s">
        <v>2583</v>
      </c>
      <c r="C606" s="12" t="s">
        <v>2584</v>
      </c>
      <c r="D606" s="11" t="s">
        <v>629</v>
      </c>
      <c r="E606" s="12" t="s">
        <v>2582</v>
      </c>
      <c r="F606" s="13">
        <v>1</v>
      </c>
      <c r="G606" s="22">
        <f>Overview!$B$44</f>
        <v>44</v>
      </c>
      <c r="H606" s="114">
        <f>G606-I606</f>
        <v>44</v>
      </c>
      <c r="I606" s="114">
        <f>Overview!$E$44</f>
        <v>0</v>
      </c>
      <c r="J606" s="115">
        <f>I606/F606</f>
        <v>0</v>
      </c>
      <c r="K606" s="116">
        <f>Overview!$H$44</f>
        <v>0</v>
      </c>
      <c r="L606" s="117" t="e">
        <f>(K606-J606)/K606</f>
        <v>#DIV/0!</v>
      </c>
      <c r="M606" s="179" t="s">
        <v>951</v>
      </c>
      <c r="N606" s="179" t="s">
        <v>3129</v>
      </c>
      <c r="O606" s="141">
        <f>I606</f>
        <v>0</v>
      </c>
      <c r="P606" s="181" t="b">
        <f>COUNTIF('Facility Data'!$A$1:$A$1500,"*"&amp;A606&amp;"*")&gt;0</f>
        <v>0</v>
      </c>
      <c r="Q606" s="181" t="b">
        <f>COUNTIF('Account Data'!$A$1:$A$1000,"*"&amp;A606&amp;"*")&gt;0</f>
        <v>0</v>
      </c>
      <c r="R606" s="182" t="b">
        <f t="shared" si="202"/>
        <v>0</v>
      </c>
      <c r="S606" s="182" t="b">
        <f>IF(OR(Q606=TRUE,T606=TRUE),TRUE,FALSE)</f>
        <v>0</v>
      </c>
      <c r="T606" s="181" t="b">
        <f>COUNTIF('New Items'!$A$1:$A$175,A606)&gt;0</f>
        <v>0</v>
      </c>
      <c r="U606" s="181" t="b">
        <f>COUNTIF(Discontinued!$A$1:$A$150,A606)&gt;0</f>
        <v>0</v>
      </c>
    </row>
    <row r="607" spans="1:21" s="8" customFormat="1" ht="11.25" x14ac:dyDescent="0.2">
      <c r="A607" s="152">
        <v>10000331</v>
      </c>
      <c r="B607" s="10" t="s">
        <v>4123</v>
      </c>
      <c r="C607" s="12" t="s">
        <v>4124</v>
      </c>
      <c r="D607" s="11" t="s">
        <v>4121</v>
      </c>
      <c r="E607" s="12" t="s">
        <v>2582</v>
      </c>
      <c r="F607" s="13">
        <v>1</v>
      </c>
      <c r="G607" s="22">
        <f>Overview!$B$44</f>
        <v>44</v>
      </c>
      <c r="H607" s="114">
        <f t="shared" si="198"/>
        <v>44</v>
      </c>
      <c r="I607" s="114">
        <f>Overview!$E$44</f>
        <v>0</v>
      </c>
      <c r="J607" s="115">
        <f t="shared" si="199"/>
        <v>0</v>
      </c>
      <c r="K607" s="116">
        <f>Overview!$H$44</f>
        <v>0</v>
      </c>
      <c r="L607" s="117" t="e">
        <f t="shared" si="200"/>
        <v>#DIV/0!</v>
      </c>
      <c r="M607" s="179" t="s">
        <v>951</v>
      </c>
      <c r="N607" s="179" t="s">
        <v>3129</v>
      </c>
      <c r="O607" s="141">
        <f t="shared" si="201"/>
        <v>0</v>
      </c>
      <c r="P607" s="181" t="b">
        <f>COUNTIF('Facility Data'!$A$1:$A$1500,"*"&amp;A607&amp;"*")&gt;0</f>
        <v>0</v>
      </c>
      <c r="Q607" s="181" t="b">
        <f>COUNTIF('Account Data'!$A$1:$A$1000,"*"&amp;A607&amp;"*")&gt;0</f>
        <v>0</v>
      </c>
      <c r="R607" s="182" t="b">
        <f t="shared" si="202"/>
        <v>0</v>
      </c>
      <c r="S607" s="182" t="b">
        <f t="shared" si="203"/>
        <v>0</v>
      </c>
      <c r="T607" s="181" t="b">
        <f>COUNTIF('New Items'!$A$1:$A$175,A607)&gt;0</f>
        <v>0</v>
      </c>
      <c r="U607" s="181" t="b">
        <f>COUNTIF(Discontinued!$A$1:$A$150,A607)&gt;0</f>
        <v>0</v>
      </c>
    </row>
    <row r="608" spans="1:21" s="8" customFormat="1" ht="11.25" x14ac:dyDescent="0.2">
      <c r="A608" s="152">
        <v>10000329</v>
      </c>
      <c r="B608" s="10" t="s">
        <v>2609</v>
      </c>
      <c r="C608" s="12" t="s">
        <v>2610</v>
      </c>
      <c r="D608" s="11" t="s">
        <v>655</v>
      </c>
      <c r="E608" s="12" t="s">
        <v>2582</v>
      </c>
      <c r="F608" s="13">
        <v>1</v>
      </c>
      <c r="G608" s="22">
        <f>Overview!$B$44</f>
        <v>44</v>
      </c>
      <c r="H608" s="114">
        <f t="shared" si="198"/>
        <v>44</v>
      </c>
      <c r="I608" s="114">
        <f>Overview!$E$44</f>
        <v>0</v>
      </c>
      <c r="J608" s="115">
        <f t="shared" si="199"/>
        <v>0</v>
      </c>
      <c r="K608" s="116">
        <f>Overview!$H$44</f>
        <v>0</v>
      </c>
      <c r="L608" s="117" t="e">
        <f t="shared" si="200"/>
        <v>#DIV/0!</v>
      </c>
      <c r="M608" s="179"/>
      <c r="N608" s="179" t="s">
        <v>3129</v>
      </c>
      <c r="O608" s="141">
        <f t="shared" si="201"/>
        <v>0</v>
      </c>
      <c r="P608" s="181" t="b">
        <f>COUNTIF('Facility Data'!$A$1:$A$1500,"*"&amp;A608&amp;"*")&gt;0</f>
        <v>0</v>
      </c>
      <c r="Q608" s="181" t="b">
        <f>COUNTIF('Account Data'!$A$1:$A$1000,"*"&amp;A608&amp;"*")&gt;0</f>
        <v>0</v>
      </c>
      <c r="R608" s="182" t="b">
        <f t="shared" si="202"/>
        <v>0</v>
      </c>
      <c r="S608" s="182" t="b">
        <f t="shared" si="203"/>
        <v>0</v>
      </c>
      <c r="T608" s="181" t="b">
        <f>COUNTIF('New Items'!$A$1:$A$175,A608)&gt;0</f>
        <v>0</v>
      </c>
      <c r="U608" s="181" t="b">
        <f>COUNTIF(Discontinued!$A$1:$A$150,A608)&gt;0</f>
        <v>0</v>
      </c>
    </row>
    <row r="609" spans="1:21" s="8" customFormat="1" ht="11.25" x14ac:dyDescent="0.2">
      <c r="A609" s="152">
        <v>10010403</v>
      </c>
      <c r="B609" s="10" t="s">
        <v>2611</v>
      </c>
      <c r="C609" s="12" t="s">
        <v>2612</v>
      </c>
      <c r="D609" s="11" t="s">
        <v>2649</v>
      </c>
      <c r="E609" s="12" t="s">
        <v>2582</v>
      </c>
      <c r="F609" s="13">
        <v>1</v>
      </c>
      <c r="G609" s="22">
        <f>Overview!$B$44</f>
        <v>44</v>
      </c>
      <c r="H609" s="114">
        <f t="shared" si="198"/>
        <v>44</v>
      </c>
      <c r="I609" s="114">
        <f>Overview!$E$44</f>
        <v>0</v>
      </c>
      <c r="J609" s="115">
        <f t="shared" si="199"/>
        <v>0</v>
      </c>
      <c r="K609" s="116">
        <f>Overview!$H$44</f>
        <v>0</v>
      </c>
      <c r="L609" s="117" t="e">
        <f t="shared" si="200"/>
        <v>#DIV/0!</v>
      </c>
      <c r="M609" s="179"/>
      <c r="N609" s="179" t="s">
        <v>3129</v>
      </c>
      <c r="O609" s="141">
        <f t="shared" si="201"/>
        <v>0</v>
      </c>
      <c r="P609" s="181" t="b">
        <f>COUNTIF('Facility Data'!$A$1:$A$1500,"*"&amp;A609&amp;"*")&gt;0</f>
        <v>0</v>
      </c>
      <c r="Q609" s="181" t="b">
        <f>COUNTIF('Account Data'!$A$1:$A$1000,"*"&amp;A609&amp;"*")&gt;0</f>
        <v>0</v>
      </c>
      <c r="R609" s="182" t="b">
        <f t="shared" si="202"/>
        <v>0</v>
      </c>
      <c r="S609" s="182" t="b">
        <f t="shared" si="203"/>
        <v>0</v>
      </c>
      <c r="T609" s="181" t="b">
        <f>COUNTIF('New Items'!$A$1:$A$175,A609)&gt;0</f>
        <v>0</v>
      </c>
      <c r="U609" s="181" t="b">
        <f>COUNTIF(Discontinued!$A$1:$A$150,A609)&gt;0</f>
        <v>0</v>
      </c>
    </row>
    <row r="610" spans="1:21" s="8" customFormat="1" ht="11.25" x14ac:dyDescent="0.2">
      <c r="A610" s="152">
        <v>10088270</v>
      </c>
      <c r="B610" s="10" t="s">
        <v>2613</v>
      </c>
      <c r="C610" s="12" t="s">
        <v>2614</v>
      </c>
      <c r="D610" s="11" t="s">
        <v>2547</v>
      </c>
      <c r="E610" s="12" t="s">
        <v>2582</v>
      </c>
      <c r="F610" s="13">
        <v>1</v>
      </c>
      <c r="G610" s="22">
        <f>Overview!$B$44</f>
        <v>44</v>
      </c>
      <c r="H610" s="114">
        <f t="shared" si="198"/>
        <v>44</v>
      </c>
      <c r="I610" s="114">
        <f>Overview!$E$44</f>
        <v>0</v>
      </c>
      <c r="J610" s="115">
        <f t="shared" si="199"/>
        <v>0</v>
      </c>
      <c r="K610" s="116">
        <f>Overview!$H$44</f>
        <v>0</v>
      </c>
      <c r="L610" s="117" t="e">
        <f t="shared" si="200"/>
        <v>#DIV/0!</v>
      </c>
      <c r="M610" s="179"/>
      <c r="N610" s="179" t="s">
        <v>3129</v>
      </c>
      <c r="O610" s="141">
        <f t="shared" si="201"/>
        <v>0</v>
      </c>
      <c r="P610" s="181" t="b">
        <f>COUNTIF('Facility Data'!$A$1:$A$1500,"*"&amp;A610&amp;"*")&gt;0</f>
        <v>0</v>
      </c>
      <c r="Q610" s="181" t="b">
        <f>COUNTIF('Account Data'!$A$1:$A$1000,"*"&amp;A610&amp;"*")&gt;0</f>
        <v>1</v>
      </c>
      <c r="R610" s="182" t="b">
        <f t="shared" si="202"/>
        <v>0</v>
      </c>
      <c r="S610" s="182" t="b">
        <f t="shared" si="203"/>
        <v>1</v>
      </c>
      <c r="T610" s="181" t="b">
        <f>COUNTIF('New Items'!$A$1:$A$175,A610)&gt;0</f>
        <v>0</v>
      </c>
      <c r="U610" s="181" t="b">
        <f>COUNTIF(Discontinued!$A$1:$A$150,A610)&gt;0</f>
        <v>0</v>
      </c>
    </row>
    <row r="611" spans="1:21" s="8" customFormat="1" ht="11.25" x14ac:dyDescent="0.2">
      <c r="A611" s="152">
        <v>10088970</v>
      </c>
      <c r="B611" s="10" t="s">
        <v>2615</v>
      </c>
      <c r="C611" s="12" t="s">
        <v>2616</v>
      </c>
      <c r="D611" s="11" t="s">
        <v>2650</v>
      </c>
      <c r="E611" s="12" t="s">
        <v>2582</v>
      </c>
      <c r="F611" s="13">
        <v>1</v>
      </c>
      <c r="G611" s="22">
        <f>Overview!$B$44</f>
        <v>44</v>
      </c>
      <c r="H611" s="114">
        <f t="shared" si="198"/>
        <v>44</v>
      </c>
      <c r="I611" s="114">
        <f>Overview!$E$44</f>
        <v>0</v>
      </c>
      <c r="J611" s="115">
        <f t="shared" si="199"/>
        <v>0</v>
      </c>
      <c r="K611" s="116">
        <f>Overview!$H$44</f>
        <v>0</v>
      </c>
      <c r="L611" s="117" t="e">
        <f t="shared" si="200"/>
        <v>#DIV/0!</v>
      </c>
      <c r="M611" s="179"/>
      <c r="N611" s="179" t="s">
        <v>3129</v>
      </c>
      <c r="O611" s="141">
        <f t="shared" si="201"/>
        <v>0</v>
      </c>
      <c r="P611" s="181" t="b">
        <f>COUNTIF('Facility Data'!$A$1:$A$1500,"*"&amp;A611&amp;"*")&gt;0</f>
        <v>0</v>
      </c>
      <c r="Q611" s="181" t="b">
        <f>COUNTIF('Account Data'!$A$1:$A$1000,"*"&amp;A611&amp;"*")&gt;0</f>
        <v>0</v>
      </c>
      <c r="R611" s="182" t="b">
        <f t="shared" si="202"/>
        <v>0</v>
      </c>
      <c r="S611" s="182" t="b">
        <f t="shared" si="203"/>
        <v>0</v>
      </c>
      <c r="T611" s="181" t="b">
        <f>COUNTIF('New Items'!$A$1:$A$175,A611)&gt;0</f>
        <v>0</v>
      </c>
      <c r="U611" s="181" t="b">
        <f>COUNTIF(Discontinued!$A$1:$A$150,A611)&gt;0</f>
        <v>0</v>
      </c>
    </row>
    <row r="612" spans="1:21" s="8" customFormat="1" ht="11.25" x14ac:dyDescent="0.2">
      <c r="A612" s="152">
        <v>10001732</v>
      </c>
      <c r="B612" s="10" t="s">
        <v>2591</v>
      </c>
      <c r="C612" s="12" t="s">
        <v>2592</v>
      </c>
      <c r="D612" s="11" t="s">
        <v>2545</v>
      </c>
      <c r="E612" s="12" t="s">
        <v>2582</v>
      </c>
      <c r="F612" s="13">
        <v>1</v>
      </c>
      <c r="G612" s="22">
        <f>Overview!$B$44</f>
        <v>44</v>
      </c>
      <c r="H612" s="114">
        <f t="shared" si="198"/>
        <v>44</v>
      </c>
      <c r="I612" s="114">
        <f>Overview!$E$44</f>
        <v>0</v>
      </c>
      <c r="J612" s="115">
        <f t="shared" si="199"/>
        <v>0</v>
      </c>
      <c r="K612" s="116">
        <f>Overview!$H$44</f>
        <v>0</v>
      </c>
      <c r="L612" s="117" t="e">
        <f t="shared" si="200"/>
        <v>#DIV/0!</v>
      </c>
      <c r="M612" s="179" t="s">
        <v>2284</v>
      </c>
      <c r="N612" s="179" t="s">
        <v>3129</v>
      </c>
      <c r="O612" s="141">
        <f t="shared" si="201"/>
        <v>0</v>
      </c>
      <c r="P612" s="181" t="b">
        <f>COUNTIF('Facility Data'!$A$1:$A$1500,"*"&amp;A612&amp;"*")&gt;0</f>
        <v>0</v>
      </c>
      <c r="Q612" s="181" t="b">
        <f>COUNTIF('Account Data'!$A$1:$A$1000,"*"&amp;A612&amp;"*")&gt;0</f>
        <v>0</v>
      </c>
      <c r="R612" s="182" t="b">
        <f t="shared" si="202"/>
        <v>0</v>
      </c>
      <c r="S612" s="182" t="b">
        <f t="shared" si="203"/>
        <v>0</v>
      </c>
      <c r="T612" s="181" t="b">
        <f>COUNTIF('New Items'!$A$1:$A$175,A612)&gt;0</f>
        <v>0</v>
      </c>
      <c r="U612" s="181" t="b">
        <f>COUNTIF(Discontinued!$A$1:$A$150,A612)&gt;0</f>
        <v>0</v>
      </c>
    </row>
    <row r="613" spans="1:21" s="8" customFormat="1" ht="11.25" x14ac:dyDescent="0.2">
      <c r="A613" s="152">
        <v>20000472</v>
      </c>
      <c r="B613" s="10" t="s">
        <v>2643</v>
      </c>
      <c r="C613" s="12" t="s">
        <v>2644</v>
      </c>
      <c r="D613" s="11" t="s">
        <v>2660</v>
      </c>
      <c r="E613" s="12" t="s">
        <v>2582</v>
      </c>
      <c r="F613" s="13">
        <v>1</v>
      </c>
      <c r="G613" s="22">
        <f>Overview!$B$44</f>
        <v>44</v>
      </c>
      <c r="H613" s="114">
        <f t="shared" si="198"/>
        <v>44</v>
      </c>
      <c r="I613" s="114">
        <f>Overview!$E$44</f>
        <v>0</v>
      </c>
      <c r="J613" s="115">
        <f t="shared" si="199"/>
        <v>0</v>
      </c>
      <c r="K613" s="116">
        <f>Overview!$H$44</f>
        <v>0</v>
      </c>
      <c r="L613" s="117" t="e">
        <f t="shared" si="200"/>
        <v>#DIV/0!</v>
      </c>
      <c r="M613" s="179"/>
      <c r="N613" s="179" t="s">
        <v>3129</v>
      </c>
      <c r="O613" s="141">
        <f t="shared" si="201"/>
        <v>0</v>
      </c>
      <c r="P613" s="181" t="b">
        <f>COUNTIF('Facility Data'!$A$1:$A$1500,"*"&amp;A613&amp;"*")&gt;0</f>
        <v>0</v>
      </c>
      <c r="Q613" s="181" t="b">
        <f>COUNTIF('Account Data'!$A$1:$A$1000,"*"&amp;A613&amp;"*")&gt;0</f>
        <v>0</v>
      </c>
      <c r="R613" s="182" t="b">
        <f t="shared" si="202"/>
        <v>0</v>
      </c>
      <c r="S613" s="182" t="b">
        <f t="shared" si="203"/>
        <v>0</v>
      </c>
      <c r="T613" s="181" t="b">
        <f>COUNTIF('New Items'!$A$1:$A$175,A613)&gt;0</f>
        <v>0</v>
      </c>
      <c r="U613" s="181" t="b">
        <f>COUNTIF(Discontinued!$A$1:$A$150,A613)&gt;0</f>
        <v>0</v>
      </c>
    </row>
    <row r="614" spans="1:21" s="8" customFormat="1" ht="11.25" x14ac:dyDescent="0.2">
      <c r="A614" s="152">
        <v>10109325</v>
      </c>
      <c r="B614" s="10" t="s">
        <v>2647</v>
      </c>
      <c r="C614" s="12" t="s">
        <v>2648</v>
      </c>
      <c r="D614" s="11" t="s">
        <v>2662</v>
      </c>
      <c r="E614" s="12" t="s">
        <v>2582</v>
      </c>
      <c r="F614" s="13">
        <v>1</v>
      </c>
      <c r="G614" s="22">
        <f>Overview!$B$44</f>
        <v>44</v>
      </c>
      <c r="H614" s="114">
        <f t="shared" si="198"/>
        <v>44</v>
      </c>
      <c r="I614" s="114">
        <f>Overview!$E$44</f>
        <v>0</v>
      </c>
      <c r="J614" s="115">
        <f t="shared" si="199"/>
        <v>0</v>
      </c>
      <c r="K614" s="116">
        <f>Overview!$H$44</f>
        <v>0</v>
      </c>
      <c r="L614" s="117" t="e">
        <f t="shared" si="200"/>
        <v>#DIV/0!</v>
      </c>
      <c r="M614" s="179"/>
      <c r="N614" s="179" t="s">
        <v>3129</v>
      </c>
      <c r="O614" s="141">
        <f t="shared" si="201"/>
        <v>0</v>
      </c>
      <c r="P614" s="181" t="b">
        <f>COUNTIF('Facility Data'!$A$1:$A$1500,"*"&amp;A614&amp;"*")&gt;0</f>
        <v>0</v>
      </c>
      <c r="Q614" s="181" t="b">
        <f>COUNTIF('Account Data'!$A$1:$A$1000,"*"&amp;A614&amp;"*")&gt;0</f>
        <v>0</v>
      </c>
      <c r="R614" s="182" t="b">
        <f t="shared" si="202"/>
        <v>0</v>
      </c>
      <c r="S614" s="182" t="b">
        <f t="shared" si="203"/>
        <v>0</v>
      </c>
      <c r="T614" s="181" t="b">
        <f>COUNTIF('New Items'!$A$1:$A$175,A614)&gt;0</f>
        <v>0</v>
      </c>
      <c r="U614" s="181" t="b">
        <f>COUNTIF(Discontinued!$A$1:$A$150,A614)&gt;0</f>
        <v>0</v>
      </c>
    </row>
    <row r="615" spans="1:21" s="8" customFormat="1" ht="11.25" x14ac:dyDescent="0.2">
      <c r="A615" s="152">
        <v>10109324</v>
      </c>
      <c r="B615" s="10" t="s">
        <v>2645</v>
      </c>
      <c r="C615" s="12" t="s">
        <v>2646</v>
      </c>
      <c r="D615" s="11" t="s">
        <v>2661</v>
      </c>
      <c r="E615" s="12" t="s">
        <v>2582</v>
      </c>
      <c r="F615" s="13">
        <v>1</v>
      </c>
      <c r="G615" s="22">
        <f>Overview!$B$44</f>
        <v>44</v>
      </c>
      <c r="H615" s="114">
        <f t="shared" si="198"/>
        <v>44</v>
      </c>
      <c r="I615" s="114">
        <f>Overview!$E$44</f>
        <v>0</v>
      </c>
      <c r="J615" s="115">
        <f t="shared" si="199"/>
        <v>0</v>
      </c>
      <c r="K615" s="116">
        <f>Overview!$H$44</f>
        <v>0</v>
      </c>
      <c r="L615" s="117" t="e">
        <f t="shared" si="200"/>
        <v>#DIV/0!</v>
      </c>
      <c r="M615" s="179"/>
      <c r="N615" s="179" t="s">
        <v>3129</v>
      </c>
      <c r="O615" s="141">
        <f t="shared" si="201"/>
        <v>0</v>
      </c>
      <c r="P615" s="181" t="b">
        <f>COUNTIF('Facility Data'!$A$1:$A$1500,"*"&amp;A615&amp;"*")&gt;0</f>
        <v>0</v>
      </c>
      <c r="Q615" s="181" t="b">
        <f>COUNTIF('Account Data'!$A$1:$A$1000,"*"&amp;A615&amp;"*")&gt;0</f>
        <v>0</v>
      </c>
      <c r="R615" s="182" t="b">
        <f t="shared" si="202"/>
        <v>0</v>
      </c>
      <c r="S615" s="182" t="b">
        <f t="shared" si="203"/>
        <v>0</v>
      </c>
      <c r="T615" s="181" t="b">
        <f>COUNTIF('New Items'!$A$1:$A$175,A615)&gt;0</f>
        <v>0</v>
      </c>
      <c r="U615" s="181" t="b">
        <f>COUNTIF(Discontinued!$A$1:$A$150,A615)&gt;0</f>
        <v>0</v>
      </c>
    </row>
    <row r="616" spans="1:21" s="8" customFormat="1" ht="11.25" x14ac:dyDescent="0.2">
      <c r="A616" s="152">
        <v>10000261</v>
      </c>
      <c r="B616" s="10" t="s">
        <v>2623</v>
      </c>
      <c r="C616" s="12" t="s">
        <v>2624</v>
      </c>
      <c r="D616" s="11" t="s">
        <v>660</v>
      </c>
      <c r="E616" s="12" t="s">
        <v>2582</v>
      </c>
      <c r="F616" s="13">
        <v>1</v>
      </c>
      <c r="G616" s="22">
        <f>Overview!$B$44</f>
        <v>44</v>
      </c>
      <c r="H616" s="114">
        <f t="shared" si="198"/>
        <v>44</v>
      </c>
      <c r="I616" s="114">
        <f>Overview!$E$44</f>
        <v>0</v>
      </c>
      <c r="J616" s="115">
        <f t="shared" si="199"/>
        <v>0</v>
      </c>
      <c r="K616" s="116">
        <f>Overview!$H$44</f>
        <v>0</v>
      </c>
      <c r="L616" s="117" t="e">
        <f t="shared" si="200"/>
        <v>#DIV/0!</v>
      </c>
      <c r="M616" s="179"/>
      <c r="N616" s="179" t="s">
        <v>3129</v>
      </c>
      <c r="O616" s="141">
        <f t="shared" si="201"/>
        <v>0</v>
      </c>
      <c r="P616" s="181" t="b">
        <f>COUNTIF('Facility Data'!$A$1:$A$1500,"*"&amp;A616&amp;"*")&gt;0</f>
        <v>0</v>
      </c>
      <c r="Q616" s="181" t="b">
        <f>COUNTIF('Account Data'!$A$1:$A$1000,"*"&amp;A616&amp;"*")&gt;0</f>
        <v>1</v>
      </c>
      <c r="R616" s="182" t="b">
        <f t="shared" si="202"/>
        <v>0</v>
      </c>
      <c r="S616" s="182" t="b">
        <f t="shared" si="203"/>
        <v>1</v>
      </c>
      <c r="T616" s="181" t="b">
        <f>COUNTIF('New Items'!$A$1:$A$175,A616)&gt;0</f>
        <v>0</v>
      </c>
      <c r="U616" s="181" t="b">
        <f>COUNTIF(Discontinued!$A$1:$A$150,A616)&gt;0</f>
        <v>0</v>
      </c>
    </row>
    <row r="617" spans="1:21" s="8" customFormat="1" ht="11.25" x14ac:dyDescent="0.2">
      <c r="A617" s="152">
        <v>10000232</v>
      </c>
      <c r="B617" s="10" t="s">
        <v>2607</v>
      </c>
      <c r="C617" s="12" t="s">
        <v>2608</v>
      </c>
      <c r="D617" s="11" t="s">
        <v>636</v>
      </c>
      <c r="E617" s="12" t="s">
        <v>2582</v>
      </c>
      <c r="F617" s="13">
        <v>1</v>
      </c>
      <c r="G617" s="22">
        <f>Overview!$B$44</f>
        <v>44</v>
      </c>
      <c r="H617" s="114">
        <f t="shared" si="198"/>
        <v>44</v>
      </c>
      <c r="I617" s="114">
        <f>Overview!$E$44</f>
        <v>0</v>
      </c>
      <c r="J617" s="115">
        <f t="shared" si="199"/>
        <v>0</v>
      </c>
      <c r="K617" s="116">
        <f>Overview!$H$44</f>
        <v>0</v>
      </c>
      <c r="L617" s="117" t="e">
        <f t="shared" si="200"/>
        <v>#DIV/0!</v>
      </c>
      <c r="M617" s="179" t="s">
        <v>4370</v>
      </c>
      <c r="N617" s="179" t="s">
        <v>3129</v>
      </c>
      <c r="O617" s="141">
        <f t="shared" si="201"/>
        <v>0</v>
      </c>
      <c r="P617" s="181" t="b">
        <f>COUNTIF('Facility Data'!$A$1:$A$1500,"*"&amp;A617&amp;"*")&gt;0</f>
        <v>0</v>
      </c>
      <c r="Q617" s="181" t="b">
        <f>COUNTIF('Account Data'!$A$1:$A$1000,"*"&amp;A617&amp;"*")&gt;0</f>
        <v>1</v>
      </c>
      <c r="R617" s="182" t="b">
        <f t="shared" si="202"/>
        <v>0</v>
      </c>
      <c r="S617" s="182" t="b">
        <f t="shared" si="203"/>
        <v>1</v>
      </c>
      <c r="T617" s="181" t="b">
        <f>COUNTIF('New Items'!$A$1:$A$175,A617)&gt;0</f>
        <v>0</v>
      </c>
      <c r="U617" s="181" t="b">
        <f>COUNTIF(Discontinued!$A$1:$A$150,A617)&gt;0</f>
        <v>0</v>
      </c>
    </row>
    <row r="618" spans="1:21" s="8" customFormat="1" ht="11.25" x14ac:dyDescent="0.2">
      <c r="A618" s="152">
        <v>10100221</v>
      </c>
      <c r="B618" s="10" t="s">
        <v>2633</v>
      </c>
      <c r="C618" s="12" t="s">
        <v>2634</v>
      </c>
      <c r="D618" s="11" t="s">
        <v>2655</v>
      </c>
      <c r="E618" s="12" t="s">
        <v>2582</v>
      </c>
      <c r="F618" s="13">
        <v>1</v>
      </c>
      <c r="G618" s="22">
        <f>Overview!$B$44</f>
        <v>44</v>
      </c>
      <c r="H618" s="114">
        <f t="shared" si="198"/>
        <v>44</v>
      </c>
      <c r="I618" s="114">
        <f>Overview!$E$44</f>
        <v>0</v>
      </c>
      <c r="J618" s="115">
        <f t="shared" si="199"/>
        <v>0</v>
      </c>
      <c r="K618" s="116">
        <f>Overview!$H$44</f>
        <v>0</v>
      </c>
      <c r="L618" s="117" t="e">
        <f t="shared" si="200"/>
        <v>#DIV/0!</v>
      </c>
      <c r="M618" s="179"/>
      <c r="N618" s="179" t="s">
        <v>3129</v>
      </c>
      <c r="O618" s="141">
        <f t="shared" si="201"/>
        <v>0</v>
      </c>
      <c r="P618" s="181" t="b">
        <f>COUNTIF('Facility Data'!$A$1:$A$1500,"*"&amp;A618&amp;"*")&gt;0</f>
        <v>0</v>
      </c>
      <c r="Q618" s="181" t="b">
        <f>COUNTIF('Account Data'!$A$1:$A$1000,"*"&amp;A618&amp;"*")&gt;0</f>
        <v>0</v>
      </c>
      <c r="R618" s="182" t="b">
        <f t="shared" si="202"/>
        <v>0</v>
      </c>
      <c r="S618" s="182" t="b">
        <f t="shared" si="203"/>
        <v>0</v>
      </c>
      <c r="T618" s="181" t="b">
        <f>COUNTIF('New Items'!$A$1:$A$175,A618)&gt;0</f>
        <v>0</v>
      </c>
      <c r="U618" s="181" t="b">
        <f>COUNTIF(Discontinued!$A$1:$A$150,A618)&gt;0</f>
        <v>0</v>
      </c>
    </row>
    <row r="619" spans="1:21" s="8" customFormat="1" ht="11.25" x14ac:dyDescent="0.2">
      <c r="A619" s="152">
        <v>10100210</v>
      </c>
      <c r="B619" s="10" t="s">
        <v>2631</v>
      </c>
      <c r="C619" s="12" t="s">
        <v>2632</v>
      </c>
      <c r="D619" s="11" t="s">
        <v>2654</v>
      </c>
      <c r="E619" s="12" t="s">
        <v>2582</v>
      </c>
      <c r="F619" s="13">
        <v>1</v>
      </c>
      <c r="G619" s="22">
        <f>Overview!$B$44</f>
        <v>44</v>
      </c>
      <c r="H619" s="114">
        <f t="shared" si="198"/>
        <v>44</v>
      </c>
      <c r="I619" s="114">
        <f>Overview!$E$44</f>
        <v>0</v>
      </c>
      <c r="J619" s="115">
        <f t="shared" si="199"/>
        <v>0</v>
      </c>
      <c r="K619" s="116">
        <f>Overview!$H$44</f>
        <v>0</v>
      </c>
      <c r="L619" s="117" t="e">
        <f t="shared" si="200"/>
        <v>#DIV/0!</v>
      </c>
      <c r="M619" s="179"/>
      <c r="N619" s="179" t="s">
        <v>3129</v>
      </c>
      <c r="O619" s="141">
        <f t="shared" si="201"/>
        <v>0</v>
      </c>
      <c r="P619" s="181" t="b">
        <f>COUNTIF('Facility Data'!$A$1:$A$1500,"*"&amp;A619&amp;"*")&gt;0</f>
        <v>0</v>
      </c>
      <c r="Q619" s="181" t="b">
        <f>COUNTIF('Account Data'!$A$1:$A$1000,"*"&amp;A619&amp;"*")&gt;0</f>
        <v>0</v>
      </c>
      <c r="R619" s="182" t="b">
        <f t="shared" si="202"/>
        <v>0</v>
      </c>
      <c r="S619" s="182" t="b">
        <f t="shared" si="203"/>
        <v>0</v>
      </c>
      <c r="T619" s="181" t="b">
        <f>COUNTIF('New Items'!$A$1:$A$175,A619)&gt;0</f>
        <v>0</v>
      </c>
      <c r="U619" s="181" t="b">
        <f>COUNTIF(Discontinued!$A$1:$A$150,A619)&gt;0</f>
        <v>0</v>
      </c>
    </row>
    <row r="620" spans="1:21" s="8" customFormat="1" ht="11.25" x14ac:dyDescent="0.2">
      <c r="A620" s="152">
        <v>10100195</v>
      </c>
      <c r="B620" s="10" t="s">
        <v>2639</v>
      </c>
      <c r="C620" s="12" t="s">
        <v>2640</v>
      </c>
      <c r="D620" s="11" t="s">
        <v>2658</v>
      </c>
      <c r="E620" s="12" t="s">
        <v>2582</v>
      </c>
      <c r="F620" s="13">
        <v>1</v>
      </c>
      <c r="G620" s="22">
        <f>Overview!$B$44</f>
        <v>44</v>
      </c>
      <c r="H620" s="114">
        <f t="shared" si="198"/>
        <v>44</v>
      </c>
      <c r="I620" s="114">
        <f>Overview!$E$44</f>
        <v>0</v>
      </c>
      <c r="J620" s="115">
        <f t="shared" si="199"/>
        <v>0</v>
      </c>
      <c r="K620" s="116">
        <f>Overview!$H$44</f>
        <v>0</v>
      </c>
      <c r="L620" s="117" t="e">
        <f t="shared" si="200"/>
        <v>#DIV/0!</v>
      </c>
      <c r="M620" s="179"/>
      <c r="N620" s="179" t="s">
        <v>3129</v>
      </c>
      <c r="O620" s="141">
        <f t="shared" si="201"/>
        <v>0</v>
      </c>
      <c r="P620" s="181" t="b">
        <f>COUNTIF('Facility Data'!$A$1:$A$1500,"*"&amp;A620&amp;"*")&gt;0</f>
        <v>0</v>
      </c>
      <c r="Q620" s="181" t="b">
        <f>COUNTIF('Account Data'!$A$1:$A$1000,"*"&amp;A620&amp;"*")&gt;0</f>
        <v>0</v>
      </c>
      <c r="R620" s="182" t="b">
        <f t="shared" si="202"/>
        <v>0</v>
      </c>
      <c r="S620" s="182" t="b">
        <f t="shared" si="203"/>
        <v>0</v>
      </c>
      <c r="T620" s="181" t="b">
        <f>COUNTIF('New Items'!$A$1:$A$175,A620)&gt;0</f>
        <v>0</v>
      </c>
      <c r="U620" s="181" t="b">
        <f>COUNTIF(Discontinued!$A$1:$A$150,A620)&gt;0</f>
        <v>0</v>
      </c>
    </row>
    <row r="621" spans="1:21" s="8" customFormat="1" ht="11.25" x14ac:dyDescent="0.2">
      <c r="A621" s="152">
        <v>10100225</v>
      </c>
      <c r="B621" s="10" t="s">
        <v>2627</v>
      </c>
      <c r="C621" s="12" t="s">
        <v>2628</v>
      </c>
      <c r="D621" s="11" t="s">
        <v>2652</v>
      </c>
      <c r="E621" s="12" t="s">
        <v>2582</v>
      </c>
      <c r="F621" s="13">
        <v>1</v>
      </c>
      <c r="G621" s="22">
        <f>Overview!$B$44</f>
        <v>44</v>
      </c>
      <c r="H621" s="114">
        <f t="shared" si="198"/>
        <v>44</v>
      </c>
      <c r="I621" s="114">
        <f>Overview!$E$44</f>
        <v>0</v>
      </c>
      <c r="J621" s="115">
        <f t="shared" si="199"/>
        <v>0</v>
      </c>
      <c r="K621" s="116">
        <f>Overview!$H$44</f>
        <v>0</v>
      </c>
      <c r="L621" s="117" t="e">
        <f t="shared" si="200"/>
        <v>#DIV/0!</v>
      </c>
      <c r="M621" s="179"/>
      <c r="N621" s="179" t="s">
        <v>3129</v>
      </c>
      <c r="O621" s="141">
        <f t="shared" si="201"/>
        <v>0</v>
      </c>
      <c r="P621" s="181" t="b">
        <f>COUNTIF('Facility Data'!$A$1:$A$1500,"*"&amp;A621&amp;"*")&gt;0</f>
        <v>0</v>
      </c>
      <c r="Q621" s="181" t="b">
        <f>COUNTIF('Account Data'!$A$1:$A$1000,"*"&amp;A621&amp;"*")&gt;0</f>
        <v>0</v>
      </c>
      <c r="R621" s="182" t="b">
        <f t="shared" si="202"/>
        <v>0</v>
      </c>
      <c r="S621" s="182" t="b">
        <f t="shared" si="203"/>
        <v>0</v>
      </c>
      <c r="T621" s="181" t="b">
        <f>COUNTIF('New Items'!$A$1:$A$175,A621)&gt;0</f>
        <v>0</v>
      </c>
      <c r="U621" s="181" t="b">
        <f>COUNTIF(Discontinued!$A$1:$A$150,A621)&gt;0</f>
        <v>0</v>
      </c>
    </row>
    <row r="622" spans="1:21" s="8" customFormat="1" ht="11.25" x14ac:dyDescent="0.2">
      <c r="A622" s="152">
        <v>10100209</v>
      </c>
      <c r="B622" s="10" t="s">
        <v>2641</v>
      </c>
      <c r="C622" s="12" t="s">
        <v>2642</v>
      </c>
      <c r="D622" s="11" t="s">
        <v>2659</v>
      </c>
      <c r="E622" s="12" t="s">
        <v>2582</v>
      </c>
      <c r="F622" s="13">
        <v>1</v>
      </c>
      <c r="G622" s="22">
        <f>Overview!$B$44</f>
        <v>44</v>
      </c>
      <c r="H622" s="114">
        <f t="shared" si="198"/>
        <v>44</v>
      </c>
      <c r="I622" s="114">
        <f>Overview!$E$44</f>
        <v>0</v>
      </c>
      <c r="J622" s="115">
        <f t="shared" si="199"/>
        <v>0</v>
      </c>
      <c r="K622" s="116">
        <f>Overview!$H$44</f>
        <v>0</v>
      </c>
      <c r="L622" s="117" t="e">
        <f t="shared" si="200"/>
        <v>#DIV/0!</v>
      </c>
      <c r="M622" s="179"/>
      <c r="N622" s="179" t="s">
        <v>3129</v>
      </c>
      <c r="O622" s="141">
        <f t="shared" si="201"/>
        <v>0</v>
      </c>
      <c r="P622" s="181" t="b">
        <f>COUNTIF('Facility Data'!$A$1:$A$1500,"*"&amp;A622&amp;"*")&gt;0</f>
        <v>0</v>
      </c>
      <c r="Q622" s="181" t="b">
        <f>COUNTIF('Account Data'!$A$1:$A$1000,"*"&amp;A622&amp;"*")&gt;0</f>
        <v>0</v>
      </c>
      <c r="R622" s="182" t="b">
        <f t="shared" si="202"/>
        <v>0</v>
      </c>
      <c r="S622" s="182" t="b">
        <f t="shared" si="203"/>
        <v>0</v>
      </c>
      <c r="T622" s="181" t="b">
        <f>COUNTIF('New Items'!$A$1:$A$175,A622)&gt;0</f>
        <v>0</v>
      </c>
      <c r="U622" s="181" t="b">
        <f>COUNTIF(Discontinued!$A$1:$A$150,A622)&gt;0</f>
        <v>0</v>
      </c>
    </row>
    <row r="623" spans="1:21" s="8" customFormat="1" ht="11.25" x14ac:dyDescent="0.2">
      <c r="A623" s="152">
        <v>10100211</v>
      </c>
      <c r="B623" s="10" t="s">
        <v>2635</v>
      </c>
      <c r="C623" s="12" t="s">
        <v>2636</v>
      </c>
      <c r="D623" s="11" t="s">
        <v>2656</v>
      </c>
      <c r="E623" s="12" t="s">
        <v>2582</v>
      </c>
      <c r="F623" s="13">
        <v>1</v>
      </c>
      <c r="G623" s="22">
        <f>Overview!$B$44</f>
        <v>44</v>
      </c>
      <c r="H623" s="114">
        <f t="shared" si="198"/>
        <v>44</v>
      </c>
      <c r="I623" s="114">
        <f>Overview!$E$44</f>
        <v>0</v>
      </c>
      <c r="J623" s="115">
        <f t="shared" si="199"/>
        <v>0</v>
      </c>
      <c r="K623" s="116">
        <f>Overview!$H$44</f>
        <v>0</v>
      </c>
      <c r="L623" s="117" t="e">
        <f t="shared" si="200"/>
        <v>#DIV/0!</v>
      </c>
      <c r="M623" s="179"/>
      <c r="N623" s="179" t="s">
        <v>3129</v>
      </c>
      <c r="O623" s="141">
        <f t="shared" si="201"/>
        <v>0</v>
      </c>
      <c r="P623" s="181" t="b">
        <f>COUNTIF('Facility Data'!$A$1:$A$1500,"*"&amp;A623&amp;"*")&gt;0</f>
        <v>0</v>
      </c>
      <c r="Q623" s="181" t="b">
        <f>COUNTIF('Account Data'!$A$1:$A$1000,"*"&amp;A623&amp;"*")&gt;0</f>
        <v>0</v>
      </c>
      <c r="R623" s="182" t="b">
        <f t="shared" si="202"/>
        <v>0</v>
      </c>
      <c r="S623" s="182" t="b">
        <f t="shared" si="203"/>
        <v>0</v>
      </c>
      <c r="T623" s="181" t="b">
        <f>COUNTIF('New Items'!$A$1:$A$175,A623)&gt;0</f>
        <v>0</v>
      </c>
      <c r="U623" s="181" t="b">
        <f>COUNTIF(Discontinued!$A$1:$A$150,A623)&gt;0</f>
        <v>0</v>
      </c>
    </row>
    <row r="624" spans="1:21" s="8" customFormat="1" ht="11.25" x14ac:dyDescent="0.2">
      <c r="A624" s="152">
        <v>10100217</v>
      </c>
      <c r="B624" s="10" t="s">
        <v>2637</v>
      </c>
      <c r="C624" s="12" t="s">
        <v>2638</v>
      </c>
      <c r="D624" s="11" t="s">
        <v>2657</v>
      </c>
      <c r="E624" s="12" t="s">
        <v>2582</v>
      </c>
      <c r="F624" s="13">
        <v>1</v>
      </c>
      <c r="G624" s="22">
        <f>Overview!$B$44</f>
        <v>44</v>
      </c>
      <c r="H624" s="114">
        <f t="shared" si="198"/>
        <v>44</v>
      </c>
      <c r="I624" s="114">
        <f>Overview!$E$44</f>
        <v>0</v>
      </c>
      <c r="J624" s="115">
        <f t="shared" si="199"/>
        <v>0</v>
      </c>
      <c r="K624" s="116">
        <f>Overview!$H$44</f>
        <v>0</v>
      </c>
      <c r="L624" s="117" t="e">
        <f t="shared" si="200"/>
        <v>#DIV/0!</v>
      </c>
      <c r="M624" s="179"/>
      <c r="N624" s="179" t="s">
        <v>3129</v>
      </c>
      <c r="O624" s="141">
        <f t="shared" si="201"/>
        <v>0</v>
      </c>
      <c r="P624" s="181" t="b">
        <f>COUNTIF('Facility Data'!$A$1:$A$1500,"*"&amp;A624&amp;"*")&gt;0</f>
        <v>0</v>
      </c>
      <c r="Q624" s="181" t="b">
        <f>COUNTIF('Account Data'!$A$1:$A$1000,"*"&amp;A624&amp;"*")&gt;0</f>
        <v>0</v>
      </c>
      <c r="R624" s="182" t="b">
        <f t="shared" si="202"/>
        <v>0</v>
      </c>
      <c r="S624" s="182" t="b">
        <f t="shared" si="203"/>
        <v>0</v>
      </c>
      <c r="T624" s="181" t="b">
        <f>COUNTIF('New Items'!$A$1:$A$175,A624)&gt;0</f>
        <v>0</v>
      </c>
      <c r="U624" s="181" t="b">
        <f>COUNTIF(Discontinued!$A$1:$A$150,A624)&gt;0</f>
        <v>0</v>
      </c>
    </row>
    <row r="625" spans="1:21" s="8" customFormat="1" ht="11.25" x14ac:dyDescent="0.2">
      <c r="A625" s="152">
        <v>10100219</v>
      </c>
      <c r="B625" s="10" t="s">
        <v>2629</v>
      </c>
      <c r="C625" s="12" t="s">
        <v>2630</v>
      </c>
      <c r="D625" s="11" t="s">
        <v>2653</v>
      </c>
      <c r="E625" s="12" t="s">
        <v>2582</v>
      </c>
      <c r="F625" s="13">
        <v>1</v>
      </c>
      <c r="G625" s="22">
        <f>Overview!$B$44</f>
        <v>44</v>
      </c>
      <c r="H625" s="114">
        <f t="shared" si="198"/>
        <v>44</v>
      </c>
      <c r="I625" s="114">
        <f>Overview!$E$44</f>
        <v>0</v>
      </c>
      <c r="J625" s="115">
        <f t="shared" si="199"/>
        <v>0</v>
      </c>
      <c r="K625" s="116">
        <f>Overview!$H$44</f>
        <v>0</v>
      </c>
      <c r="L625" s="117" t="e">
        <f t="shared" si="200"/>
        <v>#DIV/0!</v>
      </c>
      <c r="M625" s="179"/>
      <c r="N625" s="179" t="s">
        <v>3129</v>
      </c>
      <c r="O625" s="141">
        <f t="shared" si="201"/>
        <v>0</v>
      </c>
      <c r="P625" s="181" t="b">
        <f>COUNTIF('Facility Data'!$A$1:$A$1500,"*"&amp;A625&amp;"*")&gt;0</f>
        <v>0</v>
      </c>
      <c r="Q625" s="181" t="b">
        <f>COUNTIF('Account Data'!$A$1:$A$1000,"*"&amp;A625&amp;"*")&gt;0</f>
        <v>0</v>
      </c>
      <c r="R625" s="182" t="b">
        <f t="shared" si="202"/>
        <v>0</v>
      </c>
      <c r="S625" s="182" t="b">
        <f t="shared" si="203"/>
        <v>0</v>
      </c>
      <c r="T625" s="181" t="b">
        <f>COUNTIF('New Items'!$A$1:$A$175,A625)&gt;0</f>
        <v>0</v>
      </c>
      <c r="U625" s="181" t="b">
        <f>COUNTIF(Discontinued!$A$1:$A$150,A625)&gt;0</f>
        <v>0</v>
      </c>
    </row>
    <row r="626" spans="1:21" s="8" customFormat="1" ht="11.25" x14ac:dyDescent="0.2">
      <c r="A626" s="152">
        <v>10012014</v>
      </c>
      <c r="B626" s="10" t="s">
        <v>2593</v>
      </c>
      <c r="C626" s="12" t="s">
        <v>2594</v>
      </c>
      <c r="D626" s="11" t="s">
        <v>648</v>
      </c>
      <c r="E626" s="12" t="s">
        <v>2582</v>
      </c>
      <c r="F626" s="13">
        <v>1</v>
      </c>
      <c r="G626" s="22">
        <f>Overview!$B$44</f>
        <v>44</v>
      </c>
      <c r="H626" s="114">
        <f t="shared" si="198"/>
        <v>44</v>
      </c>
      <c r="I626" s="114">
        <f>Overview!$E$44</f>
        <v>0</v>
      </c>
      <c r="J626" s="115">
        <f t="shared" si="199"/>
        <v>0</v>
      </c>
      <c r="K626" s="116">
        <f>Overview!$H$44</f>
        <v>0</v>
      </c>
      <c r="L626" s="117" t="e">
        <f t="shared" si="200"/>
        <v>#DIV/0!</v>
      </c>
      <c r="M626" s="179"/>
      <c r="N626" s="179" t="s">
        <v>3129</v>
      </c>
      <c r="O626" s="141">
        <f t="shared" si="201"/>
        <v>0</v>
      </c>
      <c r="P626" s="181" t="b">
        <f>COUNTIF('Facility Data'!$A$1:$A$1500,"*"&amp;A626&amp;"*")&gt;0</f>
        <v>0</v>
      </c>
      <c r="Q626" s="181" t="b">
        <f>COUNTIF('Account Data'!$A$1:$A$1000,"*"&amp;A626&amp;"*")&gt;0</f>
        <v>0</v>
      </c>
      <c r="R626" s="182" t="b">
        <f t="shared" si="202"/>
        <v>0</v>
      </c>
      <c r="S626" s="182" t="b">
        <f t="shared" si="203"/>
        <v>0</v>
      </c>
      <c r="T626" s="181" t="b">
        <f>COUNTIF('New Items'!$A$1:$A$175,A626)&gt;0</f>
        <v>0</v>
      </c>
      <c r="U626" s="181" t="b">
        <f>COUNTIF(Discontinued!$A$1:$A$150,A626)&gt;0</f>
        <v>0</v>
      </c>
    </row>
    <row r="627" spans="1:21" s="8" customFormat="1" ht="11.25" x14ac:dyDescent="0.2">
      <c r="A627" s="152">
        <v>10000328</v>
      </c>
      <c r="B627" s="10" t="s">
        <v>2601</v>
      </c>
      <c r="C627" s="12" t="s">
        <v>2602</v>
      </c>
      <c r="D627" s="11" t="s">
        <v>1268</v>
      </c>
      <c r="E627" s="12" t="s">
        <v>2582</v>
      </c>
      <c r="F627" s="13">
        <v>1</v>
      </c>
      <c r="G627" s="22">
        <f>Overview!$B$44</f>
        <v>44</v>
      </c>
      <c r="H627" s="114">
        <f>G627-I627</f>
        <v>44</v>
      </c>
      <c r="I627" s="114">
        <f>Overview!$E$44</f>
        <v>0</v>
      </c>
      <c r="J627" s="115">
        <f>I627/F627</f>
        <v>0</v>
      </c>
      <c r="K627" s="116">
        <f>Overview!$H$44</f>
        <v>0</v>
      </c>
      <c r="L627" s="117" t="e">
        <f>(K627-J627)/K627</f>
        <v>#DIV/0!</v>
      </c>
      <c r="M627" s="179" t="s">
        <v>4369</v>
      </c>
      <c r="N627" s="179" t="s">
        <v>3129</v>
      </c>
      <c r="O627" s="141">
        <f>I627</f>
        <v>0</v>
      </c>
      <c r="P627" s="181" t="b">
        <f>COUNTIF('Facility Data'!$A$1:$A$1500,"*"&amp;A627&amp;"*")&gt;0</f>
        <v>0</v>
      </c>
      <c r="Q627" s="181" t="b">
        <f>COUNTIF('Account Data'!$A$1:$A$1000,"*"&amp;A627&amp;"*")&gt;0</f>
        <v>0</v>
      </c>
      <c r="R627" s="182" t="b">
        <f t="shared" si="202"/>
        <v>0</v>
      </c>
      <c r="S627" s="182" t="b">
        <f>IF(OR(Q627=TRUE,T627=TRUE),TRUE,FALSE)</f>
        <v>0</v>
      </c>
      <c r="T627" s="181" t="b">
        <f>COUNTIF('New Items'!$A$1:$A$175,A627)&gt;0</f>
        <v>0</v>
      </c>
      <c r="U627" s="181" t="b">
        <f>COUNTIF(Discontinued!$A$1:$A$150,A627)&gt;0</f>
        <v>0</v>
      </c>
    </row>
    <row r="628" spans="1:21" s="8" customFormat="1" ht="11.25" x14ac:dyDescent="0.2">
      <c r="A628" s="152">
        <v>10000333</v>
      </c>
      <c r="B628" s="10" t="s">
        <v>3789</v>
      </c>
      <c r="C628" s="12" t="s">
        <v>3790</v>
      </c>
      <c r="D628" s="11" t="s">
        <v>3788</v>
      </c>
      <c r="E628" s="12" t="s">
        <v>2582</v>
      </c>
      <c r="F628" s="13">
        <v>1</v>
      </c>
      <c r="G628" s="22">
        <f>Overview!$B$44</f>
        <v>44</v>
      </c>
      <c r="H628" s="114">
        <f t="shared" si="198"/>
        <v>44</v>
      </c>
      <c r="I628" s="114">
        <f>Overview!$E$44</f>
        <v>0</v>
      </c>
      <c r="J628" s="115">
        <f t="shared" si="199"/>
        <v>0</v>
      </c>
      <c r="K628" s="116">
        <f>Overview!$H$44</f>
        <v>0</v>
      </c>
      <c r="L628" s="117" t="e">
        <f t="shared" si="200"/>
        <v>#DIV/0!</v>
      </c>
      <c r="M628" s="179" t="s">
        <v>4369</v>
      </c>
      <c r="N628" s="179" t="s">
        <v>3129</v>
      </c>
      <c r="O628" s="141">
        <f t="shared" si="201"/>
        <v>0</v>
      </c>
      <c r="P628" s="181" t="b">
        <f>COUNTIF('Facility Data'!$A$1:$A$1500,"*"&amp;A628&amp;"*")&gt;0</f>
        <v>0</v>
      </c>
      <c r="Q628" s="181" t="b">
        <f>COUNTIF('Account Data'!$A$1:$A$1000,"*"&amp;A628&amp;"*")&gt;0</f>
        <v>0</v>
      </c>
      <c r="R628" s="182" t="b">
        <f t="shared" si="202"/>
        <v>0</v>
      </c>
      <c r="S628" s="182" t="b">
        <f t="shared" si="203"/>
        <v>0</v>
      </c>
      <c r="T628" s="181" t="b">
        <f>COUNTIF('New Items'!$A$1:$A$175,A628)&gt;0</f>
        <v>0</v>
      </c>
      <c r="U628" s="181" t="b">
        <f>COUNTIF(Discontinued!$A$1:$A$150,A628)&gt;0</f>
        <v>0</v>
      </c>
    </row>
    <row r="629" spans="1:21" s="8" customFormat="1" ht="11.25" x14ac:dyDescent="0.2">
      <c r="A629" s="152">
        <v>10078957</v>
      </c>
      <c r="B629" s="10" t="s">
        <v>2599</v>
      </c>
      <c r="C629" s="12" t="s">
        <v>2600</v>
      </c>
      <c r="D629" s="11" t="s">
        <v>635</v>
      </c>
      <c r="E629" s="12" t="s">
        <v>2582</v>
      </c>
      <c r="F629" s="13">
        <v>1</v>
      </c>
      <c r="G629" s="22">
        <f>Overview!$B$44</f>
        <v>44</v>
      </c>
      <c r="H629" s="114">
        <f t="shared" si="198"/>
        <v>44</v>
      </c>
      <c r="I629" s="114">
        <f>Overview!$E$44</f>
        <v>0</v>
      </c>
      <c r="J629" s="115">
        <f t="shared" si="199"/>
        <v>0</v>
      </c>
      <c r="K629" s="116">
        <f>Overview!$H$44</f>
        <v>0</v>
      </c>
      <c r="L629" s="117" t="e">
        <f t="shared" si="200"/>
        <v>#DIV/0!</v>
      </c>
      <c r="M629" s="179" t="s">
        <v>4369</v>
      </c>
      <c r="N629" s="179" t="s">
        <v>3129</v>
      </c>
      <c r="O629" s="141">
        <f t="shared" si="201"/>
        <v>0</v>
      </c>
      <c r="P629" s="181" t="b">
        <f>COUNTIF('Facility Data'!$A$1:$A$1500,"*"&amp;A629&amp;"*")&gt;0</f>
        <v>0</v>
      </c>
      <c r="Q629" s="181" t="b">
        <f>COUNTIF('Account Data'!$A$1:$A$1000,"*"&amp;A629&amp;"*")&gt;0</f>
        <v>0</v>
      </c>
      <c r="R629" s="182" t="b">
        <f t="shared" si="202"/>
        <v>0</v>
      </c>
      <c r="S629" s="182" t="b">
        <f t="shared" si="203"/>
        <v>0</v>
      </c>
      <c r="T629" s="181" t="b">
        <f>COUNTIF('New Items'!$A$1:$A$175,A629)&gt;0</f>
        <v>0</v>
      </c>
      <c r="U629" s="181" t="b">
        <f>COUNTIF(Discontinued!$A$1:$A$150,A629)&gt;0</f>
        <v>0</v>
      </c>
    </row>
    <row r="630" spans="1:21" s="8" customFormat="1" ht="11.25" x14ac:dyDescent="0.2">
      <c r="A630" s="152">
        <v>10000327</v>
      </c>
      <c r="B630" s="10" t="s">
        <v>2595</v>
      </c>
      <c r="C630" s="12" t="s">
        <v>2596</v>
      </c>
      <c r="D630" s="11" t="s">
        <v>650</v>
      </c>
      <c r="E630" s="12" t="s">
        <v>2582</v>
      </c>
      <c r="F630" s="13">
        <v>1</v>
      </c>
      <c r="G630" s="22">
        <f>Overview!$B$44</f>
        <v>44</v>
      </c>
      <c r="H630" s="114">
        <f t="shared" si="198"/>
        <v>44</v>
      </c>
      <c r="I630" s="114">
        <f>Overview!$E$44</f>
        <v>0</v>
      </c>
      <c r="J630" s="115">
        <f t="shared" si="199"/>
        <v>0</v>
      </c>
      <c r="K630" s="116">
        <f>Overview!$H$44</f>
        <v>0</v>
      </c>
      <c r="L630" s="117" t="e">
        <f t="shared" si="200"/>
        <v>#DIV/0!</v>
      </c>
      <c r="M630" s="179" t="s">
        <v>4369</v>
      </c>
      <c r="N630" s="179" t="s">
        <v>3129</v>
      </c>
      <c r="O630" s="141">
        <f t="shared" si="201"/>
        <v>0</v>
      </c>
      <c r="P630" s="181" t="b">
        <f>COUNTIF('Facility Data'!$A$1:$A$1500,"*"&amp;A630&amp;"*")&gt;0</f>
        <v>0</v>
      </c>
      <c r="Q630" s="181" t="b">
        <f>COUNTIF('Account Data'!$A$1:$A$1000,"*"&amp;A630&amp;"*")&gt;0</f>
        <v>1</v>
      </c>
      <c r="R630" s="182" t="b">
        <f t="shared" si="202"/>
        <v>0</v>
      </c>
      <c r="S630" s="182" t="b">
        <f t="shared" si="203"/>
        <v>1</v>
      </c>
      <c r="T630" s="181" t="b">
        <f>COUNTIF('New Items'!$A$1:$A$175,A630)&gt;0</f>
        <v>0</v>
      </c>
      <c r="U630" s="181" t="b">
        <f>COUNTIF(Discontinued!$A$1:$A$150,A630)&gt;0</f>
        <v>0</v>
      </c>
    </row>
    <row r="631" spans="1:21" s="8" customFormat="1" ht="12" thickBot="1" x14ac:dyDescent="0.25">
      <c r="A631" s="152">
        <v>10078956</v>
      </c>
      <c r="B631" s="10" t="s">
        <v>2597</v>
      </c>
      <c r="C631" s="12" t="s">
        <v>2598</v>
      </c>
      <c r="D631" s="11" t="s">
        <v>634</v>
      </c>
      <c r="E631" s="12" t="s">
        <v>2582</v>
      </c>
      <c r="F631" s="13">
        <v>1</v>
      </c>
      <c r="G631" s="22">
        <f>Overview!$B$44</f>
        <v>44</v>
      </c>
      <c r="H631" s="114">
        <f t="shared" si="198"/>
        <v>44</v>
      </c>
      <c r="I631" s="114">
        <f>Overview!$E$44</f>
        <v>0</v>
      </c>
      <c r="J631" s="115">
        <f t="shared" si="199"/>
        <v>0</v>
      </c>
      <c r="K631" s="116">
        <f>Overview!$H$44</f>
        <v>0</v>
      </c>
      <c r="L631" s="117" t="e">
        <f t="shared" si="200"/>
        <v>#DIV/0!</v>
      </c>
      <c r="M631" s="179" t="s">
        <v>4369</v>
      </c>
      <c r="N631" s="179" t="s">
        <v>3129</v>
      </c>
      <c r="O631" s="141">
        <f t="shared" si="201"/>
        <v>0</v>
      </c>
      <c r="P631" s="181" t="b">
        <f>COUNTIF('Facility Data'!$A$1:$A$1500,"*"&amp;A631&amp;"*")&gt;0</f>
        <v>0</v>
      </c>
      <c r="Q631" s="181" t="b">
        <f>COUNTIF('Account Data'!$A$1:$A$1000,"*"&amp;A631&amp;"*")&gt;0</f>
        <v>0</v>
      </c>
      <c r="R631" s="182" t="b">
        <f t="shared" si="202"/>
        <v>0</v>
      </c>
      <c r="S631" s="182" t="b">
        <f t="shared" si="203"/>
        <v>0</v>
      </c>
      <c r="T631" s="181" t="b">
        <f>COUNTIF('New Items'!$A$1:$A$175,A631)&gt;0</f>
        <v>0</v>
      </c>
      <c r="U631" s="181" t="b">
        <f>COUNTIF(Discontinued!$A$1:$A$150,A631)&gt;0</f>
        <v>0</v>
      </c>
    </row>
    <row r="632" spans="1:21" s="8" customFormat="1" ht="13.5" thickBot="1" x14ac:dyDescent="0.25">
      <c r="A632" s="300" t="s">
        <v>2552</v>
      </c>
      <c r="B632" s="301"/>
      <c r="C632" s="301"/>
      <c r="D632" s="301"/>
      <c r="E632" s="301"/>
      <c r="F632" s="301"/>
      <c r="G632" s="301"/>
      <c r="H632" s="301"/>
      <c r="I632" s="301"/>
      <c r="J632" s="301"/>
      <c r="K632" s="301"/>
      <c r="L632" s="302"/>
      <c r="M632" s="179"/>
      <c r="N632" s="179" t="s">
        <v>3128</v>
      </c>
      <c r="O632" s="141">
        <f>AVERAGE(O633:O642)</f>
        <v>0</v>
      </c>
      <c r="P632" s="181" t="b">
        <f>COUNTIF(P633:P642,TRUE)&gt;0</f>
        <v>0</v>
      </c>
      <c r="Q632" s="181" t="b">
        <f>COUNTIF(Q633:Q642,TRUE)&gt;0</f>
        <v>0</v>
      </c>
      <c r="R632" s="181" t="b">
        <f>COUNTIF(R633:R642,TRUE)&gt;0</f>
        <v>0</v>
      </c>
      <c r="S632" s="181" t="b">
        <f>COUNTIF(S633:S642,TRUE)&gt;0</f>
        <v>0</v>
      </c>
      <c r="T632" s="181" t="b">
        <f>COUNTIF(T633:T642,TRUE)&gt;0</f>
        <v>0</v>
      </c>
      <c r="U632" s="249"/>
    </row>
    <row r="633" spans="1:21" s="8" customFormat="1" ht="11.25" x14ac:dyDescent="0.2">
      <c r="A633" s="152">
        <v>20000498</v>
      </c>
      <c r="B633" s="10" t="s">
        <v>2567</v>
      </c>
      <c r="C633" s="12" t="s">
        <v>2568</v>
      </c>
      <c r="D633" s="11" t="s">
        <v>2578</v>
      </c>
      <c r="E633" s="12" t="s">
        <v>2580</v>
      </c>
      <c r="F633" s="13">
        <v>1</v>
      </c>
      <c r="G633" s="22">
        <f>Overview!$B$43</f>
        <v>84</v>
      </c>
      <c r="H633" s="114">
        <f t="shared" ref="H633:H642" si="204">G633-I633</f>
        <v>84</v>
      </c>
      <c r="I633" s="114">
        <f>Overview!$E$43</f>
        <v>0</v>
      </c>
      <c r="J633" s="115">
        <f t="shared" ref="J633:J642" si="205">I633/F633</f>
        <v>0</v>
      </c>
      <c r="K633" s="116">
        <f>Overview!$H$43</f>
        <v>0</v>
      </c>
      <c r="L633" s="117" t="e">
        <f t="shared" ref="L633:L642" si="206">(K633-J633)/K633</f>
        <v>#DIV/0!</v>
      </c>
      <c r="M633" s="179"/>
      <c r="N633" s="179" t="s">
        <v>3128</v>
      </c>
      <c r="O633" s="141">
        <f t="shared" ref="O633:O642" si="207">I633</f>
        <v>0</v>
      </c>
      <c r="P633" s="181" t="b">
        <f>COUNTIF('Facility Data'!$A$1:$A$1500,"*"&amp;A633&amp;"*")&gt;0</f>
        <v>0</v>
      </c>
      <c r="Q633" s="181" t="b">
        <f>COUNTIF('Account Data'!$A$1:$A$1000,"*"&amp;A633&amp;"*")&gt;0</f>
        <v>0</v>
      </c>
      <c r="R633" s="182" t="b">
        <f t="shared" ref="R633:R642" si="208">IF(OR(P633=TRUE,T633=TRUE),TRUE,FALSE)</f>
        <v>0</v>
      </c>
      <c r="S633" s="182" t="b">
        <f t="shared" ref="S633:S642" si="209">IF(OR(Q633=TRUE,T633=TRUE),TRUE,FALSE)</f>
        <v>0</v>
      </c>
      <c r="T633" s="181" t="b">
        <f>COUNTIF('New Items'!$A$1:$A$175,A633)&gt;0</f>
        <v>0</v>
      </c>
      <c r="U633" s="181" t="b">
        <f>COUNTIF(Discontinued!$A$1:$A$150,A633)&gt;0</f>
        <v>0</v>
      </c>
    </row>
    <row r="634" spans="1:21" s="8" customFormat="1" ht="11.25" x14ac:dyDescent="0.2">
      <c r="A634" s="152">
        <v>20000499</v>
      </c>
      <c r="B634" s="10" t="s">
        <v>2561</v>
      </c>
      <c r="C634" s="12" t="s">
        <v>2562</v>
      </c>
      <c r="D634" s="11" t="s">
        <v>2575</v>
      </c>
      <c r="E634" s="12" t="s">
        <v>2580</v>
      </c>
      <c r="F634" s="13">
        <v>1</v>
      </c>
      <c r="G634" s="22">
        <f>Overview!$B$43</f>
        <v>84</v>
      </c>
      <c r="H634" s="114">
        <f t="shared" si="204"/>
        <v>84</v>
      </c>
      <c r="I634" s="114">
        <f>Overview!$E$43</f>
        <v>0</v>
      </c>
      <c r="J634" s="115">
        <f t="shared" si="205"/>
        <v>0</v>
      </c>
      <c r="K634" s="116">
        <f>Overview!$H$43</f>
        <v>0</v>
      </c>
      <c r="L634" s="117" t="e">
        <f t="shared" si="206"/>
        <v>#DIV/0!</v>
      </c>
      <c r="M634" s="179"/>
      <c r="N634" s="179" t="s">
        <v>3128</v>
      </c>
      <c r="O634" s="141">
        <f t="shared" si="207"/>
        <v>0</v>
      </c>
      <c r="P634" s="181" t="b">
        <f>COUNTIF('Facility Data'!$A$1:$A$1500,"*"&amp;A634&amp;"*")&gt;0</f>
        <v>0</v>
      </c>
      <c r="Q634" s="181" t="b">
        <f>COUNTIF('Account Data'!$A$1:$A$1000,"*"&amp;A634&amp;"*")&gt;0</f>
        <v>0</v>
      </c>
      <c r="R634" s="182" t="b">
        <f t="shared" si="208"/>
        <v>0</v>
      </c>
      <c r="S634" s="182" t="b">
        <f t="shared" si="209"/>
        <v>0</v>
      </c>
      <c r="T634" s="181" t="b">
        <f>COUNTIF('New Items'!$A$1:$A$175,A634)&gt;0</f>
        <v>0</v>
      </c>
      <c r="U634" s="181" t="b">
        <f>COUNTIF(Discontinued!$A$1:$A$150,A634)&gt;0</f>
        <v>0</v>
      </c>
    </row>
    <row r="635" spans="1:21" s="8" customFormat="1" ht="11.25" x14ac:dyDescent="0.2">
      <c r="A635" s="152">
        <v>20000509</v>
      </c>
      <c r="B635" s="10" t="s">
        <v>2559</v>
      </c>
      <c r="C635" s="12" t="s">
        <v>2560</v>
      </c>
      <c r="D635" s="11" t="s">
        <v>2574</v>
      </c>
      <c r="E635" s="12" t="s">
        <v>2580</v>
      </c>
      <c r="F635" s="13">
        <v>1</v>
      </c>
      <c r="G635" s="22">
        <f>Overview!$B$43</f>
        <v>84</v>
      </c>
      <c r="H635" s="114">
        <f t="shared" si="204"/>
        <v>84</v>
      </c>
      <c r="I635" s="114">
        <f>Overview!$E$43</f>
        <v>0</v>
      </c>
      <c r="J635" s="115">
        <f t="shared" si="205"/>
        <v>0</v>
      </c>
      <c r="K635" s="116">
        <f>Overview!$H$43</f>
        <v>0</v>
      </c>
      <c r="L635" s="117" t="e">
        <f t="shared" si="206"/>
        <v>#DIV/0!</v>
      </c>
      <c r="M635" s="179"/>
      <c r="N635" s="179" t="s">
        <v>3128</v>
      </c>
      <c r="O635" s="141">
        <f t="shared" si="207"/>
        <v>0</v>
      </c>
      <c r="P635" s="181" t="b">
        <f>COUNTIF('Facility Data'!$A$1:$A$1500,"*"&amp;A635&amp;"*")&gt;0</f>
        <v>0</v>
      </c>
      <c r="Q635" s="181" t="b">
        <f>COUNTIF('Account Data'!$A$1:$A$1000,"*"&amp;A635&amp;"*")&gt;0</f>
        <v>0</v>
      </c>
      <c r="R635" s="182" t="b">
        <f t="shared" si="208"/>
        <v>0</v>
      </c>
      <c r="S635" s="182" t="b">
        <f t="shared" si="209"/>
        <v>0</v>
      </c>
      <c r="T635" s="181" t="b">
        <f>COUNTIF('New Items'!$A$1:$A$175,A635)&gt;0</f>
        <v>0</v>
      </c>
      <c r="U635" s="181" t="b">
        <f>COUNTIF(Discontinued!$A$1:$A$150,A635)&gt;0</f>
        <v>0</v>
      </c>
    </row>
    <row r="636" spans="1:21" s="8" customFormat="1" ht="11.25" x14ac:dyDescent="0.2">
      <c r="A636" s="152">
        <v>20000516</v>
      </c>
      <c r="B636" s="10" t="s">
        <v>2569</v>
      </c>
      <c r="C636" s="12" t="s">
        <v>2570</v>
      </c>
      <c r="D636" s="11" t="s">
        <v>2579</v>
      </c>
      <c r="E636" s="12" t="s">
        <v>2580</v>
      </c>
      <c r="F636" s="13">
        <v>1</v>
      </c>
      <c r="G636" s="22">
        <f>Overview!$B$43</f>
        <v>84</v>
      </c>
      <c r="H636" s="114">
        <f t="shared" si="204"/>
        <v>84</v>
      </c>
      <c r="I636" s="114">
        <f>Overview!$E$43</f>
        <v>0</v>
      </c>
      <c r="J636" s="115">
        <f t="shared" si="205"/>
        <v>0</v>
      </c>
      <c r="K636" s="116">
        <f>Overview!$H$43</f>
        <v>0</v>
      </c>
      <c r="L636" s="117" t="e">
        <f t="shared" si="206"/>
        <v>#DIV/0!</v>
      </c>
      <c r="M636" s="179"/>
      <c r="N636" s="179" t="s">
        <v>3128</v>
      </c>
      <c r="O636" s="141">
        <f t="shared" si="207"/>
        <v>0</v>
      </c>
      <c r="P636" s="181" t="b">
        <f>COUNTIF('Facility Data'!$A$1:$A$1500,"*"&amp;A636&amp;"*")&gt;0</f>
        <v>0</v>
      </c>
      <c r="Q636" s="181" t="b">
        <f>COUNTIF('Account Data'!$A$1:$A$1000,"*"&amp;A636&amp;"*")&gt;0</f>
        <v>0</v>
      </c>
      <c r="R636" s="182" t="b">
        <f t="shared" si="208"/>
        <v>0</v>
      </c>
      <c r="S636" s="182" t="b">
        <f t="shared" si="209"/>
        <v>0</v>
      </c>
      <c r="T636" s="181" t="b">
        <f>COUNTIF('New Items'!$A$1:$A$175,A636)&gt;0</f>
        <v>0</v>
      </c>
      <c r="U636" s="181" t="b">
        <f>COUNTIF(Discontinued!$A$1:$A$150,A636)&gt;0</f>
        <v>0</v>
      </c>
    </row>
    <row r="637" spans="1:21" s="8" customFormat="1" ht="11.25" x14ac:dyDescent="0.2">
      <c r="A637" s="152">
        <v>20000500</v>
      </c>
      <c r="B637" s="10" t="s">
        <v>3786</v>
      </c>
      <c r="C637" s="12" t="s">
        <v>3787</v>
      </c>
      <c r="D637" s="11" t="s">
        <v>2667</v>
      </c>
      <c r="E637" s="12" t="s">
        <v>2580</v>
      </c>
      <c r="F637" s="13">
        <v>1</v>
      </c>
      <c r="G637" s="22">
        <f>Overview!$B$43</f>
        <v>84</v>
      </c>
      <c r="H637" s="114">
        <f>G637-I637</f>
        <v>84</v>
      </c>
      <c r="I637" s="114">
        <f>Overview!$E$43</f>
        <v>0</v>
      </c>
      <c r="J637" s="115">
        <f>I637/F637</f>
        <v>0</v>
      </c>
      <c r="K637" s="116">
        <f>Overview!$H$43</f>
        <v>0</v>
      </c>
      <c r="L637" s="117" t="e">
        <f>(K637-J637)/K637</f>
        <v>#DIV/0!</v>
      </c>
      <c r="M637" s="179"/>
      <c r="N637" s="179" t="s">
        <v>3128</v>
      </c>
      <c r="O637" s="141">
        <f>I637</f>
        <v>0</v>
      </c>
      <c r="P637" s="181" t="b">
        <f>COUNTIF('Facility Data'!$A$1:$A$1500,"*"&amp;A637&amp;"*")&gt;0</f>
        <v>0</v>
      </c>
      <c r="Q637" s="181" t="b">
        <f>COUNTIF('Account Data'!$A$1:$A$1000,"*"&amp;A637&amp;"*")&gt;0</f>
        <v>0</v>
      </c>
      <c r="R637" s="182" t="b">
        <f t="shared" si="208"/>
        <v>0</v>
      </c>
      <c r="S637" s="182" t="b">
        <f>IF(OR(Q637=TRUE,T637=TRUE),TRUE,FALSE)</f>
        <v>0</v>
      </c>
      <c r="T637" s="181" t="b">
        <f>COUNTIF('New Items'!$A$1:$A$175,A637)&gt;0</f>
        <v>0</v>
      </c>
      <c r="U637" s="181" t="b">
        <f>COUNTIF(Discontinued!$A$1:$A$150,A637)&gt;0</f>
        <v>0</v>
      </c>
    </row>
    <row r="638" spans="1:21" s="8" customFormat="1" ht="11.25" x14ac:dyDescent="0.2">
      <c r="A638" s="152">
        <v>20000505</v>
      </c>
      <c r="B638" s="10" t="s">
        <v>2555</v>
      </c>
      <c r="C638" s="12" t="s">
        <v>2556</v>
      </c>
      <c r="D638" s="11" t="s">
        <v>2572</v>
      </c>
      <c r="E638" s="12" t="s">
        <v>2580</v>
      </c>
      <c r="F638" s="13">
        <v>1</v>
      </c>
      <c r="G638" s="22">
        <f>Overview!$B$43</f>
        <v>84</v>
      </c>
      <c r="H638" s="114">
        <f t="shared" si="204"/>
        <v>84</v>
      </c>
      <c r="I638" s="114">
        <f>Overview!$E$43</f>
        <v>0</v>
      </c>
      <c r="J638" s="115">
        <f t="shared" si="205"/>
        <v>0</v>
      </c>
      <c r="K638" s="116">
        <f>Overview!$H$43</f>
        <v>0</v>
      </c>
      <c r="L638" s="117" t="e">
        <f t="shared" si="206"/>
        <v>#DIV/0!</v>
      </c>
      <c r="M638" s="179"/>
      <c r="N638" s="179" t="s">
        <v>3128</v>
      </c>
      <c r="O638" s="141">
        <f t="shared" si="207"/>
        <v>0</v>
      </c>
      <c r="P638" s="181" t="b">
        <f>COUNTIF('Facility Data'!$A$1:$A$1500,"*"&amp;A638&amp;"*")&gt;0</f>
        <v>0</v>
      </c>
      <c r="Q638" s="181" t="b">
        <f>COUNTIF('Account Data'!$A$1:$A$1000,"*"&amp;A638&amp;"*")&gt;0</f>
        <v>0</v>
      </c>
      <c r="R638" s="182" t="b">
        <f t="shared" si="208"/>
        <v>0</v>
      </c>
      <c r="S638" s="182" t="b">
        <f t="shared" si="209"/>
        <v>0</v>
      </c>
      <c r="T638" s="181" t="b">
        <f>COUNTIF('New Items'!$A$1:$A$175,A638)&gt;0</f>
        <v>0</v>
      </c>
      <c r="U638" s="181" t="b">
        <f>COUNTIF(Discontinued!$A$1:$A$150,A638)&gt;0</f>
        <v>0</v>
      </c>
    </row>
    <row r="639" spans="1:21" s="8" customFormat="1" ht="11.25" x14ac:dyDescent="0.2">
      <c r="A639" s="152">
        <v>20000503</v>
      </c>
      <c r="B639" s="10" t="s">
        <v>2553</v>
      </c>
      <c r="C639" s="12" t="s">
        <v>2554</v>
      </c>
      <c r="D639" s="11" t="s">
        <v>2571</v>
      </c>
      <c r="E639" s="12" t="s">
        <v>2580</v>
      </c>
      <c r="F639" s="13">
        <v>1</v>
      </c>
      <c r="G639" s="22">
        <f>Overview!$B$43</f>
        <v>84</v>
      </c>
      <c r="H639" s="114">
        <f t="shared" si="204"/>
        <v>84</v>
      </c>
      <c r="I639" s="114">
        <f>Overview!$E$43</f>
        <v>0</v>
      </c>
      <c r="J639" s="115">
        <f t="shared" si="205"/>
        <v>0</v>
      </c>
      <c r="K639" s="116">
        <f>Overview!$H$43</f>
        <v>0</v>
      </c>
      <c r="L639" s="117" t="e">
        <f t="shared" si="206"/>
        <v>#DIV/0!</v>
      </c>
      <c r="M639" s="179"/>
      <c r="N639" s="179" t="s">
        <v>3128</v>
      </c>
      <c r="O639" s="141">
        <f t="shared" si="207"/>
        <v>0</v>
      </c>
      <c r="P639" s="181" t="b">
        <f>COUNTIF('Facility Data'!$A$1:$A$1500,"*"&amp;A639&amp;"*")&gt;0</f>
        <v>0</v>
      </c>
      <c r="Q639" s="181" t="b">
        <f>COUNTIF('Account Data'!$A$1:$A$1000,"*"&amp;A639&amp;"*")&gt;0</f>
        <v>0</v>
      </c>
      <c r="R639" s="182" t="b">
        <f t="shared" si="208"/>
        <v>0</v>
      </c>
      <c r="S639" s="182" t="b">
        <f t="shared" si="209"/>
        <v>0</v>
      </c>
      <c r="T639" s="181" t="b">
        <f>COUNTIF('New Items'!$A$1:$A$175,A639)&gt;0</f>
        <v>0</v>
      </c>
      <c r="U639" s="181" t="b">
        <f>COUNTIF(Discontinued!$A$1:$A$150,A639)&gt;0</f>
        <v>0</v>
      </c>
    </row>
    <row r="640" spans="1:21" s="8" customFormat="1" ht="11.25" x14ac:dyDescent="0.2">
      <c r="A640" s="152">
        <v>20000522</v>
      </c>
      <c r="B640" s="10" t="s">
        <v>2557</v>
      </c>
      <c r="C640" s="12" t="s">
        <v>2558</v>
      </c>
      <c r="D640" s="11" t="s">
        <v>2573</v>
      </c>
      <c r="E640" s="12" t="s">
        <v>2580</v>
      </c>
      <c r="F640" s="13">
        <v>1</v>
      </c>
      <c r="G640" s="22">
        <f>Overview!$B$43</f>
        <v>84</v>
      </c>
      <c r="H640" s="114">
        <f t="shared" si="204"/>
        <v>84</v>
      </c>
      <c r="I640" s="114">
        <f>Overview!$E$43</f>
        <v>0</v>
      </c>
      <c r="J640" s="115">
        <f t="shared" si="205"/>
        <v>0</v>
      </c>
      <c r="K640" s="116">
        <f>Overview!$H$43</f>
        <v>0</v>
      </c>
      <c r="L640" s="117" t="e">
        <f t="shared" si="206"/>
        <v>#DIV/0!</v>
      </c>
      <c r="M640" s="179"/>
      <c r="N640" s="179" t="s">
        <v>3128</v>
      </c>
      <c r="O640" s="141">
        <f t="shared" si="207"/>
        <v>0</v>
      </c>
      <c r="P640" s="181" t="b">
        <f>COUNTIF('Facility Data'!$A$1:$A$1500,"*"&amp;A640&amp;"*")&gt;0</f>
        <v>0</v>
      </c>
      <c r="Q640" s="181" t="b">
        <f>COUNTIF('Account Data'!$A$1:$A$1000,"*"&amp;A640&amp;"*")&gt;0</f>
        <v>0</v>
      </c>
      <c r="R640" s="182" t="b">
        <f t="shared" si="208"/>
        <v>0</v>
      </c>
      <c r="S640" s="182" t="b">
        <f t="shared" si="209"/>
        <v>0</v>
      </c>
      <c r="T640" s="181" t="b">
        <f>COUNTIF('New Items'!$A$1:$A$175,A640)&gt;0</f>
        <v>0</v>
      </c>
      <c r="U640" s="181" t="b">
        <f>COUNTIF(Discontinued!$A$1:$A$150,A640)&gt;0</f>
        <v>0</v>
      </c>
    </row>
    <row r="641" spans="1:21" s="8" customFormat="1" ht="11.25" x14ac:dyDescent="0.2">
      <c r="A641" s="152">
        <v>20000508</v>
      </c>
      <c r="B641" s="10" t="s">
        <v>2565</v>
      </c>
      <c r="C641" s="12" t="s">
        <v>2566</v>
      </c>
      <c r="D641" s="11" t="s">
        <v>2577</v>
      </c>
      <c r="E641" s="12" t="s">
        <v>2580</v>
      </c>
      <c r="F641" s="13">
        <v>1</v>
      </c>
      <c r="G641" s="22">
        <f>Overview!$B$43</f>
        <v>84</v>
      </c>
      <c r="H641" s="114">
        <f t="shared" si="204"/>
        <v>84</v>
      </c>
      <c r="I641" s="114">
        <f>Overview!$E$43</f>
        <v>0</v>
      </c>
      <c r="J641" s="115">
        <f t="shared" si="205"/>
        <v>0</v>
      </c>
      <c r="K641" s="116">
        <f>Overview!$H$43</f>
        <v>0</v>
      </c>
      <c r="L641" s="117" t="e">
        <f t="shared" si="206"/>
        <v>#DIV/0!</v>
      </c>
      <c r="M641" s="179"/>
      <c r="N641" s="179" t="s">
        <v>3128</v>
      </c>
      <c r="O641" s="141">
        <f t="shared" si="207"/>
        <v>0</v>
      </c>
      <c r="P641" s="181" t="b">
        <f>COUNTIF('Facility Data'!$A$1:$A$1500,"*"&amp;A641&amp;"*")&gt;0</f>
        <v>0</v>
      </c>
      <c r="Q641" s="181" t="b">
        <f>COUNTIF('Account Data'!$A$1:$A$1000,"*"&amp;A641&amp;"*")&gt;0</f>
        <v>0</v>
      </c>
      <c r="R641" s="182" t="b">
        <f t="shared" si="208"/>
        <v>0</v>
      </c>
      <c r="S641" s="182" t="b">
        <f t="shared" si="209"/>
        <v>0</v>
      </c>
      <c r="T641" s="181" t="b">
        <f>COUNTIF('New Items'!$A$1:$A$175,A641)&gt;0</f>
        <v>0</v>
      </c>
      <c r="U641" s="181" t="b">
        <f>COUNTIF(Discontinued!$A$1:$A$150,A641)&gt;0</f>
        <v>0</v>
      </c>
    </row>
    <row r="642" spans="1:21" s="8" customFormat="1" ht="12" thickBot="1" x14ac:dyDescent="0.25">
      <c r="A642" s="152">
        <v>20000515</v>
      </c>
      <c r="B642" s="10" t="s">
        <v>2563</v>
      </c>
      <c r="C642" s="12" t="s">
        <v>2564</v>
      </c>
      <c r="D642" s="11" t="s">
        <v>2576</v>
      </c>
      <c r="E642" s="12" t="s">
        <v>2580</v>
      </c>
      <c r="F642" s="13">
        <v>1</v>
      </c>
      <c r="G642" s="22">
        <f>Overview!$B$43</f>
        <v>84</v>
      </c>
      <c r="H642" s="114">
        <f t="shared" si="204"/>
        <v>84</v>
      </c>
      <c r="I642" s="114">
        <f>Overview!$E$43</f>
        <v>0</v>
      </c>
      <c r="J642" s="115">
        <f t="shared" si="205"/>
        <v>0</v>
      </c>
      <c r="K642" s="116">
        <f>Overview!$H$43</f>
        <v>0</v>
      </c>
      <c r="L642" s="117" t="e">
        <f t="shared" si="206"/>
        <v>#DIV/0!</v>
      </c>
      <c r="M642" s="179"/>
      <c r="N642" s="179" t="s">
        <v>3128</v>
      </c>
      <c r="O642" s="141">
        <f t="shared" si="207"/>
        <v>0</v>
      </c>
      <c r="P642" s="181" t="b">
        <f>COUNTIF('Facility Data'!$A$1:$A$1500,"*"&amp;A642&amp;"*")&gt;0</f>
        <v>0</v>
      </c>
      <c r="Q642" s="181" t="b">
        <f>COUNTIF('Account Data'!$A$1:$A$1000,"*"&amp;A642&amp;"*")&gt;0</f>
        <v>0</v>
      </c>
      <c r="R642" s="182" t="b">
        <f t="shared" si="208"/>
        <v>0</v>
      </c>
      <c r="S642" s="182" t="b">
        <f t="shared" si="209"/>
        <v>0</v>
      </c>
      <c r="T642" s="181" t="b">
        <f>COUNTIF('New Items'!$A$1:$A$175,A642)&gt;0</f>
        <v>0</v>
      </c>
      <c r="U642" s="181" t="b">
        <f>COUNTIF(Discontinued!$A$1:$A$150,A642)&gt;0</f>
        <v>0</v>
      </c>
    </row>
    <row r="643" spans="1:21" s="8" customFormat="1" ht="13.5" thickBot="1" x14ac:dyDescent="0.25">
      <c r="A643" s="300" t="s">
        <v>2510</v>
      </c>
      <c r="B643" s="301"/>
      <c r="C643" s="301"/>
      <c r="D643" s="301"/>
      <c r="E643" s="301"/>
      <c r="F643" s="301"/>
      <c r="G643" s="301"/>
      <c r="H643" s="301"/>
      <c r="I643" s="301"/>
      <c r="J643" s="301"/>
      <c r="K643" s="301"/>
      <c r="L643" s="302"/>
      <c r="M643" s="179"/>
      <c r="N643" s="179" t="s">
        <v>3127</v>
      </c>
      <c r="O643" s="141">
        <f>AVERAGE(O644:O661)</f>
        <v>0</v>
      </c>
      <c r="P643" s="181" t="b">
        <f>COUNTIF(P644:P661,TRUE)&gt;0</f>
        <v>1</v>
      </c>
      <c r="Q643" s="181" t="b">
        <f>COUNTIF(Q644:Q661,TRUE)&gt;0</f>
        <v>1</v>
      </c>
      <c r="R643" s="181" t="b">
        <f>COUNTIF(R644:R661,TRUE)&gt;0</f>
        <v>1</v>
      </c>
      <c r="S643" s="181" t="b">
        <f>COUNTIF(S644:S661,TRUE)&gt;0</f>
        <v>1</v>
      </c>
      <c r="T643" s="181" t="b">
        <f>COUNTIF(T644:T661,TRUE)&gt;0</f>
        <v>0</v>
      </c>
      <c r="U643" s="249"/>
    </row>
    <row r="644" spans="1:21" s="8" customFormat="1" ht="11.25" x14ac:dyDescent="0.2">
      <c r="A644" s="152">
        <v>10000701</v>
      </c>
      <c r="B644" s="10" t="s">
        <v>2516</v>
      </c>
      <c r="C644" s="12" t="s">
        <v>2517</v>
      </c>
      <c r="D644" s="11" t="s">
        <v>643</v>
      </c>
      <c r="E644" s="12" t="s">
        <v>2551</v>
      </c>
      <c r="F644" s="13">
        <v>1</v>
      </c>
      <c r="G644" s="22">
        <f>Overview!$B$42</f>
        <v>84</v>
      </c>
      <c r="H644" s="114">
        <f t="shared" ref="H644:H661" si="210">G644-I644</f>
        <v>84</v>
      </c>
      <c r="I644" s="114">
        <f>Overview!$E$42</f>
        <v>0</v>
      </c>
      <c r="J644" s="115">
        <f t="shared" ref="J644:J661" si="211">I644/F644</f>
        <v>0</v>
      </c>
      <c r="K644" s="116">
        <f>Overview!$H$42</f>
        <v>0</v>
      </c>
      <c r="L644" s="117" t="e">
        <f t="shared" ref="L644:L661" si="212">(K644-J644)/K644</f>
        <v>#DIV/0!</v>
      </c>
      <c r="M644" s="179" t="s">
        <v>951</v>
      </c>
      <c r="N644" s="179" t="s">
        <v>3127</v>
      </c>
      <c r="O644" s="141">
        <f t="shared" ref="O644:O661" si="213">I644</f>
        <v>0</v>
      </c>
      <c r="P644" s="181" t="b">
        <f>COUNTIF('Facility Data'!$A$1:$A$1500,"*"&amp;A644&amp;"*")&gt;0</f>
        <v>0</v>
      </c>
      <c r="Q644" s="181" t="b">
        <f>COUNTIF('Account Data'!$A$1:$A$1000,"*"&amp;A644&amp;"*")&gt;0</f>
        <v>0</v>
      </c>
      <c r="R644" s="182" t="b">
        <f t="shared" ref="R644:R661" si="214">IF(OR(P644=TRUE,T644=TRUE),TRUE,FALSE)</f>
        <v>0</v>
      </c>
      <c r="S644" s="182" t="b">
        <f t="shared" ref="S644:S661" si="215">IF(OR(Q644=TRUE,T644=TRUE),TRUE,FALSE)</f>
        <v>0</v>
      </c>
      <c r="T644" s="181" t="b">
        <f>COUNTIF('New Items'!$A$1:$A$175,A644)&gt;0</f>
        <v>0</v>
      </c>
      <c r="U644" s="181" t="b">
        <f>COUNTIF(Discontinued!$A$1:$A$150,A644)&gt;0</f>
        <v>0</v>
      </c>
    </row>
    <row r="645" spans="1:21" s="8" customFormat="1" ht="11.25" x14ac:dyDescent="0.2">
      <c r="A645" s="152">
        <v>10000714</v>
      </c>
      <c r="B645" s="10" t="s">
        <v>2532</v>
      </c>
      <c r="C645" s="12" t="s">
        <v>2533</v>
      </c>
      <c r="D645" s="11" t="s">
        <v>640</v>
      </c>
      <c r="E645" s="12" t="s">
        <v>2551</v>
      </c>
      <c r="F645" s="13">
        <v>1</v>
      </c>
      <c r="G645" s="22">
        <f>Overview!$B$42</f>
        <v>84</v>
      </c>
      <c r="H645" s="114">
        <f t="shared" si="210"/>
        <v>84</v>
      </c>
      <c r="I645" s="114">
        <f>Overview!$E$42</f>
        <v>0</v>
      </c>
      <c r="J645" s="115">
        <f t="shared" si="211"/>
        <v>0</v>
      </c>
      <c r="K645" s="116">
        <f>Overview!$H$42</f>
        <v>0</v>
      </c>
      <c r="L645" s="117" t="e">
        <f t="shared" si="212"/>
        <v>#DIV/0!</v>
      </c>
      <c r="M645" s="179"/>
      <c r="N645" s="179" t="s">
        <v>3127</v>
      </c>
      <c r="O645" s="141">
        <f t="shared" si="213"/>
        <v>0</v>
      </c>
      <c r="P645" s="181" t="b">
        <f>COUNTIF('Facility Data'!$A$1:$A$1500,"*"&amp;A645&amp;"*")&gt;0</f>
        <v>1</v>
      </c>
      <c r="Q645" s="181" t="b">
        <f>COUNTIF('Account Data'!$A$1:$A$1000,"*"&amp;A645&amp;"*")&gt;0</f>
        <v>0</v>
      </c>
      <c r="R645" s="182" t="b">
        <f t="shared" si="214"/>
        <v>1</v>
      </c>
      <c r="S645" s="182" t="b">
        <f t="shared" si="215"/>
        <v>0</v>
      </c>
      <c r="T645" s="181" t="b">
        <f>COUNTIF('New Items'!$A$1:$A$175,A645)&gt;0</f>
        <v>0</v>
      </c>
      <c r="U645" s="181" t="b">
        <f>COUNTIF(Discontinued!$A$1:$A$150,A645)&gt;0</f>
        <v>0</v>
      </c>
    </row>
    <row r="646" spans="1:21" s="8" customFormat="1" ht="11.25" x14ac:dyDescent="0.2">
      <c r="A646" s="152">
        <v>10000704</v>
      </c>
      <c r="B646" s="10" t="s">
        <v>2514</v>
      </c>
      <c r="C646" s="12" t="s">
        <v>2515</v>
      </c>
      <c r="D646" s="11" t="s">
        <v>631</v>
      </c>
      <c r="E646" s="12" t="s">
        <v>2551</v>
      </c>
      <c r="F646" s="13">
        <v>1</v>
      </c>
      <c r="G646" s="22">
        <f>Overview!$B$42</f>
        <v>84</v>
      </c>
      <c r="H646" s="114">
        <f t="shared" si="210"/>
        <v>84</v>
      </c>
      <c r="I646" s="114">
        <f>Overview!$E$42</f>
        <v>0</v>
      </c>
      <c r="J646" s="115">
        <f t="shared" si="211"/>
        <v>0</v>
      </c>
      <c r="K646" s="116">
        <f>Overview!$H$42</f>
        <v>0</v>
      </c>
      <c r="L646" s="117" t="e">
        <f t="shared" si="212"/>
        <v>#DIV/0!</v>
      </c>
      <c r="M646" s="179" t="s">
        <v>951</v>
      </c>
      <c r="N646" s="179" t="s">
        <v>3127</v>
      </c>
      <c r="O646" s="141">
        <f t="shared" si="213"/>
        <v>0</v>
      </c>
      <c r="P646" s="181" t="b">
        <f>COUNTIF('Facility Data'!$A$1:$A$1500,"*"&amp;A646&amp;"*")&gt;0</f>
        <v>0</v>
      </c>
      <c r="Q646" s="181" t="b">
        <f>COUNTIF('Account Data'!$A$1:$A$1000,"*"&amp;A646&amp;"*")&gt;0</f>
        <v>1</v>
      </c>
      <c r="R646" s="182" t="b">
        <f t="shared" si="214"/>
        <v>0</v>
      </c>
      <c r="S646" s="182" t="b">
        <f t="shared" si="215"/>
        <v>1</v>
      </c>
      <c r="T646" s="181" t="b">
        <f>COUNTIF('New Items'!$A$1:$A$175,A646)&gt;0</f>
        <v>0</v>
      </c>
      <c r="U646" s="181" t="b">
        <f>COUNTIF(Discontinued!$A$1:$A$150,A646)&gt;0</f>
        <v>0</v>
      </c>
    </row>
    <row r="647" spans="1:21" s="8" customFormat="1" ht="11.25" x14ac:dyDescent="0.2">
      <c r="A647" s="152">
        <v>10000299</v>
      </c>
      <c r="B647" s="10" t="s">
        <v>2534</v>
      </c>
      <c r="C647" s="12" t="s">
        <v>2535</v>
      </c>
      <c r="D647" s="11" t="s">
        <v>1272</v>
      </c>
      <c r="E647" s="12" t="s">
        <v>2551</v>
      </c>
      <c r="F647" s="13">
        <v>1</v>
      </c>
      <c r="G647" s="22">
        <f>Overview!$B$42</f>
        <v>84</v>
      </c>
      <c r="H647" s="114">
        <f t="shared" si="210"/>
        <v>84</v>
      </c>
      <c r="I647" s="114">
        <f>Overview!$E$42</f>
        <v>0</v>
      </c>
      <c r="J647" s="115">
        <f t="shared" si="211"/>
        <v>0</v>
      </c>
      <c r="K647" s="116">
        <f>Overview!$H$42</f>
        <v>0</v>
      </c>
      <c r="L647" s="117" t="e">
        <f t="shared" si="212"/>
        <v>#DIV/0!</v>
      </c>
      <c r="M647" s="179"/>
      <c r="N647" s="179" t="s">
        <v>3127</v>
      </c>
      <c r="O647" s="141">
        <f t="shared" si="213"/>
        <v>0</v>
      </c>
      <c r="P647" s="181" t="b">
        <f>COUNTIF('Facility Data'!$A$1:$A$1500,"*"&amp;A647&amp;"*")&gt;0</f>
        <v>0</v>
      </c>
      <c r="Q647" s="181" t="b">
        <f>COUNTIF('Account Data'!$A$1:$A$1000,"*"&amp;A647&amp;"*")&gt;0</f>
        <v>0</v>
      </c>
      <c r="R647" s="182" t="b">
        <f t="shared" si="214"/>
        <v>0</v>
      </c>
      <c r="S647" s="182" t="b">
        <f t="shared" si="215"/>
        <v>0</v>
      </c>
      <c r="T647" s="181" t="b">
        <f>COUNTIF('New Items'!$A$1:$A$175,A647)&gt;0</f>
        <v>0</v>
      </c>
      <c r="U647" s="181" t="b">
        <f>COUNTIF(Discontinued!$A$1:$A$150,A647)&gt;0</f>
        <v>0</v>
      </c>
    </row>
    <row r="648" spans="1:21" s="8" customFormat="1" ht="11.25" x14ac:dyDescent="0.2">
      <c r="A648" s="152">
        <v>10000703</v>
      </c>
      <c r="B648" s="10" t="s">
        <v>2511</v>
      </c>
      <c r="C648" s="12" t="s">
        <v>2512</v>
      </c>
      <c r="D648" s="11" t="s">
        <v>629</v>
      </c>
      <c r="E648" s="12" t="s">
        <v>2551</v>
      </c>
      <c r="F648" s="13">
        <v>1</v>
      </c>
      <c r="G648" s="22">
        <f>Overview!$B$42</f>
        <v>84</v>
      </c>
      <c r="H648" s="114">
        <f t="shared" si="210"/>
        <v>84</v>
      </c>
      <c r="I648" s="114">
        <f>Overview!$E$42</f>
        <v>0</v>
      </c>
      <c r="J648" s="115">
        <f t="shared" si="211"/>
        <v>0</v>
      </c>
      <c r="K648" s="116">
        <f>Overview!$H$42</f>
        <v>0</v>
      </c>
      <c r="L648" s="117" t="e">
        <f t="shared" si="212"/>
        <v>#DIV/0!</v>
      </c>
      <c r="M648" s="179" t="s">
        <v>951</v>
      </c>
      <c r="N648" s="179" t="s">
        <v>3127</v>
      </c>
      <c r="O648" s="141">
        <f t="shared" si="213"/>
        <v>0</v>
      </c>
      <c r="P648" s="181" t="b">
        <f>COUNTIF('Facility Data'!$A$1:$A$1500,"*"&amp;A648&amp;"*")&gt;0</f>
        <v>0</v>
      </c>
      <c r="Q648" s="181" t="b">
        <f>COUNTIF('Account Data'!$A$1:$A$1000,"*"&amp;A648&amp;"*")&gt;0</f>
        <v>1</v>
      </c>
      <c r="R648" s="182" t="b">
        <f t="shared" si="214"/>
        <v>0</v>
      </c>
      <c r="S648" s="182" t="b">
        <f t="shared" si="215"/>
        <v>1</v>
      </c>
      <c r="T648" s="181" t="b">
        <f>COUNTIF('New Items'!$A$1:$A$175,A648)&gt;0</f>
        <v>0</v>
      </c>
      <c r="U648" s="181" t="b">
        <f>COUNTIF(Discontinued!$A$1:$A$150,A648)&gt;0</f>
        <v>0</v>
      </c>
    </row>
    <row r="649" spans="1:21" s="8" customFormat="1" ht="11.25" x14ac:dyDescent="0.2">
      <c r="A649" s="152">
        <v>10010404</v>
      </c>
      <c r="B649" s="10" t="s">
        <v>4127</v>
      </c>
      <c r="C649" s="12" t="s">
        <v>4128</v>
      </c>
      <c r="D649" s="11" t="s">
        <v>4121</v>
      </c>
      <c r="E649" s="12" t="s">
        <v>2551</v>
      </c>
      <c r="F649" s="13">
        <v>1</v>
      </c>
      <c r="G649" s="22">
        <f>Overview!$B$42</f>
        <v>84</v>
      </c>
      <c r="H649" s="114">
        <f>G649-I649</f>
        <v>84</v>
      </c>
      <c r="I649" s="114">
        <f>Overview!$E$42</f>
        <v>0</v>
      </c>
      <c r="J649" s="115">
        <f>I649/F649</f>
        <v>0</v>
      </c>
      <c r="K649" s="116">
        <f>Overview!$H$42</f>
        <v>0</v>
      </c>
      <c r="L649" s="117" t="e">
        <f>(K649-J649)/K649</f>
        <v>#DIV/0!</v>
      </c>
      <c r="M649" s="179" t="s">
        <v>951</v>
      </c>
      <c r="N649" s="179" t="s">
        <v>3127</v>
      </c>
      <c r="O649" s="141">
        <f>I649</f>
        <v>0</v>
      </c>
      <c r="P649" s="181" t="b">
        <f>COUNTIF('Facility Data'!$A$1:$A$1500,"*"&amp;A649&amp;"*")&gt;0</f>
        <v>0</v>
      </c>
      <c r="Q649" s="181" t="b">
        <f>COUNTIF('Account Data'!$A$1:$A$1000,"*"&amp;A649&amp;"*")&gt;0</f>
        <v>1</v>
      </c>
      <c r="R649" s="182" t="b">
        <f t="shared" si="214"/>
        <v>0</v>
      </c>
      <c r="S649" s="182" t="b">
        <f>IF(OR(Q649=TRUE,T649=TRUE),TRUE,FALSE)</f>
        <v>1</v>
      </c>
      <c r="T649" s="181" t="b">
        <f>COUNTIF('New Items'!$A$1:$A$175,A649)&gt;0</f>
        <v>0</v>
      </c>
      <c r="U649" s="181" t="b">
        <f>COUNTIF(Discontinued!$A$1:$A$150,A649)&gt;0</f>
        <v>0</v>
      </c>
    </row>
    <row r="650" spans="1:21" s="8" customFormat="1" ht="11.25" x14ac:dyDescent="0.2">
      <c r="A650" s="152">
        <v>10000319</v>
      </c>
      <c r="B650" s="10" t="s">
        <v>2513</v>
      </c>
      <c r="C650" s="12" t="s">
        <v>2512</v>
      </c>
      <c r="D650" s="11" t="s">
        <v>2544</v>
      </c>
      <c r="E650" s="12" t="s">
        <v>2551</v>
      </c>
      <c r="F650" s="13">
        <v>1</v>
      </c>
      <c r="G650" s="22">
        <f>Overview!$B$42</f>
        <v>84</v>
      </c>
      <c r="H650" s="114">
        <f t="shared" si="210"/>
        <v>84</v>
      </c>
      <c r="I650" s="114">
        <f>Overview!$E$42</f>
        <v>0</v>
      </c>
      <c r="J650" s="115">
        <f t="shared" si="211"/>
        <v>0</v>
      </c>
      <c r="K650" s="116">
        <f>Overview!$H$42</f>
        <v>0</v>
      </c>
      <c r="L650" s="117" t="e">
        <f t="shared" si="212"/>
        <v>#DIV/0!</v>
      </c>
      <c r="M650" s="179" t="s">
        <v>951</v>
      </c>
      <c r="N650" s="179" t="s">
        <v>3127</v>
      </c>
      <c r="O650" s="141">
        <f t="shared" si="213"/>
        <v>0</v>
      </c>
      <c r="P650" s="181" t="b">
        <f>COUNTIF('Facility Data'!$A$1:$A$1500,"*"&amp;A650&amp;"*")&gt;0</f>
        <v>0</v>
      </c>
      <c r="Q650" s="181" t="b">
        <f>COUNTIF('Account Data'!$A$1:$A$1000,"*"&amp;A650&amp;"*")&gt;0</f>
        <v>0</v>
      </c>
      <c r="R650" s="182" t="b">
        <f t="shared" si="214"/>
        <v>0</v>
      </c>
      <c r="S650" s="182" t="b">
        <f t="shared" si="215"/>
        <v>0</v>
      </c>
      <c r="T650" s="181" t="b">
        <f>COUNTIF('New Items'!$A$1:$A$175,A650)&gt;0</f>
        <v>0</v>
      </c>
      <c r="U650" s="181" t="b">
        <f>COUNTIF(Discontinued!$A$1:$A$150,A650)&gt;0</f>
        <v>0</v>
      </c>
    </row>
    <row r="651" spans="1:21" s="8" customFormat="1" ht="11.25" x14ac:dyDescent="0.2">
      <c r="A651" s="152">
        <v>10000306</v>
      </c>
      <c r="B651" s="10" t="s">
        <v>2530</v>
      </c>
      <c r="C651" s="12" t="s">
        <v>2531</v>
      </c>
      <c r="D651" s="11" t="s">
        <v>655</v>
      </c>
      <c r="E651" s="12" t="s">
        <v>2551</v>
      </c>
      <c r="F651" s="13">
        <v>1</v>
      </c>
      <c r="G651" s="22">
        <f>Overview!$B$42</f>
        <v>84</v>
      </c>
      <c r="H651" s="114">
        <f t="shared" si="210"/>
        <v>84</v>
      </c>
      <c r="I651" s="114">
        <f>Overview!$E$42</f>
        <v>0</v>
      </c>
      <c r="J651" s="115">
        <f t="shared" si="211"/>
        <v>0</v>
      </c>
      <c r="K651" s="116">
        <f>Overview!$H$42</f>
        <v>0</v>
      </c>
      <c r="L651" s="117" t="e">
        <f t="shared" si="212"/>
        <v>#DIV/0!</v>
      </c>
      <c r="M651" s="179"/>
      <c r="N651" s="179" t="s">
        <v>3127</v>
      </c>
      <c r="O651" s="141">
        <f t="shared" si="213"/>
        <v>0</v>
      </c>
      <c r="P651" s="181" t="b">
        <f>COUNTIF('Facility Data'!$A$1:$A$1500,"*"&amp;A651&amp;"*")&gt;0</f>
        <v>0</v>
      </c>
      <c r="Q651" s="181" t="b">
        <f>COUNTIF('Account Data'!$A$1:$A$1000,"*"&amp;A651&amp;"*")&gt;0</f>
        <v>0</v>
      </c>
      <c r="R651" s="182" t="b">
        <f t="shared" si="214"/>
        <v>0</v>
      </c>
      <c r="S651" s="182" t="b">
        <f t="shared" si="215"/>
        <v>0</v>
      </c>
      <c r="T651" s="181" t="b">
        <f>COUNTIF('New Items'!$A$1:$A$175,A651)&gt;0</f>
        <v>0</v>
      </c>
      <c r="U651" s="181" t="b">
        <f>COUNTIF(Discontinued!$A$1:$A$150,A651)&gt;0</f>
        <v>0</v>
      </c>
    </row>
    <row r="652" spans="1:21" s="8" customFormat="1" ht="11.25" x14ac:dyDescent="0.2">
      <c r="A652" s="152">
        <v>10088185</v>
      </c>
      <c r="B652" s="10" t="s">
        <v>2528</v>
      </c>
      <c r="C652" s="12" t="s">
        <v>2529</v>
      </c>
      <c r="D652" s="11" t="s">
        <v>2547</v>
      </c>
      <c r="E652" s="12" t="s">
        <v>2551</v>
      </c>
      <c r="F652" s="13">
        <v>1</v>
      </c>
      <c r="G652" s="22">
        <f>Overview!$B$42</f>
        <v>84</v>
      </c>
      <c r="H652" s="114">
        <f t="shared" si="210"/>
        <v>84</v>
      </c>
      <c r="I652" s="114">
        <f>Overview!$E$42</f>
        <v>0</v>
      </c>
      <c r="J652" s="115">
        <f t="shared" si="211"/>
        <v>0</v>
      </c>
      <c r="K652" s="116">
        <f>Overview!$H$42</f>
        <v>0</v>
      </c>
      <c r="L652" s="117" t="e">
        <f t="shared" si="212"/>
        <v>#DIV/0!</v>
      </c>
      <c r="M652" s="179"/>
      <c r="N652" s="179" t="s">
        <v>3127</v>
      </c>
      <c r="O652" s="141">
        <f t="shared" si="213"/>
        <v>0</v>
      </c>
      <c r="P652" s="181" t="b">
        <f>COUNTIF('Facility Data'!$A$1:$A$1500,"*"&amp;A652&amp;"*")&gt;0</f>
        <v>0</v>
      </c>
      <c r="Q652" s="181" t="b">
        <f>COUNTIF('Account Data'!$A$1:$A$1000,"*"&amp;A652&amp;"*")&gt;0</f>
        <v>0</v>
      </c>
      <c r="R652" s="182" t="b">
        <f t="shared" si="214"/>
        <v>0</v>
      </c>
      <c r="S652" s="182" t="b">
        <f t="shared" si="215"/>
        <v>0</v>
      </c>
      <c r="T652" s="181" t="b">
        <f>COUNTIF('New Items'!$A$1:$A$175,A652)&gt;0</f>
        <v>0</v>
      </c>
      <c r="U652" s="181" t="b">
        <f>COUNTIF(Discontinued!$A$1:$A$150,A652)&gt;0</f>
        <v>0</v>
      </c>
    </row>
    <row r="653" spans="1:21" s="8" customFormat="1" ht="11.25" x14ac:dyDescent="0.2">
      <c r="A653" s="152">
        <v>10000304</v>
      </c>
      <c r="B653" s="10" t="s">
        <v>2518</v>
      </c>
      <c r="C653" s="12" t="s">
        <v>2519</v>
      </c>
      <c r="D653" s="11" t="s">
        <v>2545</v>
      </c>
      <c r="E653" s="12" t="s">
        <v>2551</v>
      </c>
      <c r="F653" s="13">
        <v>1</v>
      </c>
      <c r="G653" s="22">
        <f>Overview!$B$42</f>
        <v>84</v>
      </c>
      <c r="H653" s="114">
        <f t="shared" si="210"/>
        <v>84</v>
      </c>
      <c r="I653" s="114">
        <f>Overview!$E$42</f>
        <v>0</v>
      </c>
      <c r="J653" s="115">
        <f t="shared" si="211"/>
        <v>0</v>
      </c>
      <c r="K653" s="116">
        <f>Overview!$H$42</f>
        <v>0</v>
      </c>
      <c r="L653" s="117" t="e">
        <f t="shared" si="212"/>
        <v>#DIV/0!</v>
      </c>
      <c r="M653" s="179" t="s">
        <v>2284</v>
      </c>
      <c r="N653" s="179" t="s">
        <v>3127</v>
      </c>
      <c r="O653" s="141">
        <f t="shared" si="213"/>
        <v>0</v>
      </c>
      <c r="P653" s="181" t="b">
        <f>COUNTIF('Facility Data'!$A$1:$A$1500,"*"&amp;A653&amp;"*")&gt;0</f>
        <v>0</v>
      </c>
      <c r="Q653" s="181" t="b">
        <f>COUNTIF('Account Data'!$A$1:$A$1000,"*"&amp;A653&amp;"*")&gt;0</f>
        <v>0</v>
      </c>
      <c r="R653" s="182" t="b">
        <f t="shared" si="214"/>
        <v>0</v>
      </c>
      <c r="S653" s="182" t="b">
        <f t="shared" si="215"/>
        <v>0</v>
      </c>
      <c r="T653" s="181" t="b">
        <f>COUNTIF('New Items'!$A$1:$A$175,A653)&gt;0</f>
        <v>0</v>
      </c>
      <c r="U653" s="181" t="b">
        <f>COUNTIF(Discontinued!$A$1:$A$150,A653)&gt;0</f>
        <v>0</v>
      </c>
    </row>
    <row r="654" spans="1:21" s="8" customFormat="1" ht="11.25" x14ac:dyDescent="0.2">
      <c r="A654" s="152">
        <v>20000468</v>
      </c>
      <c r="B654" s="10" t="s">
        <v>2540</v>
      </c>
      <c r="C654" s="12" t="s">
        <v>2541</v>
      </c>
      <c r="D654" s="11" t="s">
        <v>2549</v>
      </c>
      <c r="E654" s="12" t="s">
        <v>2551</v>
      </c>
      <c r="F654" s="13">
        <v>1</v>
      </c>
      <c r="G654" s="22">
        <f>Overview!$B$42</f>
        <v>84</v>
      </c>
      <c r="H654" s="114">
        <f t="shared" si="210"/>
        <v>84</v>
      </c>
      <c r="I654" s="114">
        <f>Overview!$E$42</f>
        <v>0</v>
      </c>
      <c r="J654" s="115">
        <f t="shared" si="211"/>
        <v>0</v>
      </c>
      <c r="K654" s="116">
        <f>Overview!$H$42</f>
        <v>0</v>
      </c>
      <c r="L654" s="117" t="e">
        <f t="shared" si="212"/>
        <v>#DIV/0!</v>
      </c>
      <c r="M654" s="179"/>
      <c r="N654" s="179" t="s">
        <v>3127</v>
      </c>
      <c r="O654" s="141">
        <f t="shared" si="213"/>
        <v>0</v>
      </c>
      <c r="P654" s="181" t="b">
        <f>COUNTIF('Facility Data'!$A$1:$A$1500,"*"&amp;A654&amp;"*")&gt;0</f>
        <v>0</v>
      </c>
      <c r="Q654" s="181" t="b">
        <f>COUNTIF('Account Data'!$A$1:$A$1000,"*"&amp;A654&amp;"*")&gt;0</f>
        <v>0</v>
      </c>
      <c r="R654" s="182" t="b">
        <f t="shared" si="214"/>
        <v>0</v>
      </c>
      <c r="S654" s="182" t="b">
        <f t="shared" si="215"/>
        <v>0</v>
      </c>
      <c r="T654" s="181" t="b">
        <f>COUNTIF('New Items'!$A$1:$A$175,A654)&gt;0</f>
        <v>0</v>
      </c>
      <c r="U654" s="181" t="b">
        <f>COUNTIF(Discontinued!$A$1:$A$150,A654)&gt;0</f>
        <v>0</v>
      </c>
    </row>
    <row r="655" spans="1:21" s="8" customFormat="1" ht="11.25" x14ac:dyDescent="0.2">
      <c r="A655" s="152">
        <v>20000467</v>
      </c>
      <c r="B655" s="10" t="s">
        <v>2542</v>
      </c>
      <c r="C655" s="12" t="s">
        <v>2543</v>
      </c>
      <c r="D655" s="11" t="s">
        <v>2550</v>
      </c>
      <c r="E655" s="12" t="s">
        <v>2551</v>
      </c>
      <c r="F655" s="13">
        <v>1</v>
      </c>
      <c r="G655" s="22">
        <f>Overview!$B$42</f>
        <v>84</v>
      </c>
      <c r="H655" s="114">
        <f t="shared" si="210"/>
        <v>84</v>
      </c>
      <c r="I655" s="114">
        <f>Overview!$E$42</f>
        <v>0</v>
      </c>
      <c r="J655" s="115">
        <f t="shared" si="211"/>
        <v>0</v>
      </c>
      <c r="K655" s="116">
        <f>Overview!$H$42</f>
        <v>0</v>
      </c>
      <c r="L655" s="117" t="e">
        <f t="shared" si="212"/>
        <v>#DIV/0!</v>
      </c>
      <c r="M655" s="179"/>
      <c r="N655" s="179" t="s">
        <v>3127</v>
      </c>
      <c r="O655" s="141">
        <f t="shared" si="213"/>
        <v>0</v>
      </c>
      <c r="P655" s="181" t="b">
        <f>COUNTIF('Facility Data'!$A$1:$A$1500,"*"&amp;A655&amp;"*")&gt;0</f>
        <v>0</v>
      </c>
      <c r="Q655" s="181" t="b">
        <f>COUNTIF('Account Data'!$A$1:$A$1000,"*"&amp;A655&amp;"*")&gt;0</f>
        <v>0</v>
      </c>
      <c r="R655" s="182" t="b">
        <f t="shared" si="214"/>
        <v>0</v>
      </c>
      <c r="S655" s="182" t="b">
        <f t="shared" si="215"/>
        <v>0</v>
      </c>
      <c r="T655" s="181" t="b">
        <f>COUNTIF('New Items'!$A$1:$A$175,A655)&gt;0</f>
        <v>0</v>
      </c>
      <c r="U655" s="181" t="b">
        <f>COUNTIF(Discontinued!$A$1:$A$150,A655)&gt;0</f>
        <v>0</v>
      </c>
    </row>
    <row r="656" spans="1:21" s="8" customFormat="1" ht="11.25" x14ac:dyDescent="0.2">
      <c r="A656" s="152">
        <v>10000705</v>
      </c>
      <c r="B656" s="10" t="s">
        <v>2536</v>
      </c>
      <c r="C656" s="12" t="s">
        <v>2537</v>
      </c>
      <c r="D656" s="11" t="s">
        <v>660</v>
      </c>
      <c r="E656" s="12" t="s">
        <v>2551</v>
      </c>
      <c r="F656" s="13">
        <v>1</v>
      </c>
      <c r="G656" s="22">
        <f>Overview!$B$42</f>
        <v>84</v>
      </c>
      <c r="H656" s="114">
        <f t="shared" si="210"/>
        <v>84</v>
      </c>
      <c r="I656" s="114">
        <f>Overview!$E$42</f>
        <v>0</v>
      </c>
      <c r="J656" s="115">
        <f t="shared" si="211"/>
        <v>0</v>
      </c>
      <c r="K656" s="116">
        <f>Overview!$H$42</f>
        <v>0</v>
      </c>
      <c r="L656" s="117" t="e">
        <f t="shared" si="212"/>
        <v>#DIV/0!</v>
      </c>
      <c r="M656" s="179"/>
      <c r="N656" s="179" t="s">
        <v>3127</v>
      </c>
      <c r="O656" s="141">
        <f t="shared" si="213"/>
        <v>0</v>
      </c>
      <c r="P656" s="181" t="b">
        <f>COUNTIF('Facility Data'!$A$1:$A$1500,"*"&amp;A656&amp;"*")&gt;0</f>
        <v>0</v>
      </c>
      <c r="Q656" s="181" t="b">
        <f>COUNTIF('Account Data'!$A$1:$A$1000,"*"&amp;A656&amp;"*")&gt;0</f>
        <v>0</v>
      </c>
      <c r="R656" s="182" t="b">
        <f t="shared" si="214"/>
        <v>0</v>
      </c>
      <c r="S656" s="182" t="b">
        <f t="shared" si="215"/>
        <v>0</v>
      </c>
      <c r="T656" s="181" t="b">
        <f>COUNTIF('New Items'!$A$1:$A$175,A656)&gt;0</f>
        <v>0</v>
      </c>
      <c r="U656" s="181" t="b">
        <f>COUNTIF(Discontinued!$A$1:$A$150,A656)&gt;0</f>
        <v>0</v>
      </c>
    </row>
    <row r="657" spans="1:21" s="8" customFormat="1" ht="11.25" x14ac:dyDescent="0.2">
      <c r="A657" s="152">
        <v>10000315</v>
      </c>
      <c r="B657" s="10" t="s">
        <v>2520</v>
      </c>
      <c r="C657" s="12" t="s">
        <v>2521</v>
      </c>
      <c r="D657" s="11" t="s">
        <v>2546</v>
      </c>
      <c r="E657" s="12" t="s">
        <v>2551</v>
      </c>
      <c r="F657" s="13">
        <v>1</v>
      </c>
      <c r="G657" s="22">
        <f>Overview!$B$42</f>
        <v>84</v>
      </c>
      <c r="H657" s="114">
        <f t="shared" si="210"/>
        <v>84</v>
      </c>
      <c r="I657" s="114">
        <f>Overview!$E$42</f>
        <v>0</v>
      </c>
      <c r="J657" s="115">
        <f t="shared" si="211"/>
        <v>0</v>
      </c>
      <c r="K657" s="116">
        <f>Overview!$H$42</f>
        <v>0</v>
      </c>
      <c r="L657" s="117" t="e">
        <f t="shared" si="212"/>
        <v>#DIV/0!</v>
      </c>
      <c r="M657" s="179"/>
      <c r="N657" s="179" t="s">
        <v>3127</v>
      </c>
      <c r="O657" s="141">
        <f t="shared" si="213"/>
        <v>0</v>
      </c>
      <c r="P657" s="181" t="b">
        <f>COUNTIF('Facility Data'!$A$1:$A$1500,"*"&amp;A657&amp;"*")&gt;0</f>
        <v>0</v>
      </c>
      <c r="Q657" s="181" t="b">
        <f>COUNTIF('Account Data'!$A$1:$A$1000,"*"&amp;A657&amp;"*")&gt;0</f>
        <v>0</v>
      </c>
      <c r="R657" s="182" t="b">
        <f t="shared" si="214"/>
        <v>0</v>
      </c>
      <c r="S657" s="182" t="b">
        <f t="shared" si="215"/>
        <v>0</v>
      </c>
      <c r="T657" s="181" t="b">
        <f>COUNTIF('New Items'!$A$1:$A$175,A657)&gt;0</f>
        <v>0</v>
      </c>
      <c r="U657" s="181" t="b">
        <f>COUNTIF(Discontinued!$A$1:$A$150,A657)&gt;0</f>
        <v>0</v>
      </c>
    </row>
    <row r="658" spans="1:21" s="8" customFormat="1" ht="11.25" x14ac:dyDescent="0.2">
      <c r="A658" s="152">
        <v>10000708</v>
      </c>
      <c r="B658" s="10" t="s">
        <v>2526</v>
      </c>
      <c r="C658" s="12" t="s">
        <v>2527</v>
      </c>
      <c r="D658" s="11" t="s">
        <v>636</v>
      </c>
      <c r="E658" s="12" t="s">
        <v>2551</v>
      </c>
      <c r="F658" s="13">
        <v>1</v>
      </c>
      <c r="G658" s="22">
        <f>Overview!$B$42</f>
        <v>84</v>
      </c>
      <c r="H658" s="114">
        <f t="shared" si="210"/>
        <v>84</v>
      </c>
      <c r="I658" s="114">
        <f>Overview!$E$42</f>
        <v>0</v>
      </c>
      <c r="J658" s="115">
        <f t="shared" si="211"/>
        <v>0</v>
      </c>
      <c r="K658" s="116">
        <f>Overview!$H$42</f>
        <v>0</v>
      </c>
      <c r="L658" s="117" t="e">
        <f t="shared" si="212"/>
        <v>#DIV/0!</v>
      </c>
      <c r="M658" s="179" t="s">
        <v>4370</v>
      </c>
      <c r="N658" s="179" t="s">
        <v>3127</v>
      </c>
      <c r="O658" s="141">
        <f t="shared" si="213"/>
        <v>0</v>
      </c>
      <c r="P658" s="181" t="b">
        <f>COUNTIF('Facility Data'!$A$1:$A$1500,"*"&amp;A658&amp;"*")&gt;0</f>
        <v>0</v>
      </c>
      <c r="Q658" s="181" t="b">
        <f>COUNTIF('Account Data'!$A$1:$A$1000,"*"&amp;A658&amp;"*")&gt;0</f>
        <v>0</v>
      </c>
      <c r="R658" s="182" t="b">
        <f t="shared" si="214"/>
        <v>0</v>
      </c>
      <c r="S658" s="182" t="b">
        <f t="shared" si="215"/>
        <v>0</v>
      </c>
      <c r="T658" s="181" t="b">
        <f>COUNTIF('New Items'!$A$1:$A$175,A658)&gt;0</f>
        <v>0</v>
      </c>
      <c r="U658" s="181" t="b">
        <f>COUNTIF(Discontinued!$A$1:$A$150,A658)&gt;0</f>
        <v>0</v>
      </c>
    </row>
    <row r="659" spans="1:21" s="8" customFormat="1" ht="11.25" x14ac:dyDescent="0.2">
      <c r="A659" s="152">
        <v>20000046</v>
      </c>
      <c r="B659" s="10" t="s">
        <v>2538</v>
      </c>
      <c r="C659" s="12" t="s">
        <v>2539</v>
      </c>
      <c r="D659" s="11" t="s">
        <v>2548</v>
      </c>
      <c r="E659" s="12" t="s">
        <v>2551</v>
      </c>
      <c r="F659" s="13">
        <v>1</v>
      </c>
      <c r="G659" s="22">
        <f>Overview!$B$42</f>
        <v>84</v>
      </c>
      <c r="H659" s="114">
        <f t="shared" si="210"/>
        <v>84</v>
      </c>
      <c r="I659" s="114">
        <f>Overview!$E$42</f>
        <v>0</v>
      </c>
      <c r="J659" s="115">
        <f t="shared" si="211"/>
        <v>0</v>
      </c>
      <c r="K659" s="116">
        <f>Overview!$H$42</f>
        <v>0</v>
      </c>
      <c r="L659" s="117" t="e">
        <f t="shared" si="212"/>
        <v>#DIV/0!</v>
      </c>
      <c r="M659" s="179"/>
      <c r="N659" s="179" t="s">
        <v>3127</v>
      </c>
      <c r="O659" s="141">
        <f t="shared" si="213"/>
        <v>0</v>
      </c>
      <c r="P659" s="181" t="b">
        <f>COUNTIF('Facility Data'!$A$1:$A$1500,"*"&amp;A659&amp;"*")&gt;0</f>
        <v>0</v>
      </c>
      <c r="Q659" s="181" t="b">
        <f>COUNTIF('Account Data'!$A$1:$A$1000,"*"&amp;A659&amp;"*")&gt;0</f>
        <v>0</v>
      </c>
      <c r="R659" s="182" t="b">
        <f t="shared" si="214"/>
        <v>0</v>
      </c>
      <c r="S659" s="182" t="b">
        <f t="shared" si="215"/>
        <v>0</v>
      </c>
      <c r="T659" s="181" t="b">
        <f>COUNTIF('New Items'!$A$1:$A$175,A659)&gt;0</f>
        <v>0</v>
      </c>
      <c r="U659" s="181" t="b">
        <f>COUNTIF(Discontinued!$A$1:$A$150,A659)&gt;0</f>
        <v>0</v>
      </c>
    </row>
    <row r="660" spans="1:21" s="8" customFormat="1" ht="11.25" x14ac:dyDescent="0.2">
      <c r="A660" s="152">
        <v>10000715</v>
      </c>
      <c r="B660" s="10" t="s">
        <v>2522</v>
      </c>
      <c r="C660" s="12" t="s">
        <v>2523</v>
      </c>
      <c r="D660" s="11" t="s">
        <v>650</v>
      </c>
      <c r="E660" s="12" t="s">
        <v>2551</v>
      </c>
      <c r="F660" s="13">
        <v>1</v>
      </c>
      <c r="G660" s="22">
        <f>Overview!$B$42</f>
        <v>84</v>
      </c>
      <c r="H660" s="114">
        <f t="shared" si="210"/>
        <v>84</v>
      </c>
      <c r="I660" s="114">
        <f>Overview!$E$42</f>
        <v>0</v>
      </c>
      <c r="J660" s="115">
        <f t="shared" si="211"/>
        <v>0</v>
      </c>
      <c r="K660" s="116">
        <f>Overview!$H$42</f>
        <v>0</v>
      </c>
      <c r="L660" s="117" t="e">
        <f t="shared" si="212"/>
        <v>#DIV/0!</v>
      </c>
      <c r="M660" s="179" t="s">
        <v>4369</v>
      </c>
      <c r="N660" s="179" t="s">
        <v>3127</v>
      </c>
      <c r="O660" s="141">
        <f t="shared" si="213"/>
        <v>0</v>
      </c>
      <c r="P660" s="181" t="b">
        <f>COUNTIF('Facility Data'!$A$1:$A$1500,"*"&amp;A660&amp;"*")&gt;0</f>
        <v>1</v>
      </c>
      <c r="Q660" s="181" t="b">
        <f>COUNTIF('Account Data'!$A$1:$A$1000,"*"&amp;A660&amp;"*")&gt;0</f>
        <v>0</v>
      </c>
      <c r="R660" s="182" t="b">
        <f t="shared" si="214"/>
        <v>1</v>
      </c>
      <c r="S660" s="182" t="b">
        <f t="shared" si="215"/>
        <v>0</v>
      </c>
      <c r="T660" s="181" t="b">
        <f>COUNTIF('New Items'!$A$1:$A$175,A660)&gt;0</f>
        <v>0</v>
      </c>
      <c r="U660" s="181" t="b">
        <f>COUNTIF(Discontinued!$A$1:$A$150,A660)&gt;0</f>
        <v>0</v>
      </c>
    </row>
    <row r="661" spans="1:21" s="8" customFormat="1" ht="12" thickBot="1" x14ac:dyDescent="0.25">
      <c r="A661" s="152">
        <v>10000706</v>
      </c>
      <c r="B661" s="10" t="s">
        <v>2524</v>
      </c>
      <c r="C661" s="12" t="s">
        <v>2525</v>
      </c>
      <c r="D661" s="11" t="s">
        <v>4116</v>
      </c>
      <c r="E661" s="12" t="s">
        <v>2551</v>
      </c>
      <c r="F661" s="13">
        <v>1</v>
      </c>
      <c r="G661" s="22">
        <f>Overview!$B$42</f>
        <v>84</v>
      </c>
      <c r="H661" s="114">
        <f t="shared" si="210"/>
        <v>84</v>
      </c>
      <c r="I661" s="114">
        <f>Overview!$E$42</f>
        <v>0</v>
      </c>
      <c r="J661" s="115">
        <f t="shared" si="211"/>
        <v>0</v>
      </c>
      <c r="K661" s="116">
        <f>Overview!$H$42</f>
        <v>0</v>
      </c>
      <c r="L661" s="117" t="e">
        <f t="shared" si="212"/>
        <v>#DIV/0!</v>
      </c>
      <c r="M661" s="179" t="s">
        <v>953</v>
      </c>
      <c r="N661" s="179" t="s">
        <v>3127</v>
      </c>
      <c r="O661" s="141">
        <f t="shared" si="213"/>
        <v>0</v>
      </c>
      <c r="P661" s="181" t="b">
        <f>COUNTIF('Facility Data'!$A$1:$A$1500,"*"&amp;A661&amp;"*")&gt;0</f>
        <v>0</v>
      </c>
      <c r="Q661" s="181" t="b">
        <f>COUNTIF('Account Data'!$A$1:$A$1000,"*"&amp;A661&amp;"*")&gt;0</f>
        <v>0</v>
      </c>
      <c r="R661" s="182" t="b">
        <f t="shared" si="214"/>
        <v>0</v>
      </c>
      <c r="S661" s="182" t="b">
        <f t="shared" si="215"/>
        <v>0</v>
      </c>
      <c r="T661" s="181" t="b">
        <f>COUNTIF('New Items'!$A$1:$A$175,A661)&gt;0</f>
        <v>0</v>
      </c>
      <c r="U661" s="181" t="b">
        <f>COUNTIF(Discontinued!$A$1:$A$150,A661)&gt;0</f>
        <v>0</v>
      </c>
    </row>
    <row r="662" spans="1:21" s="8" customFormat="1" ht="13.5" thickBot="1" x14ac:dyDescent="0.25">
      <c r="A662" s="300" t="s">
        <v>3841</v>
      </c>
      <c r="B662" s="301"/>
      <c r="C662" s="301"/>
      <c r="D662" s="301"/>
      <c r="E662" s="301"/>
      <c r="F662" s="301"/>
      <c r="G662" s="301"/>
      <c r="H662" s="301"/>
      <c r="I662" s="301"/>
      <c r="J662" s="301"/>
      <c r="K662" s="301"/>
      <c r="L662" s="302"/>
      <c r="M662" s="179"/>
      <c r="N662" s="179" t="s">
        <v>3842</v>
      </c>
      <c r="O662" s="141">
        <f>AVERAGE(O663:O664)</f>
        <v>0</v>
      </c>
      <c r="P662" s="181" t="b">
        <f>COUNTIF(P663:P664,TRUE)&gt;0</f>
        <v>0</v>
      </c>
      <c r="Q662" s="181" t="b">
        <f>COUNTIF(Q663:Q664,TRUE)&gt;0</f>
        <v>0</v>
      </c>
      <c r="R662" s="181" t="b">
        <f>COUNTIF(R663:R664,TRUE)&gt;0</f>
        <v>0</v>
      </c>
      <c r="S662" s="181" t="b">
        <f>COUNTIF(S663:S664,TRUE)&gt;0</f>
        <v>0</v>
      </c>
      <c r="T662" s="181" t="b">
        <f>COUNTIF(T663:T664,TRUE)&gt;0</f>
        <v>0</v>
      </c>
      <c r="U662" s="181"/>
    </row>
    <row r="663" spans="1:21" s="8" customFormat="1" ht="11.25" x14ac:dyDescent="0.2">
      <c r="A663" s="152">
        <v>20030589</v>
      </c>
      <c r="B663" s="9" t="s">
        <v>3839</v>
      </c>
      <c r="C663" s="12" t="s">
        <v>3843</v>
      </c>
      <c r="D663" s="11" t="s">
        <v>1014</v>
      </c>
      <c r="E663" s="12" t="s">
        <v>1014</v>
      </c>
      <c r="F663" s="13">
        <v>12</v>
      </c>
      <c r="G663" s="121">
        <f>Overview!$B$188</f>
        <v>24</v>
      </c>
      <c r="H663" s="23">
        <f>G663-I663</f>
        <v>24</v>
      </c>
      <c r="I663" s="114">
        <f>Overview!$E$188</f>
        <v>0</v>
      </c>
      <c r="J663" s="52">
        <f>I663/F663</f>
        <v>0</v>
      </c>
      <c r="K663" s="174">
        <f>Overview!$H$188</f>
        <v>0</v>
      </c>
      <c r="L663" s="54" t="e">
        <f>(K663-J663)/K663</f>
        <v>#DIV/0!</v>
      </c>
      <c r="M663" s="179"/>
      <c r="N663" s="179" t="s">
        <v>3842</v>
      </c>
      <c r="O663" s="141">
        <f>I663</f>
        <v>0</v>
      </c>
      <c r="P663" s="181" t="b">
        <f>COUNTIF('Facility Data'!$A$1:$A$1500,"*"&amp;A663&amp;"*")&gt;0</f>
        <v>0</v>
      </c>
      <c r="Q663" s="181" t="b">
        <f>COUNTIF('Account Data'!$A$1:$A$1000,"*"&amp;A663&amp;"*")&gt;0</f>
        <v>0</v>
      </c>
      <c r="R663" s="182" t="b">
        <f>IF(OR(P663=TRUE,T663=TRUE),TRUE,FALSE)</f>
        <v>0</v>
      </c>
      <c r="S663" s="182" t="b">
        <f>IF(OR(Q663=TRUE,T663=TRUE),TRUE,FALSE)</f>
        <v>0</v>
      </c>
      <c r="T663" s="181" t="b">
        <f>COUNTIF('New Items'!$A$1:$A$175,A663)&gt;0</f>
        <v>0</v>
      </c>
      <c r="U663" s="181" t="b">
        <f>COUNTIF(Discontinued!$A$1:$A$150,A663)&gt;0</f>
        <v>0</v>
      </c>
    </row>
    <row r="664" spans="1:21" s="8" customFormat="1" ht="12" thickBot="1" x14ac:dyDescent="0.25">
      <c r="A664" s="152">
        <v>20030107</v>
      </c>
      <c r="B664" s="9" t="s">
        <v>3840</v>
      </c>
      <c r="C664" s="12" t="s">
        <v>3844</v>
      </c>
      <c r="D664" s="11" t="s">
        <v>761</v>
      </c>
      <c r="E664" s="12" t="s">
        <v>761</v>
      </c>
      <c r="F664" s="13">
        <v>12</v>
      </c>
      <c r="G664" s="121">
        <f>Overview!$B$189</f>
        <v>24</v>
      </c>
      <c r="H664" s="23">
        <f>G664-I664</f>
        <v>24</v>
      </c>
      <c r="I664" s="114">
        <f>Overview!$E$189</f>
        <v>0</v>
      </c>
      <c r="J664" s="52">
        <f>I664/F664</f>
        <v>0</v>
      </c>
      <c r="K664" s="174">
        <f>Overview!$H$189</f>
        <v>0</v>
      </c>
      <c r="L664" s="54" t="e">
        <f>(K664-J664)/K664</f>
        <v>#DIV/0!</v>
      </c>
      <c r="M664" s="179"/>
      <c r="N664" s="179" t="s">
        <v>3842</v>
      </c>
      <c r="O664" s="141">
        <f>I664</f>
        <v>0</v>
      </c>
      <c r="P664" s="181" t="b">
        <f>COUNTIF('Facility Data'!$A$1:$A$1500,"*"&amp;A664&amp;"*")&gt;0</f>
        <v>0</v>
      </c>
      <c r="Q664" s="181" t="b">
        <f>COUNTIF('Account Data'!$A$1:$A$1000,"*"&amp;A664&amp;"*")&gt;0</f>
        <v>0</v>
      </c>
      <c r="R664" s="182" t="b">
        <f>IF(OR(P664=TRUE,T664=TRUE),TRUE,FALSE)</f>
        <v>0</v>
      </c>
      <c r="S664" s="182" t="b">
        <f>IF(OR(Q664=TRUE,T664=TRUE),TRUE,FALSE)</f>
        <v>0</v>
      </c>
      <c r="T664" s="181" t="b">
        <f>COUNTIF('New Items'!$A$1:$A$175,A664)&gt;0</f>
        <v>0</v>
      </c>
      <c r="U664" s="181" t="b">
        <f>COUNTIF(Discontinued!$A$1:$A$150,A664)&gt;0</f>
        <v>0</v>
      </c>
    </row>
    <row r="665" spans="1:21" s="8" customFormat="1" ht="13.5" thickBot="1" x14ac:dyDescent="0.25">
      <c r="A665" s="300" t="s">
        <v>3710</v>
      </c>
      <c r="B665" s="301"/>
      <c r="C665" s="301"/>
      <c r="D665" s="301"/>
      <c r="E665" s="301"/>
      <c r="F665" s="301"/>
      <c r="G665" s="301"/>
      <c r="H665" s="301"/>
      <c r="I665" s="301"/>
      <c r="J665" s="301"/>
      <c r="K665" s="301"/>
      <c r="L665" s="302"/>
      <c r="M665" s="179"/>
      <c r="N665" s="179" t="s">
        <v>3732</v>
      </c>
      <c r="O665" s="141">
        <f>AVERAGE(O666:O673)</f>
        <v>0</v>
      </c>
      <c r="P665" s="181" t="b">
        <f>COUNTIF(P666:P673,TRUE)&gt;0</f>
        <v>1</v>
      </c>
      <c r="Q665" s="181" t="b">
        <f>COUNTIF(Q666:Q673,TRUE)&gt;0</f>
        <v>0</v>
      </c>
      <c r="R665" s="181" t="b">
        <f>COUNTIF(R666:R673,TRUE)&gt;0</f>
        <v>1</v>
      </c>
      <c r="S665" s="181" t="b">
        <f>COUNTIF(S666:S673,TRUE)&gt;0</f>
        <v>0</v>
      </c>
      <c r="T665" s="181" t="b">
        <f>COUNTIF(T666:T673,TRUE)&gt;0</f>
        <v>0</v>
      </c>
      <c r="U665" s="249"/>
    </row>
    <row r="666" spans="1:21" s="8" customFormat="1" ht="11.25" x14ac:dyDescent="0.2">
      <c r="A666" s="152">
        <v>20029376</v>
      </c>
      <c r="B666" s="10" t="s">
        <v>3720</v>
      </c>
      <c r="C666" s="118" t="s">
        <v>3729</v>
      </c>
      <c r="D666" s="119" t="s">
        <v>3721</v>
      </c>
      <c r="E666" s="118" t="s">
        <v>772</v>
      </c>
      <c r="F666" s="120">
        <v>12</v>
      </c>
      <c r="G666" s="121">
        <f>Overview!$B$140</f>
        <v>24</v>
      </c>
      <c r="H666" s="114">
        <f t="shared" ref="H666:H673" si="216">G666-I666</f>
        <v>24</v>
      </c>
      <c r="I666" s="114">
        <f>Overview!$E$140</f>
        <v>0</v>
      </c>
      <c r="J666" s="115">
        <f t="shared" ref="J666:J673" si="217">I666/F666</f>
        <v>0</v>
      </c>
      <c r="K666" s="116">
        <f>Overview!$H$140</f>
        <v>0</v>
      </c>
      <c r="L666" s="117" t="e">
        <f t="shared" ref="L666:L673" si="218">(K666-J666)/K666</f>
        <v>#DIV/0!</v>
      </c>
      <c r="M666" s="179"/>
      <c r="N666" s="179" t="s">
        <v>3732</v>
      </c>
      <c r="O666" s="141">
        <f t="shared" ref="O666:O673" si="219">I666</f>
        <v>0</v>
      </c>
      <c r="P666" s="181" t="b">
        <f>COUNTIF('Facility Data'!$A$1:$A$1500,"*"&amp;A666&amp;"*")&gt;0</f>
        <v>1</v>
      </c>
      <c r="Q666" s="181" t="b">
        <f>COUNTIF('Account Data'!$A$1:$A$1000,"*"&amp;A666&amp;"*")&gt;0</f>
        <v>0</v>
      </c>
      <c r="R666" s="182" t="b">
        <f t="shared" ref="R666:R673" si="220">IF(OR(P666=TRUE,T666=TRUE),TRUE,FALSE)</f>
        <v>1</v>
      </c>
      <c r="S666" s="182" t="b">
        <f t="shared" ref="S666:S673" si="221">IF(OR(Q666=TRUE,T666=TRUE),TRUE,FALSE)</f>
        <v>0</v>
      </c>
      <c r="T666" s="181" t="b">
        <f>COUNTIF('New Items'!$A$1:$A$175,A666)&gt;0</f>
        <v>0</v>
      </c>
      <c r="U666" s="181" t="b">
        <f>COUNTIF(Discontinued!$A$1:$A$150,A666)&gt;0</f>
        <v>0</v>
      </c>
    </row>
    <row r="667" spans="1:21" s="8" customFormat="1" ht="11.25" x14ac:dyDescent="0.2">
      <c r="A667" s="152">
        <v>20029374</v>
      </c>
      <c r="B667" s="10" t="s">
        <v>3719</v>
      </c>
      <c r="C667" s="118" t="s">
        <v>3728</v>
      </c>
      <c r="D667" s="119" t="s">
        <v>3731</v>
      </c>
      <c r="E667" s="118" t="s">
        <v>772</v>
      </c>
      <c r="F667" s="120">
        <v>12</v>
      </c>
      <c r="G667" s="121">
        <f>Overview!$B$140</f>
        <v>24</v>
      </c>
      <c r="H667" s="114">
        <f t="shared" si="216"/>
        <v>24</v>
      </c>
      <c r="I667" s="114">
        <f>Overview!$E$140</f>
        <v>0</v>
      </c>
      <c r="J667" s="115">
        <f t="shared" si="217"/>
        <v>0</v>
      </c>
      <c r="K667" s="116">
        <f>Overview!$H$140</f>
        <v>0</v>
      </c>
      <c r="L667" s="117" t="e">
        <f t="shared" si="218"/>
        <v>#DIV/0!</v>
      </c>
      <c r="M667" s="179"/>
      <c r="N667" s="179" t="s">
        <v>3732</v>
      </c>
      <c r="O667" s="141">
        <f t="shared" si="219"/>
        <v>0</v>
      </c>
      <c r="P667" s="181" t="b">
        <f>COUNTIF('Facility Data'!$A$1:$A$1500,"*"&amp;A667&amp;"*")&gt;0</f>
        <v>1</v>
      </c>
      <c r="Q667" s="181" t="b">
        <f>COUNTIF('Account Data'!$A$1:$A$1000,"*"&amp;A667&amp;"*")&gt;0</f>
        <v>0</v>
      </c>
      <c r="R667" s="182" t="b">
        <f t="shared" si="220"/>
        <v>1</v>
      </c>
      <c r="S667" s="182" t="b">
        <f t="shared" si="221"/>
        <v>0</v>
      </c>
      <c r="T667" s="181" t="b">
        <f>COUNTIF('New Items'!$A$1:$A$175,A667)&gt;0</f>
        <v>0</v>
      </c>
      <c r="U667" s="181" t="b">
        <f>COUNTIF(Discontinued!$A$1:$A$150,A667)&gt;0</f>
        <v>0</v>
      </c>
    </row>
    <row r="668" spans="1:21" s="8" customFormat="1" ht="11.25" x14ac:dyDescent="0.2">
      <c r="A668" s="152">
        <v>20029371</v>
      </c>
      <c r="B668" s="10" t="s">
        <v>3713</v>
      </c>
      <c r="C668" s="118" t="s">
        <v>3724</v>
      </c>
      <c r="D668" s="119" t="s">
        <v>3714</v>
      </c>
      <c r="E668" s="118" t="s">
        <v>772</v>
      </c>
      <c r="F668" s="120">
        <v>12</v>
      </c>
      <c r="G668" s="121">
        <f>Overview!$B$140</f>
        <v>24</v>
      </c>
      <c r="H668" s="114">
        <f t="shared" si="216"/>
        <v>24</v>
      </c>
      <c r="I668" s="114">
        <f>Overview!$E$140</f>
        <v>0</v>
      </c>
      <c r="J668" s="115">
        <f t="shared" si="217"/>
        <v>0</v>
      </c>
      <c r="K668" s="116">
        <f>Overview!$H$140</f>
        <v>0</v>
      </c>
      <c r="L668" s="117" t="e">
        <f t="shared" si="218"/>
        <v>#DIV/0!</v>
      </c>
      <c r="M668" s="179"/>
      <c r="N668" s="179" t="s">
        <v>3732</v>
      </c>
      <c r="O668" s="141">
        <f t="shared" si="219"/>
        <v>0</v>
      </c>
      <c r="P668" s="181" t="b">
        <f>COUNTIF('Facility Data'!$A$1:$A$1500,"*"&amp;A668&amp;"*")&gt;0</f>
        <v>1</v>
      </c>
      <c r="Q668" s="181" t="b">
        <f>COUNTIF('Account Data'!$A$1:$A$1000,"*"&amp;A668&amp;"*")&gt;0</f>
        <v>0</v>
      </c>
      <c r="R668" s="182" t="b">
        <f t="shared" si="220"/>
        <v>1</v>
      </c>
      <c r="S668" s="182" t="b">
        <f t="shared" si="221"/>
        <v>0</v>
      </c>
      <c r="T668" s="181" t="b">
        <f>COUNTIF('New Items'!$A$1:$A$175,A668)&gt;0</f>
        <v>0</v>
      </c>
      <c r="U668" s="181" t="b">
        <f>COUNTIF(Discontinued!$A$1:$A$150,A668)&gt;0</f>
        <v>0</v>
      </c>
    </row>
    <row r="669" spans="1:21" s="8" customFormat="1" ht="11.25" x14ac:dyDescent="0.2">
      <c r="A669" s="152">
        <v>20029375</v>
      </c>
      <c r="B669" s="10" t="s">
        <v>3717</v>
      </c>
      <c r="C669" s="118" t="s">
        <v>3726</v>
      </c>
      <c r="D669" s="119" t="s">
        <v>693</v>
      </c>
      <c r="E669" s="118" t="s">
        <v>772</v>
      </c>
      <c r="F669" s="120">
        <v>12</v>
      </c>
      <c r="G669" s="121">
        <f>Overview!$B$140</f>
        <v>24</v>
      </c>
      <c r="H669" s="114">
        <f t="shared" si="216"/>
        <v>24</v>
      </c>
      <c r="I669" s="114">
        <f>Overview!$E$140</f>
        <v>0</v>
      </c>
      <c r="J669" s="115">
        <f t="shared" si="217"/>
        <v>0</v>
      </c>
      <c r="K669" s="116">
        <f>Overview!$H$140</f>
        <v>0</v>
      </c>
      <c r="L669" s="117" t="e">
        <f t="shared" si="218"/>
        <v>#DIV/0!</v>
      </c>
      <c r="M669" s="179"/>
      <c r="N669" s="179" t="s">
        <v>3732</v>
      </c>
      <c r="O669" s="141">
        <f t="shared" si="219"/>
        <v>0</v>
      </c>
      <c r="P669" s="181" t="b">
        <f>COUNTIF('Facility Data'!$A$1:$A$1500,"*"&amp;A669&amp;"*")&gt;0</f>
        <v>1</v>
      </c>
      <c r="Q669" s="181" t="b">
        <f>COUNTIF('Account Data'!$A$1:$A$1000,"*"&amp;A669&amp;"*")&gt;0</f>
        <v>0</v>
      </c>
      <c r="R669" s="182" t="b">
        <f t="shared" si="220"/>
        <v>1</v>
      </c>
      <c r="S669" s="182" t="b">
        <f t="shared" si="221"/>
        <v>0</v>
      </c>
      <c r="T669" s="181" t="b">
        <f>COUNTIF('New Items'!$A$1:$A$175,A669)&gt;0</f>
        <v>0</v>
      </c>
      <c r="U669" s="181" t="b">
        <f>COUNTIF(Discontinued!$A$1:$A$150,A669)&gt;0</f>
        <v>0</v>
      </c>
    </row>
    <row r="670" spans="1:21" s="8" customFormat="1" ht="11.25" x14ac:dyDescent="0.2">
      <c r="A670" s="152">
        <v>20029377</v>
      </c>
      <c r="B670" s="10" t="s">
        <v>3722</v>
      </c>
      <c r="C670" s="118" t="s">
        <v>3730</v>
      </c>
      <c r="D670" s="119" t="s">
        <v>722</v>
      </c>
      <c r="E670" s="118" t="s">
        <v>772</v>
      </c>
      <c r="F670" s="120">
        <v>12</v>
      </c>
      <c r="G670" s="121">
        <f>Overview!$B$140</f>
        <v>24</v>
      </c>
      <c r="H670" s="114">
        <f t="shared" si="216"/>
        <v>24</v>
      </c>
      <c r="I670" s="114">
        <f>Overview!$E$140</f>
        <v>0</v>
      </c>
      <c r="J670" s="115">
        <f t="shared" si="217"/>
        <v>0</v>
      </c>
      <c r="K670" s="116">
        <f>Overview!$H$140</f>
        <v>0</v>
      </c>
      <c r="L670" s="117" t="e">
        <f t="shared" si="218"/>
        <v>#DIV/0!</v>
      </c>
      <c r="M670" s="179"/>
      <c r="N670" s="179" t="s">
        <v>3732</v>
      </c>
      <c r="O670" s="141">
        <f t="shared" si="219"/>
        <v>0</v>
      </c>
      <c r="P670" s="181" t="b">
        <f>COUNTIF('Facility Data'!$A$1:$A$1500,"*"&amp;A670&amp;"*")&gt;0</f>
        <v>1</v>
      </c>
      <c r="Q670" s="181" t="b">
        <f>COUNTIF('Account Data'!$A$1:$A$1000,"*"&amp;A670&amp;"*")&gt;0</f>
        <v>0</v>
      </c>
      <c r="R670" s="182" t="b">
        <f t="shared" si="220"/>
        <v>1</v>
      </c>
      <c r="S670" s="182" t="b">
        <f t="shared" si="221"/>
        <v>0</v>
      </c>
      <c r="T670" s="181" t="b">
        <f>COUNTIF('New Items'!$A$1:$A$175,A670)&gt;0</f>
        <v>0</v>
      </c>
      <c r="U670" s="181" t="b">
        <f>COUNTIF(Discontinued!$A$1:$A$150,A670)&gt;0</f>
        <v>0</v>
      </c>
    </row>
    <row r="671" spans="1:21" s="8" customFormat="1" ht="11.25" x14ac:dyDescent="0.2">
      <c r="A671" s="152">
        <v>20029370</v>
      </c>
      <c r="B671" s="10" t="s">
        <v>3711</v>
      </c>
      <c r="C671" s="118" t="s">
        <v>3723</v>
      </c>
      <c r="D671" s="119" t="s">
        <v>3712</v>
      </c>
      <c r="E671" s="118" t="s">
        <v>772</v>
      </c>
      <c r="F671" s="120">
        <v>12</v>
      </c>
      <c r="G671" s="121">
        <f>Overview!$B$140</f>
        <v>24</v>
      </c>
      <c r="H671" s="114">
        <f t="shared" si="216"/>
        <v>24</v>
      </c>
      <c r="I671" s="114">
        <f>Overview!$E$140</f>
        <v>0</v>
      </c>
      <c r="J671" s="115">
        <f t="shared" si="217"/>
        <v>0</v>
      </c>
      <c r="K671" s="116">
        <f>Overview!$H$140</f>
        <v>0</v>
      </c>
      <c r="L671" s="117" t="e">
        <f t="shared" si="218"/>
        <v>#DIV/0!</v>
      </c>
      <c r="M671" s="179"/>
      <c r="N671" s="179" t="s">
        <v>3732</v>
      </c>
      <c r="O671" s="141">
        <f t="shared" si="219"/>
        <v>0</v>
      </c>
      <c r="P671" s="181" t="b">
        <f>COUNTIF('Facility Data'!$A$1:$A$1500,"*"&amp;A671&amp;"*")&gt;0</f>
        <v>1</v>
      </c>
      <c r="Q671" s="181" t="b">
        <f>COUNTIF('Account Data'!$A$1:$A$1000,"*"&amp;A671&amp;"*")&gt;0</f>
        <v>0</v>
      </c>
      <c r="R671" s="182" t="b">
        <f t="shared" si="220"/>
        <v>1</v>
      </c>
      <c r="S671" s="182" t="b">
        <f t="shared" si="221"/>
        <v>0</v>
      </c>
      <c r="T671" s="181" t="b">
        <f>COUNTIF('New Items'!$A$1:$A$175,A671)&gt;0</f>
        <v>0</v>
      </c>
      <c r="U671" s="181" t="b">
        <f>COUNTIF(Discontinued!$A$1:$A$150,A671)&gt;0</f>
        <v>0</v>
      </c>
    </row>
    <row r="672" spans="1:21" s="8" customFormat="1" ht="11.25" x14ac:dyDescent="0.2">
      <c r="A672" s="152">
        <v>20029373</v>
      </c>
      <c r="B672" s="10" t="s">
        <v>3715</v>
      </c>
      <c r="C672" s="118" t="s">
        <v>3725</v>
      </c>
      <c r="D672" s="119" t="s">
        <v>3716</v>
      </c>
      <c r="E672" s="118" t="s">
        <v>772</v>
      </c>
      <c r="F672" s="120">
        <v>12</v>
      </c>
      <c r="G672" s="121">
        <f>Overview!$B$140</f>
        <v>24</v>
      </c>
      <c r="H672" s="114">
        <f t="shared" si="216"/>
        <v>24</v>
      </c>
      <c r="I672" s="114">
        <f>Overview!$E$140</f>
        <v>0</v>
      </c>
      <c r="J672" s="115">
        <f t="shared" si="217"/>
        <v>0</v>
      </c>
      <c r="K672" s="116">
        <f>Overview!$H$140</f>
        <v>0</v>
      </c>
      <c r="L672" s="117" t="e">
        <f t="shared" si="218"/>
        <v>#DIV/0!</v>
      </c>
      <c r="M672" s="179"/>
      <c r="N672" s="179" t="s">
        <v>3732</v>
      </c>
      <c r="O672" s="141">
        <f t="shared" si="219"/>
        <v>0</v>
      </c>
      <c r="P672" s="181" t="b">
        <f>COUNTIF('Facility Data'!$A$1:$A$1500,"*"&amp;A672&amp;"*")&gt;0</f>
        <v>1</v>
      </c>
      <c r="Q672" s="181" t="b">
        <f>COUNTIF('Account Data'!$A$1:$A$1000,"*"&amp;A672&amp;"*")&gt;0</f>
        <v>0</v>
      </c>
      <c r="R672" s="182" t="b">
        <f t="shared" si="220"/>
        <v>1</v>
      </c>
      <c r="S672" s="182" t="b">
        <f t="shared" si="221"/>
        <v>0</v>
      </c>
      <c r="T672" s="181" t="b">
        <f>COUNTIF('New Items'!$A$1:$A$175,A672)&gt;0</f>
        <v>0</v>
      </c>
      <c r="U672" s="181" t="b">
        <f>COUNTIF(Discontinued!$A$1:$A$150,A672)&gt;0</f>
        <v>0</v>
      </c>
    </row>
    <row r="673" spans="1:21" s="8" customFormat="1" ht="12" thickBot="1" x14ac:dyDescent="0.25">
      <c r="A673" s="152">
        <v>20029372</v>
      </c>
      <c r="B673" s="10" t="s">
        <v>3718</v>
      </c>
      <c r="C673" s="118" t="s">
        <v>3727</v>
      </c>
      <c r="D673" s="119" t="s">
        <v>730</v>
      </c>
      <c r="E673" s="118" t="s">
        <v>772</v>
      </c>
      <c r="F673" s="120">
        <v>12</v>
      </c>
      <c r="G673" s="121">
        <f>Overview!$B$140</f>
        <v>24</v>
      </c>
      <c r="H673" s="114">
        <f t="shared" si="216"/>
        <v>24</v>
      </c>
      <c r="I673" s="114">
        <f>Overview!$E$140</f>
        <v>0</v>
      </c>
      <c r="J673" s="115">
        <f t="shared" si="217"/>
        <v>0</v>
      </c>
      <c r="K673" s="116">
        <f>Overview!$H$140</f>
        <v>0</v>
      </c>
      <c r="L673" s="117" t="e">
        <f t="shared" si="218"/>
        <v>#DIV/0!</v>
      </c>
      <c r="M673" s="179"/>
      <c r="N673" s="179" t="s">
        <v>3732</v>
      </c>
      <c r="O673" s="141">
        <f t="shared" si="219"/>
        <v>0</v>
      </c>
      <c r="P673" s="181" t="b">
        <f>COUNTIF('Facility Data'!$A$1:$A$1500,"*"&amp;A673&amp;"*")&gt;0</f>
        <v>1</v>
      </c>
      <c r="Q673" s="181" t="b">
        <f>COUNTIF('Account Data'!$A$1:$A$1000,"*"&amp;A673&amp;"*")&gt;0</f>
        <v>0</v>
      </c>
      <c r="R673" s="182" t="b">
        <f t="shared" si="220"/>
        <v>1</v>
      </c>
      <c r="S673" s="182" t="b">
        <f t="shared" si="221"/>
        <v>0</v>
      </c>
      <c r="T673" s="181" t="b">
        <f>COUNTIF('New Items'!$A$1:$A$175,A673)&gt;0</f>
        <v>0</v>
      </c>
      <c r="U673" s="181" t="b">
        <f>COUNTIF(Discontinued!$A$1:$A$150,A673)&gt;0</f>
        <v>0</v>
      </c>
    </row>
    <row r="674" spans="1:21" s="8" customFormat="1" ht="13.5" thickBot="1" x14ac:dyDescent="0.25">
      <c r="A674" s="300" t="s">
        <v>2881</v>
      </c>
      <c r="B674" s="301"/>
      <c r="C674" s="301"/>
      <c r="D674" s="301"/>
      <c r="E674" s="301"/>
      <c r="F674" s="301"/>
      <c r="G674" s="301"/>
      <c r="H674" s="301"/>
      <c r="I674" s="301"/>
      <c r="J674" s="301"/>
      <c r="K674" s="301"/>
      <c r="L674" s="302"/>
      <c r="M674" s="179"/>
      <c r="N674" s="179" t="s">
        <v>2881</v>
      </c>
      <c r="O674" s="141">
        <f>AVERAGE(O675:O685)</f>
        <v>0</v>
      </c>
      <c r="P674" s="181" t="b">
        <f>COUNTIF(P675:P685,TRUE)&gt;0</f>
        <v>0</v>
      </c>
      <c r="Q674" s="181" t="b">
        <f>COUNTIF(Q675:Q685,TRUE)&gt;0</f>
        <v>0</v>
      </c>
      <c r="R674" s="181" t="b">
        <f>COUNTIF(R675:R685,TRUE)&gt;0</f>
        <v>0</v>
      </c>
      <c r="S674" s="181" t="b">
        <f>COUNTIF(S675:S685,TRUE)&gt;0</f>
        <v>0</v>
      </c>
      <c r="T674" s="181" t="b">
        <f>COUNTIF(T675:T685,TRUE)&gt;0</f>
        <v>0</v>
      </c>
      <c r="U674" s="249"/>
    </row>
    <row r="675" spans="1:21" s="8" customFormat="1" ht="11.25" x14ac:dyDescent="0.2">
      <c r="A675" s="152">
        <v>20009279</v>
      </c>
      <c r="B675" s="10" t="s">
        <v>2882</v>
      </c>
      <c r="C675" s="12" t="s">
        <v>2883</v>
      </c>
      <c r="D675" s="11" t="s">
        <v>2898</v>
      </c>
      <c r="E675" s="12" t="s">
        <v>786</v>
      </c>
      <c r="F675" s="13">
        <v>24</v>
      </c>
      <c r="G675" s="98">
        <f>Overview!$B$104</f>
        <v>14</v>
      </c>
      <c r="H675" s="99">
        <f t="shared" ref="H675:H685" si="222">G675-I675</f>
        <v>14</v>
      </c>
      <c r="I675" s="169">
        <f>Overview!$E$104</f>
        <v>0</v>
      </c>
      <c r="J675" s="100">
        <f t="shared" ref="J675:J685" si="223">I675/F675</f>
        <v>0</v>
      </c>
      <c r="K675" s="171">
        <f>Overview!$H$104</f>
        <v>0</v>
      </c>
      <c r="L675" s="102" t="e">
        <f t="shared" ref="L675:L685" si="224">(K675-J675)/K675</f>
        <v>#DIV/0!</v>
      </c>
      <c r="M675" s="179"/>
      <c r="N675" s="179" t="s">
        <v>2881</v>
      </c>
      <c r="O675" s="141">
        <f t="shared" ref="O675:O685" si="225">I675</f>
        <v>0</v>
      </c>
      <c r="P675" s="181" t="b">
        <f>COUNTIF('Facility Data'!$A$1:$A$1500,"*"&amp;A675&amp;"*")&gt;0</f>
        <v>0</v>
      </c>
      <c r="Q675" s="181" t="b">
        <f>COUNTIF('Account Data'!$A$1:$A$1000,"*"&amp;A675&amp;"*")&gt;0</f>
        <v>0</v>
      </c>
      <c r="R675" s="182" t="b">
        <f t="shared" ref="R675:R685" si="226">IF(OR(P675=TRUE,T675=TRUE),TRUE,FALSE)</f>
        <v>0</v>
      </c>
      <c r="S675" s="182" t="b">
        <f t="shared" ref="S675:S685" si="227">IF(OR(Q675=TRUE,T675=TRUE),TRUE,FALSE)</f>
        <v>0</v>
      </c>
      <c r="T675" s="181" t="b">
        <f>COUNTIF('New Items'!$A$1:$A$175,A675)&gt;0</f>
        <v>0</v>
      </c>
      <c r="U675" s="181" t="b">
        <f>COUNTIF(Discontinued!$A$1:$A$150,A675)&gt;0</f>
        <v>0</v>
      </c>
    </row>
    <row r="676" spans="1:21" s="8" customFormat="1" ht="11.25" x14ac:dyDescent="0.2">
      <c r="A676" s="152">
        <v>20009281</v>
      </c>
      <c r="B676" s="10" t="s">
        <v>2886</v>
      </c>
      <c r="C676" s="12" t="s">
        <v>2887</v>
      </c>
      <c r="D676" s="11" t="s">
        <v>2900</v>
      </c>
      <c r="E676" s="12" t="s">
        <v>786</v>
      </c>
      <c r="F676" s="13">
        <v>24</v>
      </c>
      <c r="G676" s="98">
        <f>Overview!$B$104</f>
        <v>14</v>
      </c>
      <c r="H676" s="99">
        <f t="shared" si="222"/>
        <v>14</v>
      </c>
      <c r="I676" s="169">
        <f>Overview!$E$104</f>
        <v>0</v>
      </c>
      <c r="J676" s="100">
        <f t="shared" si="223"/>
        <v>0</v>
      </c>
      <c r="K676" s="171">
        <f>Overview!$H$104</f>
        <v>0</v>
      </c>
      <c r="L676" s="102" t="e">
        <f t="shared" si="224"/>
        <v>#DIV/0!</v>
      </c>
      <c r="M676" s="179"/>
      <c r="N676" s="179" t="s">
        <v>2881</v>
      </c>
      <c r="O676" s="141">
        <f t="shared" si="225"/>
        <v>0</v>
      </c>
      <c r="P676" s="181" t="b">
        <f>COUNTIF('Facility Data'!$A$1:$A$1500,"*"&amp;A676&amp;"*")&gt;0</f>
        <v>0</v>
      </c>
      <c r="Q676" s="181" t="b">
        <f>COUNTIF('Account Data'!$A$1:$A$1000,"*"&amp;A676&amp;"*")&gt;0</f>
        <v>0</v>
      </c>
      <c r="R676" s="182" t="b">
        <f t="shared" si="226"/>
        <v>0</v>
      </c>
      <c r="S676" s="182" t="b">
        <f t="shared" si="227"/>
        <v>0</v>
      </c>
      <c r="T676" s="181" t="b">
        <f>COUNTIF('New Items'!$A$1:$A$175,A676)&gt;0</f>
        <v>0</v>
      </c>
      <c r="U676" s="181" t="b">
        <f>COUNTIF(Discontinued!$A$1:$A$150,A676)&gt;0</f>
        <v>0</v>
      </c>
    </row>
    <row r="677" spans="1:21" s="8" customFormat="1" ht="11.25" x14ac:dyDescent="0.2">
      <c r="A677" s="152">
        <v>20009280</v>
      </c>
      <c r="B677" s="10" t="s">
        <v>2884</v>
      </c>
      <c r="C677" s="12" t="s">
        <v>2885</v>
      </c>
      <c r="D677" s="11" t="s">
        <v>2899</v>
      </c>
      <c r="E677" s="12" t="s">
        <v>786</v>
      </c>
      <c r="F677" s="13">
        <v>24</v>
      </c>
      <c r="G677" s="98">
        <f>Overview!$B$104</f>
        <v>14</v>
      </c>
      <c r="H677" s="99">
        <f t="shared" si="222"/>
        <v>14</v>
      </c>
      <c r="I677" s="169">
        <f>Overview!$E$104</f>
        <v>0</v>
      </c>
      <c r="J677" s="100">
        <f t="shared" si="223"/>
        <v>0</v>
      </c>
      <c r="K677" s="171">
        <f>Overview!$H$104</f>
        <v>0</v>
      </c>
      <c r="L677" s="102" t="e">
        <f t="shared" si="224"/>
        <v>#DIV/0!</v>
      </c>
      <c r="M677" s="179"/>
      <c r="N677" s="179" t="s">
        <v>2881</v>
      </c>
      <c r="O677" s="141">
        <f t="shared" si="225"/>
        <v>0</v>
      </c>
      <c r="P677" s="181" t="b">
        <f>COUNTIF('Facility Data'!$A$1:$A$1500,"*"&amp;A677&amp;"*")&gt;0</f>
        <v>0</v>
      </c>
      <c r="Q677" s="181" t="b">
        <f>COUNTIF('Account Data'!$A$1:$A$1000,"*"&amp;A677&amp;"*")&gt;0</f>
        <v>0</v>
      </c>
      <c r="R677" s="182" t="b">
        <f t="shared" si="226"/>
        <v>0</v>
      </c>
      <c r="S677" s="182" t="b">
        <f t="shared" si="227"/>
        <v>0</v>
      </c>
      <c r="T677" s="181" t="b">
        <f>COUNTIF('New Items'!$A$1:$A$175,A677)&gt;0</f>
        <v>0</v>
      </c>
      <c r="U677" s="181" t="b">
        <f>COUNTIF(Discontinued!$A$1:$A$150,A677)&gt;0</f>
        <v>0</v>
      </c>
    </row>
    <row r="678" spans="1:21" s="8" customFormat="1" ht="11.25" x14ac:dyDescent="0.2">
      <c r="A678" s="152">
        <v>20029816</v>
      </c>
      <c r="B678" s="10" t="s">
        <v>3703</v>
      </c>
      <c r="C678" s="12" t="s">
        <v>3706</v>
      </c>
      <c r="D678" s="11" t="s">
        <v>4159</v>
      </c>
      <c r="E678" s="12" t="s">
        <v>769</v>
      </c>
      <c r="F678" s="13">
        <v>15</v>
      </c>
      <c r="G678" s="98">
        <f>Overview!$B$105</f>
        <v>24</v>
      </c>
      <c r="H678" s="99">
        <f>G678-I678</f>
        <v>24</v>
      </c>
      <c r="I678" s="169">
        <f>Overview!$E$105</f>
        <v>0</v>
      </c>
      <c r="J678" s="100">
        <f>I678/F678</f>
        <v>0</v>
      </c>
      <c r="K678" s="171">
        <f>Overview!$H$105</f>
        <v>0</v>
      </c>
      <c r="L678" s="102" t="e">
        <f>(K678-J678)/K678</f>
        <v>#DIV/0!</v>
      </c>
      <c r="M678" s="179"/>
      <c r="N678" s="179" t="s">
        <v>2881</v>
      </c>
      <c r="O678" s="141">
        <f>I678</f>
        <v>0</v>
      </c>
      <c r="P678" s="181" t="b">
        <f>COUNTIF('Facility Data'!$A$1:$A$1500,"*"&amp;A678&amp;"*")&gt;0</f>
        <v>0</v>
      </c>
      <c r="Q678" s="181" t="b">
        <f>COUNTIF('Account Data'!$A$1:$A$1000,"*"&amp;A678&amp;"*")&gt;0</f>
        <v>0</v>
      </c>
      <c r="R678" s="182" t="b">
        <f t="shared" si="226"/>
        <v>0</v>
      </c>
      <c r="S678" s="182" t="b">
        <f t="shared" si="227"/>
        <v>0</v>
      </c>
      <c r="T678" s="181" t="b">
        <f>COUNTIF('New Items'!$A$1:$A$175,A678)&gt;0</f>
        <v>0</v>
      </c>
      <c r="U678" s="181" t="b">
        <f>COUNTIF(Discontinued!$A$1:$A$150,A678)&gt;0</f>
        <v>0</v>
      </c>
    </row>
    <row r="679" spans="1:21" s="8" customFormat="1" ht="11.25" x14ac:dyDescent="0.2">
      <c r="A679" s="152">
        <v>20029817</v>
      </c>
      <c r="B679" s="10" t="s">
        <v>3705</v>
      </c>
      <c r="C679" s="12" t="s">
        <v>3708</v>
      </c>
      <c r="D679" s="11" t="s">
        <v>4161</v>
      </c>
      <c r="E679" s="12" t="s">
        <v>769</v>
      </c>
      <c r="F679" s="13">
        <v>15</v>
      </c>
      <c r="G679" s="98">
        <f>Overview!$B$105</f>
        <v>24</v>
      </c>
      <c r="H679" s="99">
        <f>G679-I679</f>
        <v>24</v>
      </c>
      <c r="I679" s="169">
        <f>Overview!$E$105</f>
        <v>0</v>
      </c>
      <c r="J679" s="100">
        <f>I679/F679</f>
        <v>0</v>
      </c>
      <c r="K679" s="171">
        <f>Overview!$H$105</f>
        <v>0</v>
      </c>
      <c r="L679" s="102" t="e">
        <f>(K679-J679)/K679</f>
        <v>#DIV/0!</v>
      </c>
      <c r="M679" s="179"/>
      <c r="N679" s="179" t="s">
        <v>2881</v>
      </c>
      <c r="O679" s="141">
        <f>I679</f>
        <v>0</v>
      </c>
      <c r="P679" s="181" t="b">
        <f>COUNTIF('Facility Data'!$A$1:$A$1500,"*"&amp;A679&amp;"*")&gt;0</f>
        <v>0</v>
      </c>
      <c r="Q679" s="181" t="b">
        <f>COUNTIF('Account Data'!$A$1:$A$1000,"*"&amp;A679&amp;"*")&gt;0</f>
        <v>0</v>
      </c>
      <c r="R679" s="182" t="b">
        <f t="shared" si="226"/>
        <v>0</v>
      </c>
      <c r="S679" s="182" t="b">
        <f t="shared" si="227"/>
        <v>0</v>
      </c>
      <c r="T679" s="181" t="b">
        <f>COUNTIF('New Items'!$A$1:$A$175,A679)&gt;0</f>
        <v>0</v>
      </c>
      <c r="U679" s="181" t="b">
        <f>COUNTIF(Discontinued!$A$1:$A$150,A679)&gt;0</f>
        <v>0</v>
      </c>
    </row>
    <row r="680" spans="1:21" s="8" customFormat="1" ht="11.25" x14ac:dyDescent="0.2">
      <c r="A680" s="152">
        <v>20029818</v>
      </c>
      <c r="B680" s="10" t="s">
        <v>3704</v>
      </c>
      <c r="C680" s="12" t="s">
        <v>3707</v>
      </c>
      <c r="D680" s="11" t="s">
        <v>4160</v>
      </c>
      <c r="E680" s="12" t="s">
        <v>769</v>
      </c>
      <c r="F680" s="13">
        <v>15</v>
      </c>
      <c r="G680" s="98">
        <f>Overview!$B$105</f>
        <v>24</v>
      </c>
      <c r="H680" s="99">
        <f>G680-I680</f>
        <v>24</v>
      </c>
      <c r="I680" s="169">
        <f>Overview!$E$105</f>
        <v>0</v>
      </c>
      <c r="J680" s="100">
        <f>I680/F680</f>
        <v>0</v>
      </c>
      <c r="K680" s="171">
        <f>Overview!$H$105</f>
        <v>0</v>
      </c>
      <c r="L680" s="102" t="e">
        <f>(K680-J680)/K680</f>
        <v>#DIV/0!</v>
      </c>
      <c r="M680" s="179"/>
      <c r="N680" s="179" t="s">
        <v>2881</v>
      </c>
      <c r="O680" s="141">
        <f>I680</f>
        <v>0</v>
      </c>
      <c r="P680" s="181" t="b">
        <f>COUNTIF('Facility Data'!$A$1:$A$1500,"*"&amp;A680&amp;"*")&gt;0</f>
        <v>0</v>
      </c>
      <c r="Q680" s="181" t="b">
        <f>COUNTIF('Account Data'!$A$1:$A$1000,"*"&amp;A680&amp;"*")&gt;0</f>
        <v>0</v>
      </c>
      <c r="R680" s="182" t="b">
        <f t="shared" si="226"/>
        <v>0</v>
      </c>
      <c r="S680" s="182" t="b">
        <f t="shared" si="227"/>
        <v>0</v>
      </c>
      <c r="T680" s="181" t="b">
        <f>COUNTIF('New Items'!$A$1:$A$175,A680)&gt;0</f>
        <v>0</v>
      </c>
      <c r="U680" s="181" t="b">
        <f>COUNTIF(Discontinued!$A$1:$A$150,A680)&gt;0</f>
        <v>0</v>
      </c>
    </row>
    <row r="681" spans="1:21" s="8" customFormat="1" ht="11.25" x14ac:dyDescent="0.2">
      <c r="A681" s="152">
        <v>20004149</v>
      </c>
      <c r="B681" s="10" t="s">
        <v>2888</v>
      </c>
      <c r="C681" s="12" t="s">
        <v>2889</v>
      </c>
      <c r="D681" s="11" t="s">
        <v>2901</v>
      </c>
      <c r="E681" s="12" t="s">
        <v>772</v>
      </c>
      <c r="F681" s="13">
        <v>12</v>
      </c>
      <c r="G681" s="98">
        <f>Overview!$B$106</f>
        <v>36</v>
      </c>
      <c r="H681" s="99">
        <f t="shared" si="222"/>
        <v>36</v>
      </c>
      <c r="I681" s="169">
        <f>Overview!$E$106</f>
        <v>0</v>
      </c>
      <c r="J681" s="100">
        <f t="shared" si="223"/>
        <v>0</v>
      </c>
      <c r="K681" s="171">
        <f>Overview!$H$106</f>
        <v>0</v>
      </c>
      <c r="L681" s="102" t="e">
        <f t="shared" si="224"/>
        <v>#DIV/0!</v>
      </c>
      <c r="M681" s="179"/>
      <c r="N681" s="179" t="s">
        <v>2881</v>
      </c>
      <c r="O681" s="141">
        <f t="shared" si="225"/>
        <v>0</v>
      </c>
      <c r="P681" s="181" t="b">
        <f>COUNTIF('Facility Data'!$A$1:$A$1500,"*"&amp;A681&amp;"*")&gt;0</f>
        <v>0</v>
      </c>
      <c r="Q681" s="181" t="b">
        <f>COUNTIF('Account Data'!$A$1:$A$1000,"*"&amp;A681&amp;"*")&gt;0</f>
        <v>0</v>
      </c>
      <c r="R681" s="182" t="b">
        <f t="shared" si="226"/>
        <v>0</v>
      </c>
      <c r="S681" s="182" t="b">
        <f t="shared" si="227"/>
        <v>0</v>
      </c>
      <c r="T681" s="181" t="b">
        <f>COUNTIF('New Items'!$A$1:$A$175,A681)&gt;0</f>
        <v>0</v>
      </c>
      <c r="U681" s="181" t="b">
        <f>COUNTIF(Discontinued!$A$1:$A$150,A681)&gt;0</f>
        <v>0</v>
      </c>
    </row>
    <row r="682" spans="1:21" s="8" customFormat="1" ht="11.25" x14ac:dyDescent="0.2">
      <c r="A682" s="152">
        <v>20004151</v>
      </c>
      <c r="B682" s="10" t="s">
        <v>2892</v>
      </c>
      <c r="C682" s="12" t="s">
        <v>2893</v>
      </c>
      <c r="D682" s="11" t="s">
        <v>2903</v>
      </c>
      <c r="E682" s="12" t="s">
        <v>772</v>
      </c>
      <c r="F682" s="13">
        <v>12</v>
      </c>
      <c r="G682" s="98">
        <f>Overview!$B$106</f>
        <v>36</v>
      </c>
      <c r="H682" s="99">
        <f t="shared" si="222"/>
        <v>36</v>
      </c>
      <c r="I682" s="169">
        <f>Overview!$E$106</f>
        <v>0</v>
      </c>
      <c r="J682" s="100">
        <f t="shared" si="223"/>
        <v>0</v>
      </c>
      <c r="K682" s="171">
        <f>Overview!$H$106</f>
        <v>0</v>
      </c>
      <c r="L682" s="102" t="e">
        <f t="shared" si="224"/>
        <v>#DIV/0!</v>
      </c>
      <c r="M682" s="179"/>
      <c r="N682" s="179" t="s">
        <v>2881</v>
      </c>
      <c r="O682" s="141">
        <f t="shared" si="225"/>
        <v>0</v>
      </c>
      <c r="P682" s="181" t="b">
        <f>COUNTIF('Facility Data'!$A$1:$A$1500,"*"&amp;A682&amp;"*")&gt;0</f>
        <v>0</v>
      </c>
      <c r="Q682" s="181" t="b">
        <f>COUNTIF('Account Data'!$A$1:$A$1000,"*"&amp;A682&amp;"*")&gt;0</f>
        <v>0</v>
      </c>
      <c r="R682" s="182" t="b">
        <f t="shared" si="226"/>
        <v>0</v>
      </c>
      <c r="S682" s="182" t="b">
        <f t="shared" si="227"/>
        <v>0</v>
      </c>
      <c r="T682" s="181" t="b">
        <f>COUNTIF('New Items'!$A$1:$A$175,A682)&gt;0</f>
        <v>0</v>
      </c>
      <c r="U682" s="181" t="b">
        <f>COUNTIF(Discontinued!$A$1:$A$150,A682)&gt;0</f>
        <v>0</v>
      </c>
    </row>
    <row r="683" spans="1:21" s="8" customFormat="1" ht="11.25" x14ac:dyDescent="0.2">
      <c r="A683" s="152">
        <v>20026254</v>
      </c>
      <c r="B683" s="10" t="s">
        <v>2896</v>
      </c>
      <c r="C683" s="12" t="s">
        <v>2897</v>
      </c>
      <c r="D683" s="11" t="s">
        <v>2905</v>
      </c>
      <c r="E683" s="12" t="s">
        <v>772</v>
      </c>
      <c r="F683" s="13">
        <v>12</v>
      </c>
      <c r="G683" s="98">
        <f>Overview!$B$106</f>
        <v>36</v>
      </c>
      <c r="H683" s="99">
        <f t="shared" si="222"/>
        <v>36</v>
      </c>
      <c r="I683" s="169">
        <f>Overview!$E$106</f>
        <v>0</v>
      </c>
      <c r="J683" s="100">
        <f t="shared" si="223"/>
        <v>0</v>
      </c>
      <c r="K683" s="171">
        <f>Overview!$H$106</f>
        <v>0</v>
      </c>
      <c r="L683" s="102" t="e">
        <f t="shared" si="224"/>
        <v>#DIV/0!</v>
      </c>
      <c r="M683" s="179"/>
      <c r="N683" s="179" t="s">
        <v>2881</v>
      </c>
      <c r="O683" s="141">
        <f t="shared" si="225"/>
        <v>0</v>
      </c>
      <c r="P683" s="181" t="b">
        <f>COUNTIF('Facility Data'!$A$1:$A$1500,"*"&amp;A683&amp;"*")&gt;0</f>
        <v>0</v>
      </c>
      <c r="Q683" s="181" t="b">
        <f>COUNTIF('Account Data'!$A$1:$A$1000,"*"&amp;A683&amp;"*")&gt;0</f>
        <v>0</v>
      </c>
      <c r="R683" s="182" t="b">
        <f t="shared" si="226"/>
        <v>0</v>
      </c>
      <c r="S683" s="182" t="b">
        <f t="shared" si="227"/>
        <v>0</v>
      </c>
      <c r="T683" s="181" t="b">
        <f>COUNTIF('New Items'!$A$1:$A$175,A683)&gt;0</f>
        <v>0</v>
      </c>
      <c r="U683" s="181" t="b">
        <f>COUNTIF(Discontinued!$A$1:$A$150,A683)&gt;0</f>
        <v>0</v>
      </c>
    </row>
    <row r="684" spans="1:21" s="8" customFormat="1" ht="11.25" x14ac:dyDescent="0.2">
      <c r="A684" s="152">
        <v>20008087</v>
      </c>
      <c r="B684" s="10" t="s">
        <v>2894</v>
      </c>
      <c r="C684" s="12" t="s">
        <v>2895</v>
      </c>
      <c r="D684" s="11" t="s">
        <v>2904</v>
      </c>
      <c r="E684" s="12" t="s">
        <v>772</v>
      </c>
      <c r="F684" s="13">
        <v>12</v>
      </c>
      <c r="G684" s="98">
        <f>Overview!$B$106</f>
        <v>36</v>
      </c>
      <c r="H684" s="99">
        <f t="shared" si="222"/>
        <v>36</v>
      </c>
      <c r="I684" s="169">
        <f>Overview!$E$106</f>
        <v>0</v>
      </c>
      <c r="J684" s="100">
        <f t="shared" si="223"/>
        <v>0</v>
      </c>
      <c r="K684" s="171">
        <f>Overview!$H$106</f>
        <v>0</v>
      </c>
      <c r="L684" s="102" t="e">
        <f t="shared" si="224"/>
        <v>#DIV/0!</v>
      </c>
      <c r="M684" s="179"/>
      <c r="N684" s="179" t="s">
        <v>2881</v>
      </c>
      <c r="O684" s="141">
        <f t="shared" si="225"/>
        <v>0</v>
      </c>
      <c r="P684" s="181" t="b">
        <f>COUNTIF('Facility Data'!$A$1:$A$1500,"*"&amp;A684&amp;"*")&gt;0</f>
        <v>0</v>
      </c>
      <c r="Q684" s="181" t="b">
        <f>COUNTIF('Account Data'!$A$1:$A$1000,"*"&amp;A684&amp;"*")&gt;0</f>
        <v>0</v>
      </c>
      <c r="R684" s="182" t="b">
        <f t="shared" si="226"/>
        <v>0</v>
      </c>
      <c r="S684" s="182" t="b">
        <f t="shared" si="227"/>
        <v>0</v>
      </c>
      <c r="T684" s="181" t="b">
        <f>COUNTIF('New Items'!$A$1:$A$175,A684)&gt;0</f>
        <v>0</v>
      </c>
      <c r="U684" s="181" t="b">
        <f>COUNTIF(Discontinued!$A$1:$A$150,A684)&gt;0</f>
        <v>0</v>
      </c>
    </row>
    <row r="685" spans="1:21" s="8" customFormat="1" ht="12" thickBot="1" x14ac:dyDescent="0.25">
      <c r="A685" s="152">
        <v>20004155</v>
      </c>
      <c r="B685" s="10" t="s">
        <v>2890</v>
      </c>
      <c r="C685" s="12" t="s">
        <v>2891</v>
      </c>
      <c r="D685" s="11" t="s">
        <v>2902</v>
      </c>
      <c r="E685" s="12" t="s">
        <v>772</v>
      </c>
      <c r="F685" s="13">
        <v>12</v>
      </c>
      <c r="G685" s="98">
        <f>Overview!$B$106</f>
        <v>36</v>
      </c>
      <c r="H685" s="99">
        <f t="shared" si="222"/>
        <v>36</v>
      </c>
      <c r="I685" s="169">
        <f>Overview!$E$106</f>
        <v>0</v>
      </c>
      <c r="J685" s="100">
        <f t="shared" si="223"/>
        <v>0</v>
      </c>
      <c r="K685" s="171">
        <f>Overview!$H$106</f>
        <v>0</v>
      </c>
      <c r="L685" s="102" t="e">
        <f t="shared" si="224"/>
        <v>#DIV/0!</v>
      </c>
      <c r="M685" s="179"/>
      <c r="N685" s="179" t="s">
        <v>2881</v>
      </c>
      <c r="O685" s="141">
        <f t="shared" si="225"/>
        <v>0</v>
      </c>
      <c r="P685" s="181" t="b">
        <f>COUNTIF('Facility Data'!$A$1:$A$1500,"*"&amp;A685&amp;"*")&gt;0</f>
        <v>0</v>
      </c>
      <c r="Q685" s="181" t="b">
        <f>COUNTIF('Account Data'!$A$1:$A$1000,"*"&amp;A685&amp;"*")&gt;0</f>
        <v>0</v>
      </c>
      <c r="R685" s="182" t="b">
        <f t="shared" si="226"/>
        <v>0</v>
      </c>
      <c r="S685" s="182" t="b">
        <f t="shared" si="227"/>
        <v>0</v>
      </c>
      <c r="T685" s="181" t="b">
        <f>COUNTIF('New Items'!$A$1:$A$175,A685)&gt;0</f>
        <v>0</v>
      </c>
      <c r="U685" s="181" t="b">
        <f>COUNTIF(Discontinued!$A$1:$A$150,A685)&gt;0</f>
        <v>0</v>
      </c>
    </row>
    <row r="686" spans="1:21" s="8" customFormat="1" ht="13.5" thickBot="1" x14ac:dyDescent="0.25">
      <c r="A686" s="300" t="s">
        <v>3306</v>
      </c>
      <c r="B686" s="301"/>
      <c r="C686" s="301"/>
      <c r="D686" s="301"/>
      <c r="E686" s="301"/>
      <c r="F686" s="301"/>
      <c r="G686" s="301"/>
      <c r="H686" s="301"/>
      <c r="I686" s="301"/>
      <c r="J686" s="301"/>
      <c r="K686" s="301"/>
      <c r="L686" s="302"/>
      <c r="M686" s="179"/>
      <c r="N686" s="179" t="s">
        <v>979</v>
      </c>
      <c r="O686" s="141">
        <f>AVERAGE(O687:O696)</f>
        <v>0</v>
      </c>
      <c r="P686" s="181" t="b">
        <f>COUNTIF(P687:P696,TRUE)&gt;0</f>
        <v>0</v>
      </c>
      <c r="Q686" s="181" t="b">
        <f>COUNTIF(Q687:Q696,TRUE)&gt;0</f>
        <v>0</v>
      </c>
      <c r="R686" s="181" t="b">
        <f>COUNTIF(R687:R696,TRUE)&gt;0</f>
        <v>0</v>
      </c>
      <c r="S686" s="181" t="b">
        <f>COUNTIF(S687:S696,TRUE)&gt;0</f>
        <v>0</v>
      </c>
      <c r="T686" s="181" t="b">
        <f>COUNTIF(T687:T696,TRUE)&gt;0</f>
        <v>0</v>
      </c>
      <c r="U686" s="249"/>
    </row>
    <row r="687" spans="1:21" s="8" customFormat="1" ht="11.25" x14ac:dyDescent="0.2">
      <c r="A687" s="152">
        <v>20001378</v>
      </c>
      <c r="B687" s="10" t="s">
        <v>436</v>
      </c>
      <c r="C687" s="14" t="s">
        <v>437</v>
      </c>
      <c r="D687" s="11" t="s">
        <v>698</v>
      </c>
      <c r="E687" s="14" t="s">
        <v>781</v>
      </c>
      <c r="F687" s="13">
        <v>24</v>
      </c>
      <c r="G687" s="22">
        <f>Overview!$B$94</f>
        <v>21</v>
      </c>
      <c r="H687" s="23">
        <f t="shared" ref="H687:H694" si="228">G687-I687</f>
        <v>21</v>
      </c>
      <c r="I687" s="114">
        <f>Overview!$E$94</f>
        <v>0</v>
      </c>
      <c r="J687" s="24">
        <f t="shared" ref="J687:J694" si="229">I687/F687</f>
        <v>0</v>
      </c>
      <c r="K687" s="116">
        <f>Overview!$H$94</f>
        <v>0</v>
      </c>
      <c r="L687" s="51" t="e">
        <f t="shared" ref="L687:L694" si="230">(K687-J687)/K687</f>
        <v>#DIV/0!</v>
      </c>
      <c r="M687" s="179"/>
      <c r="N687" s="179" t="s">
        <v>979</v>
      </c>
      <c r="O687" s="141">
        <f t="shared" ref="O687:O695" si="231">I687</f>
        <v>0</v>
      </c>
      <c r="P687" s="181" t="b">
        <f>COUNTIF('Facility Data'!$A$1:$A$1500,"*"&amp;A687&amp;"*")&gt;0</f>
        <v>0</v>
      </c>
      <c r="Q687" s="181" t="b">
        <f>COUNTIF('Account Data'!$A$1:$A$1000,"*"&amp;A687&amp;"*")&gt;0</f>
        <v>0</v>
      </c>
      <c r="R687" s="182" t="b">
        <f t="shared" ref="R687:R696" si="232">IF(OR(P687=TRUE,T687=TRUE),TRUE,FALSE)</f>
        <v>0</v>
      </c>
      <c r="S687" s="182" t="b">
        <f t="shared" ref="S687:S696" si="233">IF(OR(Q687=TRUE,T687=TRUE),TRUE,FALSE)</f>
        <v>0</v>
      </c>
      <c r="T687" s="181" t="b">
        <f>COUNTIF('New Items'!$A$1:$A$175,A687)&gt;0</f>
        <v>0</v>
      </c>
      <c r="U687" s="181" t="b">
        <f>COUNTIF(Discontinued!$A$1:$A$150,A687)&gt;0</f>
        <v>0</v>
      </c>
    </row>
    <row r="688" spans="1:21" s="8" customFormat="1" ht="11.25" x14ac:dyDescent="0.2">
      <c r="A688" s="152">
        <v>20001385</v>
      </c>
      <c r="B688" s="10" t="s">
        <v>442</v>
      </c>
      <c r="C688" s="14" t="s">
        <v>443</v>
      </c>
      <c r="D688" s="11" t="s">
        <v>693</v>
      </c>
      <c r="E688" s="14" t="s">
        <v>781</v>
      </c>
      <c r="F688" s="13">
        <v>24</v>
      </c>
      <c r="G688" s="22">
        <f>Overview!$B$94</f>
        <v>21</v>
      </c>
      <c r="H688" s="23">
        <f t="shared" si="228"/>
        <v>21</v>
      </c>
      <c r="I688" s="114">
        <f>Overview!$E$94</f>
        <v>0</v>
      </c>
      <c r="J688" s="24">
        <f t="shared" si="229"/>
        <v>0</v>
      </c>
      <c r="K688" s="116">
        <f>Overview!$H$94</f>
        <v>0</v>
      </c>
      <c r="L688" s="51" t="e">
        <f t="shared" si="230"/>
        <v>#DIV/0!</v>
      </c>
      <c r="M688" s="179"/>
      <c r="N688" s="179" t="s">
        <v>979</v>
      </c>
      <c r="O688" s="141">
        <f t="shared" si="231"/>
        <v>0</v>
      </c>
      <c r="P688" s="181" t="b">
        <f>COUNTIF('Facility Data'!$A$1:$A$1500,"*"&amp;A688&amp;"*")&gt;0</f>
        <v>0</v>
      </c>
      <c r="Q688" s="181" t="b">
        <f>COUNTIF('Account Data'!$A$1:$A$1000,"*"&amp;A688&amp;"*")&gt;0</f>
        <v>0</v>
      </c>
      <c r="R688" s="182" t="b">
        <f t="shared" si="232"/>
        <v>0</v>
      </c>
      <c r="S688" s="182" t="b">
        <f t="shared" si="233"/>
        <v>0</v>
      </c>
      <c r="T688" s="181" t="b">
        <f>COUNTIF('New Items'!$A$1:$A$175,A688)&gt;0</f>
        <v>0</v>
      </c>
      <c r="U688" s="181" t="b">
        <f>COUNTIF(Discontinued!$A$1:$A$150,A688)&gt;0</f>
        <v>0</v>
      </c>
    </row>
    <row r="689" spans="1:21" s="8" customFormat="1" ht="11.25" x14ac:dyDescent="0.2">
      <c r="A689" s="152">
        <v>20001375</v>
      </c>
      <c r="B689" s="10" t="s">
        <v>438</v>
      </c>
      <c r="C689" s="14" t="s">
        <v>439</v>
      </c>
      <c r="D689" s="11" t="s">
        <v>699</v>
      </c>
      <c r="E689" s="14" t="s">
        <v>781</v>
      </c>
      <c r="F689" s="13">
        <v>24</v>
      </c>
      <c r="G689" s="22">
        <f>Overview!$B$94</f>
        <v>21</v>
      </c>
      <c r="H689" s="23">
        <f t="shared" si="228"/>
        <v>21</v>
      </c>
      <c r="I689" s="114">
        <f>Overview!$E$94</f>
        <v>0</v>
      </c>
      <c r="J689" s="24">
        <f t="shared" si="229"/>
        <v>0</v>
      </c>
      <c r="K689" s="116">
        <f>Overview!$H$94</f>
        <v>0</v>
      </c>
      <c r="L689" s="51" t="e">
        <f t="shared" si="230"/>
        <v>#DIV/0!</v>
      </c>
      <c r="M689" s="179"/>
      <c r="N689" s="179" t="s">
        <v>979</v>
      </c>
      <c r="O689" s="141">
        <f t="shared" si="231"/>
        <v>0</v>
      </c>
      <c r="P689" s="181" t="b">
        <f>COUNTIF('Facility Data'!$A$1:$A$1500,"*"&amp;A689&amp;"*")&gt;0</f>
        <v>0</v>
      </c>
      <c r="Q689" s="181" t="b">
        <f>COUNTIF('Account Data'!$A$1:$A$1000,"*"&amp;A689&amp;"*")&gt;0</f>
        <v>0</v>
      </c>
      <c r="R689" s="182" t="b">
        <f t="shared" si="232"/>
        <v>0</v>
      </c>
      <c r="S689" s="182" t="b">
        <f t="shared" si="233"/>
        <v>0</v>
      </c>
      <c r="T689" s="181" t="b">
        <f>COUNTIF('New Items'!$A$1:$A$175,A689)&gt;0</f>
        <v>0</v>
      </c>
      <c r="U689" s="181" t="b">
        <f>COUNTIF(Discontinued!$A$1:$A$150,A689)&gt;0</f>
        <v>0</v>
      </c>
    </row>
    <row r="690" spans="1:21" s="8" customFormat="1" ht="11.25" x14ac:dyDescent="0.2">
      <c r="A690" s="152">
        <v>20001374</v>
      </c>
      <c r="B690" s="10" t="s">
        <v>1452</v>
      </c>
      <c r="C690" s="14" t="s">
        <v>1453</v>
      </c>
      <c r="D690" s="11" t="s">
        <v>691</v>
      </c>
      <c r="E690" s="14" t="s">
        <v>781</v>
      </c>
      <c r="F690" s="13">
        <v>24</v>
      </c>
      <c r="G690" s="22">
        <f>Overview!$B$94</f>
        <v>21</v>
      </c>
      <c r="H690" s="23">
        <f t="shared" si="228"/>
        <v>21</v>
      </c>
      <c r="I690" s="114">
        <f>Overview!$E$94</f>
        <v>0</v>
      </c>
      <c r="J690" s="24">
        <f t="shared" si="229"/>
        <v>0</v>
      </c>
      <c r="K690" s="116">
        <f>Overview!$H$94</f>
        <v>0</v>
      </c>
      <c r="L690" s="51" t="e">
        <f t="shared" si="230"/>
        <v>#DIV/0!</v>
      </c>
      <c r="M690" s="179"/>
      <c r="N690" s="179" t="s">
        <v>979</v>
      </c>
      <c r="O690" s="141">
        <f t="shared" si="231"/>
        <v>0</v>
      </c>
      <c r="P690" s="181" t="b">
        <f>COUNTIF('Facility Data'!$A$1:$A$1500,"*"&amp;A690&amp;"*")&gt;0</f>
        <v>0</v>
      </c>
      <c r="Q690" s="181" t="b">
        <f>COUNTIF('Account Data'!$A$1:$A$1000,"*"&amp;A690&amp;"*")&gt;0</f>
        <v>0</v>
      </c>
      <c r="R690" s="182" t="b">
        <f t="shared" si="232"/>
        <v>0</v>
      </c>
      <c r="S690" s="182" t="b">
        <f t="shared" si="233"/>
        <v>0</v>
      </c>
      <c r="T690" s="181" t="b">
        <f>COUNTIF('New Items'!$A$1:$A$175,A690)&gt;0</f>
        <v>0</v>
      </c>
      <c r="U690" s="181" t="b">
        <f>COUNTIF(Discontinued!$A$1:$A$150,A690)&gt;0</f>
        <v>0</v>
      </c>
    </row>
    <row r="691" spans="1:21" s="8" customFormat="1" ht="11.25" x14ac:dyDescent="0.2">
      <c r="A691" s="152">
        <v>20001379</v>
      </c>
      <c r="B691" s="10" t="s">
        <v>444</v>
      </c>
      <c r="C691" s="14" t="s">
        <v>445</v>
      </c>
      <c r="D691" s="11" t="s">
        <v>700</v>
      </c>
      <c r="E691" s="14" t="s">
        <v>781</v>
      </c>
      <c r="F691" s="13">
        <v>24</v>
      </c>
      <c r="G691" s="22">
        <f>Overview!$B$94</f>
        <v>21</v>
      </c>
      <c r="H691" s="23">
        <f t="shared" si="228"/>
        <v>21</v>
      </c>
      <c r="I691" s="114">
        <f>Overview!$E$94</f>
        <v>0</v>
      </c>
      <c r="J691" s="24">
        <f t="shared" si="229"/>
        <v>0</v>
      </c>
      <c r="K691" s="116">
        <f>Overview!$H$94</f>
        <v>0</v>
      </c>
      <c r="L691" s="51" t="e">
        <f t="shared" si="230"/>
        <v>#DIV/0!</v>
      </c>
      <c r="M691" s="179"/>
      <c r="N691" s="179" t="s">
        <v>979</v>
      </c>
      <c r="O691" s="141">
        <f t="shared" si="231"/>
        <v>0</v>
      </c>
      <c r="P691" s="181" t="b">
        <f>COUNTIF('Facility Data'!$A$1:$A$1500,"*"&amp;A691&amp;"*")&gt;0</f>
        <v>0</v>
      </c>
      <c r="Q691" s="181" t="b">
        <f>COUNTIF('Account Data'!$A$1:$A$1000,"*"&amp;A691&amp;"*")&gt;0</f>
        <v>0</v>
      </c>
      <c r="R691" s="182" t="b">
        <f t="shared" si="232"/>
        <v>0</v>
      </c>
      <c r="S691" s="182" t="b">
        <f t="shared" si="233"/>
        <v>0</v>
      </c>
      <c r="T691" s="181" t="b">
        <f>COUNTIF('New Items'!$A$1:$A$175,A691)&gt;0</f>
        <v>0</v>
      </c>
      <c r="U691" s="181" t="b">
        <f>COUNTIF(Discontinued!$A$1:$A$150,A691)&gt;0</f>
        <v>0</v>
      </c>
    </row>
    <row r="692" spans="1:21" s="8" customFormat="1" ht="11.25" x14ac:dyDescent="0.2">
      <c r="A692" s="152">
        <v>20001377</v>
      </c>
      <c r="B692" s="10" t="s">
        <v>1455</v>
      </c>
      <c r="C692" s="14" t="s">
        <v>1456</v>
      </c>
      <c r="D692" s="11" t="s">
        <v>1454</v>
      </c>
      <c r="E692" s="14" t="s">
        <v>781</v>
      </c>
      <c r="F692" s="13">
        <v>24</v>
      </c>
      <c r="G692" s="22">
        <f>Overview!$B$94</f>
        <v>21</v>
      </c>
      <c r="H692" s="23">
        <f t="shared" si="228"/>
        <v>21</v>
      </c>
      <c r="I692" s="114">
        <f>Overview!$E$94</f>
        <v>0</v>
      </c>
      <c r="J692" s="24">
        <f t="shared" si="229"/>
        <v>0</v>
      </c>
      <c r="K692" s="116">
        <f>Overview!$H$94</f>
        <v>0</v>
      </c>
      <c r="L692" s="51" t="e">
        <f t="shared" si="230"/>
        <v>#DIV/0!</v>
      </c>
      <c r="M692" s="179"/>
      <c r="N692" s="179" t="s">
        <v>979</v>
      </c>
      <c r="O692" s="141">
        <f t="shared" si="231"/>
        <v>0</v>
      </c>
      <c r="P692" s="181" t="b">
        <f>COUNTIF('Facility Data'!$A$1:$A$1500,"*"&amp;A692&amp;"*")&gt;0</f>
        <v>0</v>
      </c>
      <c r="Q692" s="181" t="b">
        <f>COUNTIF('Account Data'!$A$1:$A$1000,"*"&amp;A692&amp;"*")&gt;0</f>
        <v>0</v>
      </c>
      <c r="R692" s="182" t="b">
        <f t="shared" si="232"/>
        <v>0</v>
      </c>
      <c r="S692" s="182" t="b">
        <f t="shared" si="233"/>
        <v>0</v>
      </c>
      <c r="T692" s="181" t="b">
        <f>COUNTIF('New Items'!$A$1:$A$175,A692)&gt;0</f>
        <v>0</v>
      </c>
      <c r="U692" s="181" t="b">
        <f>COUNTIF(Discontinued!$A$1:$A$150,A692)&gt;0</f>
        <v>0</v>
      </c>
    </row>
    <row r="693" spans="1:21" s="8" customFormat="1" ht="11.25" x14ac:dyDescent="0.2">
      <c r="A693" s="152">
        <v>20001392</v>
      </c>
      <c r="B693" s="10" t="s">
        <v>440</v>
      </c>
      <c r="C693" s="14" t="s">
        <v>441</v>
      </c>
      <c r="D693" s="11" t="s">
        <v>679</v>
      </c>
      <c r="E693" s="14" t="s">
        <v>781</v>
      </c>
      <c r="F693" s="13">
        <v>24</v>
      </c>
      <c r="G693" s="22">
        <f>Overview!$B$94</f>
        <v>21</v>
      </c>
      <c r="H693" s="23">
        <f t="shared" si="228"/>
        <v>21</v>
      </c>
      <c r="I693" s="114">
        <f>Overview!$E$94</f>
        <v>0</v>
      </c>
      <c r="J693" s="24">
        <f t="shared" si="229"/>
        <v>0</v>
      </c>
      <c r="K693" s="116">
        <f>Overview!$H$94</f>
        <v>0</v>
      </c>
      <c r="L693" s="51" t="e">
        <f t="shared" si="230"/>
        <v>#DIV/0!</v>
      </c>
      <c r="M693" s="179"/>
      <c r="N693" s="179" t="s">
        <v>979</v>
      </c>
      <c r="O693" s="141">
        <f t="shared" si="231"/>
        <v>0</v>
      </c>
      <c r="P693" s="181" t="b">
        <f>COUNTIF('Facility Data'!$A$1:$A$1500,"*"&amp;A693&amp;"*")&gt;0</f>
        <v>0</v>
      </c>
      <c r="Q693" s="181" t="b">
        <f>COUNTIF('Account Data'!$A$1:$A$1000,"*"&amp;A693&amp;"*")&gt;0</f>
        <v>0</v>
      </c>
      <c r="R693" s="182" t="b">
        <f t="shared" si="232"/>
        <v>0</v>
      </c>
      <c r="S693" s="182" t="b">
        <f t="shared" si="233"/>
        <v>0</v>
      </c>
      <c r="T693" s="181" t="b">
        <f>COUNTIF('New Items'!$A$1:$A$175,A693)&gt;0</f>
        <v>0</v>
      </c>
      <c r="U693" s="181" t="b">
        <f>COUNTIF(Discontinued!$A$1:$A$150,A693)&gt;0</f>
        <v>0</v>
      </c>
    </row>
    <row r="694" spans="1:21" s="8" customFormat="1" ht="11.25" x14ac:dyDescent="0.2">
      <c r="A694" s="152">
        <v>20001380</v>
      </c>
      <c r="B694" s="10" t="s">
        <v>1450</v>
      </c>
      <c r="C694" s="14" t="s">
        <v>1451</v>
      </c>
      <c r="D694" s="11" t="s">
        <v>730</v>
      </c>
      <c r="E694" s="14" t="s">
        <v>781</v>
      </c>
      <c r="F694" s="13">
        <v>24</v>
      </c>
      <c r="G694" s="22">
        <f>Overview!$B$94</f>
        <v>21</v>
      </c>
      <c r="H694" s="23">
        <f t="shared" si="228"/>
        <v>21</v>
      </c>
      <c r="I694" s="114">
        <f>Overview!$E$94</f>
        <v>0</v>
      </c>
      <c r="J694" s="24">
        <f t="shared" si="229"/>
        <v>0</v>
      </c>
      <c r="K694" s="116">
        <f>Overview!$H$94</f>
        <v>0</v>
      </c>
      <c r="L694" s="51" t="e">
        <f t="shared" si="230"/>
        <v>#DIV/0!</v>
      </c>
      <c r="M694" s="179"/>
      <c r="N694" s="179" t="s">
        <v>979</v>
      </c>
      <c r="O694" s="141">
        <f t="shared" si="231"/>
        <v>0</v>
      </c>
      <c r="P694" s="181" t="b">
        <f>COUNTIF('Facility Data'!$A$1:$A$1500,"*"&amp;A694&amp;"*")&gt;0</f>
        <v>0</v>
      </c>
      <c r="Q694" s="181" t="b">
        <f>COUNTIF('Account Data'!$A$1:$A$1000,"*"&amp;A694&amp;"*")&gt;0</f>
        <v>0</v>
      </c>
      <c r="R694" s="182" t="b">
        <f t="shared" si="232"/>
        <v>0</v>
      </c>
      <c r="S694" s="182" t="b">
        <f t="shared" si="233"/>
        <v>0</v>
      </c>
      <c r="T694" s="181" t="b">
        <f>COUNTIF('New Items'!$A$1:$A$175,A694)&gt;0</f>
        <v>0</v>
      </c>
      <c r="U694" s="181" t="b">
        <f>COUNTIF(Discontinued!$A$1:$A$150,A694)&gt;0</f>
        <v>0</v>
      </c>
    </row>
    <row r="695" spans="1:21" s="8" customFormat="1" ht="11.25" x14ac:dyDescent="0.2">
      <c r="A695" s="152">
        <v>20000449</v>
      </c>
      <c r="B695" s="10" t="s">
        <v>2906</v>
      </c>
      <c r="C695" s="14" t="s">
        <v>437</v>
      </c>
      <c r="D695" s="11" t="s">
        <v>2910</v>
      </c>
      <c r="E695" s="14" t="s">
        <v>781</v>
      </c>
      <c r="F695" s="13">
        <v>24</v>
      </c>
      <c r="G695" s="22">
        <f>Overview!$B$95</f>
        <v>21</v>
      </c>
      <c r="H695" s="23">
        <f>G695-I695</f>
        <v>21</v>
      </c>
      <c r="I695" s="114">
        <f>Overview!$E$95</f>
        <v>0</v>
      </c>
      <c r="J695" s="24">
        <f>I695/F695</f>
        <v>0</v>
      </c>
      <c r="K695" s="116">
        <f>Overview!$H$95</f>
        <v>0</v>
      </c>
      <c r="L695" s="51" t="e">
        <f>(K695-J695)/K695</f>
        <v>#DIV/0!</v>
      </c>
      <c r="M695" s="179"/>
      <c r="N695" s="179" t="s">
        <v>979</v>
      </c>
      <c r="O695" s="141">
        <f t="shared" si="231"/>
        <v>0</v>
      </c>
      <c r="P695" s="181" t="b">
        <f>COUNTIF('Facility Data'!$A$1:$A$1500,"*"&amp;A695&amp;"*")&gt;0</f>
        <v>0</v>
      </c>
      <c r="Q695" s="181" t="b">
        <f>COUNTIF('Account Data'!$A$1:$A$1000,"*"&amp;A695&amp;"*")&gt;0</f>
        <v>0</v>
      </c>
      <c r="R695" s="182" t="b">
        <f t="shared" si="232"/>
        <v>0</v>
      </c>
      <c r="S695" s="182" t="b">
        <f t="shared" si="233"/>
        <v>0</v>
      </c>
      <c r="T695" s="181" t="b">
        <f>COUNTIF('New Items'!$A$1:$A$175,A695)&gt;0</f>
        <v>0</v>
      </c>
      <c r="U695" s="181" t="b">
        <f>COUNTIF(Discontinued!$A$1:$A$150,A695)&gt;0</f>
        <v>0</v>
      </c>
    </row>
    <row r="696" spans="1:21" s="8" customFormat="1" ht="12" thickBot="1" x14ac:dyDescent="0.25">
      <c r="A696" s="152">
        <v>20001632</v>
      </c>
      <c r="B696" s="10" t="s">
        <v>2907</v>
      </c>
      <c r="C696" s="14" t="s">
        <v>2908</v>
      </c>
      <c r="D696" s="11" t="s">
        <v>2909</v>
      </c>
      <c r="E696" s="14" t="s">
        <v>757</v>
      </c>
      <c r="F696" s="13">
        <v>24</v>
      </c>
      <c r="G696" s="22">
        <f>Overview!$B$96</f>
        <v>30</v>
      </c>
      <c r="H696" s="23">
        <f>G696-I696</f>
        <v>30</v>
      </c>
      <c r="I696" s="114">
        <f>Overview!$E$96</f>
        <v>0</v>
      </c>
      <c r="J696" s="24">
        <f>I696/F696</f>
        <v>0</v>
      </c>
      <c r="K696" s="116">
        <f>Overview!$H$96</f>
        <v>0</v>
      </c>
      <c r="L696" s="51" t="e">
        <f>(K696-J696)/K696</f>
        <v>#DIV/0!</v>
      </c>
      <c r="M696" s="179"/>
      <c r="N696" s="179" t="s">
        <v>979</v>
      </c>
      <c r="O696" s="141">
        <f>I696</f>
        <v>0</v>
      </c>
      <c r="P696" s="181" t="b">
        <f>COUNTIF('Facility Data'!$A$1:$A$1500,"*"&amp;A696&amp;"*")&gt;0</f>
        <v>0</v>
      </c>
      <c r="Q696" s="181" t="b">
        <f>COUNTIF('Account Data'!$A$1:$A$1000,"*"&amp;A696&amp;"*")&gt;0</f>
        <v>0</v>
      </c>
      <c r="R696" s="182" t="b">
        <f t="shared" si="232"/>
        <v>0</v>
      </c>
      <c r="S696" s="182" t="b">
        <f t="shared" si="233"/>
        <v>0</v>
      </c>
      <c r="T696" s="181" t="b">
        <f>COUNTIF('New Items'!$A$1:$A$175,A696)&gt;0</f>
        <v>0</v>
      </c>
      <c r="U696" s="181" t="b">
        <f>COUNTIF(Discontinued!$A$1:$A$150,A696)&gt;0</f>
        <v>0</v>
      </c>
    </row>
    <row r="697" spans="1:21" s="8" customFormat="1" ht="13.5" thickBot="1" x14ac:dyDescent="0.25">
      <c r="A697" s="300" t="s">
        <v>3343</v>
      </c>
      <c r="B697" s="301"/>
      <c r="C697" s="301"/>
      <c r="D697" s="301"/>
      <c r="E697" s="301"/>
      <c r="F697" s="301"/>
      <c r="G697" s="301"/>
      <c r="H697" s="301"/>
      <c r="I697" s="301"/>
      <c r="J697" s="301"/>
      <c r="K697" s="301"/>
      <c r="L697" s="302"/>
      <c r="M697" s="179"/>
      <c r="N697" s="179" t="s">
        <v>980</v>
      </c>
      <c r="O697" s="141">
        <f>AVERAGE(O698:O712)</f>
        <v>14.4</v>
      </c>
      <c r="P697" s="181" t="b">
        <f>COUNTIF(P698:P712,TRUE)&gt;0</f>
        <v>1</v>
      </c>
      <c r="Q697" s="181" t="b">
        <f>COUNTIF(Q698:Q712,TRUE)&gt;0</f>
        <v>1</v>
      </c>
      <c r="R697" s="181" t="b">
        <f>COUNTIF(R698:R712,TRUE)&gt;0</f>
        <v>1</v>
      </c>
      <c r="S697" s="181" t="b">
        <f>COUNTIF(S698:S712,TRUE)&gt;0</f>
        <v>1</v>
      </c>
      <c r="T697" s="181" t="b">
        <f>COUNTIF(T698:T712,TRUE)&gt;0</f>
        <v>0</v>
      </c>
      <c r="U697" s="249"/>
    </row>
    <row r="698" spans="1:21" s="8" customFormat="1" ht="11.25" x14ac:dyDescent="0.2">
      <c r="A698" s="154">
        <v>10110049</v>
      </c>
      <c r="B698" s="10" t="s">
        <v>463</v>
      </c>
      <c r="C698" s="14" t="s">
        <v>464</v>
      </c>
      <c r="D698" s="191" t="s">
        <v>710</v>
      </c>
      <c r="E698" s="14" t="s">
        <v>782</v>
      </c>
      <c r="F698" s="13">
        <v>12</v>
      </c>
      <c r="G698" s="22">
        <f>Overview!$B$71</f>
        <v>24</v>
      </c>
      <c r="H698" s="23">
        <f t="shared" ref="H698:H712" si="234">G698-I698</f>
        <v>9.6</v>
      </c>
      <c r="I698" s="114">
        <f>Overview!$E$71</f>
        <v>14.4</v>
      </c>
      <c r="J698" s="24">
        <f t="shared" ref="J698:J712" si="235">I698/F698</f>
        <v>1.2</v>
      </c>
      <c r="K698" s="116">
        <f>Overview!$H$71</f>
        <v>1.99</v>
      </c>
      <c r="L698" s="51">
        <f t="shared" ref="L698:L712" si="236">(K698-J698)/K698</f>
        <v>0.39700000000000002</v>
      </c>
      <c r="M698" s="179"/>
      <c r="N698" s="179" t="s">
        <v>980</v>
      </c>
      <c r="O698" s="141">
        <f t="shared" ref="O698:O712" si="237">I698</f>
        <v>14.4</v>
      </c>
      <c r="P698" s="181" t="b">
        <f>COUNTIF('Facility Data'!$A$1:$A$1500,"*"&amp;A698&amp;"*")&gt;0</f>
        <v>1</v>
      </c>
      <c r="Q698" s="181" t="b">
        <f>COUNTIF('Account Data'!$A$1:$A$1000,"*"&amp;A698&amp;"*")&gt;0</f>
        <v>1</v>
      </c>
      <c r="R698" s="182" t="b">
        <f t="shared" ref="R698:R712" si="238">IF(OR(P698=TRUE,T698=TRUE),TRUE,FALSE)</f>
        <v>1</v>
      </c>
      <c r="S698" s="182" t="b">
        <f t="shared" ref="S698:S712" si="239">IF(OR(Q698=TRUE,T698=TRUE),TRUE,FALSE)</f>
        <v>1</v>
      </c>
      <c r="T698" s="181" t="b">
        <f>COUNTIF('New Items'!$A$1:$A$175,A698)&gt;0</f>
        <v>0</v>
      </c>
      <c r="U698" s="181" t="b">
        <f>COUNTIF(Discontinued!$A$1:$A$150,A698)&gt;0</f>
        <v>0</v>
      </c>
    </row>
    <row r="699" spans="1:21" s="8" customFormat="1" ht="11.25" x14ac:dyDescent="0.2">
      <c r="A699" s="157">
        <v>10110064</v>
      </c>
      <c r="B699" s="82" t="s">
        <v>446</v>
      </c>
      <c r="C699" s="83" t="s">
        <v>447</v>
      </c>
      <c r="D699" s="84" t="s">
        <v>701</v>
      </c>
      <c r="E699" s="83" t="s">
        <v>782</v>
      </c>
      <c r="F699" s="16">
        <v>12</v>
      </c>
      <c r="G699" s="85">
        <f>Overview!$B$71</f>
        <v>24</v>
      </c>
      <c r="H699" s="86">
        <f t="shared" si="234"/>
        <v>9.6</v>
      </c>
      <c r="I699" s="164">
        <f>Overview!$E$71</f>
        <v>14.4</v>
      </c>
      <c r="J699" s="87">
        <f t="shared" si="235"/>
        <v>1.2</v>
      </c>
      <c r="K699" s="165">
        <f>Overview!$H$71</f>
        <v>1.99</v>
      </c>
      <c r="L699" s="88">
        <f t="shared" si="236"/>
        <v>0.39700000000000002</v>
      </c>
      <c r="M699" s="179"/>
      <c r="N699" s="179" t="s">
        <v>980</v>
      </c>
      <c r="O699" s="141">
        <f t="shared" si="237"/>
        <v>14.4</v>
      </c>
      <c r="P699" s="181" t="b">
        <f>COUNTIF('Facility Data'!$A$1:$A$1500,"*"&amp;A699&amp;"*")&gt;0</f>
        <v>1</v>
      </c>
      <c r="Q699" s="181" t="b">
        <f>COUNTIF('Account Data'!$A$1:$A$1000,"*"&amp;A699&amp;"*")&gt;0</f>
        <v>1</v>
      </c>
      <c r="R699" s="182" t="b">
        <f t="shared" si="238"/>
        <v>1</v>
      </c>
      <c r="S699" s="182" t="b">
        <f t="shared" si="239"/>
        <v>1</v>
      </c>
      <c r="T699" s="181" t="b">
        <f>COUNTIF('New Items'!$A$1:$A$175,A699)&gt;0</f>
        <v>0</v>
      </c>
      <c r="U699" s="181" t="b">
        <f>COUNTIF(Discontinued!$A$1:$A$150,A699)&gt;0</f>
        <v>0</v>
      </c>
    </row>
    <row r="700" spans="1:21" s="8" customFormat="1" ht="11.25" x14ac:dyDescent="0.2">
      <c r="A700" s="154">
        <v>10110019</v>
      </c>
      <c r="B700" s="10" t="s">
        <v>3952</v>
      </c>
      <c r="C700" s="14" t="s">
        <v>3953</v>
      </c>
      <c r="D700" s="261" t="s">
        <v>3954</v>
      </c>
      <c r="E700" s="83" t="s">
        <v>782</v>
      </c>
      <c r="F700" s="16">
        <v>12</v>
      </c>
      <c r="G700" s="85">
        <f>Overview!$B$71</f>
        <v>24</v>
      </c>
      <c r="H700" s="86">
        <f t="shared" si="234"/>
        <v>9.6</v>
      </c>
      <c r="I700" s="164">
        <f>Overview!$E$71</f>
        <v>14.4</v>
      </c>
      <c r="J700" s="87">
        <f t="shared" si="235"/>
        <v>1.2</v>
      </c>
      <c r="K700" s="165">
        <f>Overview!$H$71</f>
        <v>1.99</v>
      </c>
      <c r="L700" s="88">
        <f t="shared" si="236"/>
        <v>0.39700000000000002</v>
      </c>
      <c r="M700" s="179"/>
      <c r="N700" s="179" t="s">
        <v>980</v>
      </c>
      <c r="O700" s="141">
        <f t="shared" si="237"/>
        <v>14.4</v>
      </c>
      <c r="P700" s="181" t="b">
        <f>COUNTIF('Facility Data'!$A$1:$A$1500,"*"&amp;A700&amp;"*")&gt;0</f>
        <v>1</v>
      </c>
      <c r="Q700" s="181" t="b">
        <f>COUNTIF('Account Data'!$A$1:$A$1000,"*"&amp;A700&amp;"*")&gt;0</f>
        <v>0</v>
      </c>
      <c r="R700" s="182" t="b">
        <f t="shared" si="238"/>
        <v>1</v>
      </c>
      <c r="S700" s="182" t="b">
        <f t="shared" si="239"/>
        <v>0</v>
      </c>
      <c r="T700" s="181" t="b">
        <f>COUNTIF('New Items'!$A$1:$A$175,A700)&gt;0</f>
        <v>0</v>
      </c>
      <c r="U700" s="181" t="b">
        <f>COUNTIF(Discontinued!$A$1:$A$150,A700)&gt;0</f>
        <v>0</v>
      </c>
    </row>
    <row r="701" spans="1:21" s="8" customFormat="1" ht="11.25" x14ac:dyDescent="0.2">
      <c r="A701" s="157">
        <v>10110033</v>
      </c>
      <c r="B701" s="82" t="s">
        <v>806</v>
      </c>
      <c r="C701" s="83" t="s">
        <v>450</v>
      </c>
      <c r="D701" s="260" t="s">
        <v>703</v>
      </c>
      <c r="E701" s="14" t="s">
        <v>782</v>
      </c>
      <c r="F701" s="13">
        <v>12</v>
      </c>
      <c r="G701" s="22">
        <f>Overview!$B$71</f>
        <v>24</v>
      </c>
      <c r="H701" s="23">
        <f t="shared" si="234"/>
        <v>9.6</v>
      </c>
      <c r="I701" s="114">
        <f>Overview!$E$71</f>
        <v>14.4</v>
      </c>
      <c r="J701" s="24">
        <f t="shared" si="235"/>
        <v>1.2</v>
      </c>
      <c r="K701" s="116">
        <f>Overview!$H$71</f>
        <v>1.99</v>
      </c>
      <c r="L701" s="51">
        <f t="shared" si="236"/>
        <v>0.39700000000000002</v>
      </c>
      <c r="M701" s="179"/>
      <c r="N701" s="179" t="s">
        <v>980</v>
      </c>
      <c r="O701" s="141">
        <f t="shared" si="237"/>
        <v>14.4</v>
      </c>
      <c r="P701" s="181" t="b">
        <f>COUNTIF('Facility Data'!$A$1:$A$1500,"*"&amp;A701&amp;"*")&gt;0</f>
        <v>1</v>
      </c>
      <c r="Q701" s="181" t="b">
        <f>COUNTIF('Account Data'!$A$1:$A$1000,"*"&amp;A701&amp;"*")&gt;0</f>
        <v>1</v>
      </c>
      <c r="R701" s="182" t="b">
        <f t="shared" si="238"/>
        <v>1</v>
      </c>
      <c r="S701" s="182" t="b">
        <f t="shared" si="239"/>
        <v>1</v>
      </c>
      <c r="T701" s="181" t="b">
        <f>COUNTIF('New Items'!$A$1:$A$175,A701)&gt;0</f>
        <v>0</v>
      </c>
      <c r="U701" s="181" t="b">
        <f>COUNTIF(Discontinued!$A$1:$A$150,A701)&gt;0</f>
        <v>0</v>
      </c>
    </row>
    <row r="702" spans="1:21" s="8" customFormat="1" ht="11.25" x14ac:dyDescent="0.2">
      <c r="A702" s="154">
        <v>10110069</v>
      </c>
      <c r="B702" s="10" t="s">
        <v>451</v>
      </c>
      <c r="C702" s="14" t="s">
        <v>452</v>
      </c>
      <c r="D702" s="43" t="s">
        <v>704</v>
      </c>
      <c r="E702" s="14" t="s">
        <v>782</v>
      </c>
      <c r="F702" s="13">
        <v>12</v>
      </c>
      <c r="G702" s="22">
        <f>Overview!$B$71</f>
        <v>24</v>
      </c>
      <c r="H702" s="23">
        <f t="shared" si="234"/>
        <v>9.6</v>
      </c>
      <c r="I702" s="114">
        <f>Overview!$E$71</f>
        <v>14.4</v>
      </c>
      <c r="J702" s="24">
        <f t="shared" si="235"/>
        <v>1.2</v>
      </c>
      <c r="K702" s="116">
        <f>Overview!$H$71</f>
        <v>1.99</v>
      </c>
      <c r="L702" s="51">
        <f t="shared" si="236"/>
        <v>0.39700000000000002</v>
      </c>
      <c r="M702" s="179"/>
      <c r="N702" s="179" t="s">
        <v>980</v>
      </c>
      <c r="O702" s="141">
        <f t="shared" si="237"/>
        <v>14.4</v>
      </c>
      <c r="P702" s="181" t="b">
        <f>COUNTIF('Facility Data'!$A$1:$A$1500,"*"&amp;A702&amp;"*")&gt;0</f>
        <v>1</v>
      </c>
      <c r="Q702" s="181" t="b">
        <f>COUNTIF('Account Data'!$A$1:$A$1000,"*"&amp;A702&amp;"*")&gt;0</f>
        <v>1</v>
      </c>
      <c r="R702" s="182" t="b">
        <f t="shared" si="238"/>
        <v>1</v>
      </c>
      <c r="S702" s="182" t="b">
        <f t="shared" si="239"/>
        <v>1</v>
      </c>
      <c r="T702" s="181" t="b">
        <f>COUNTIF('New Items'!$A$1:$A$175,A702)&gt;0</f>
        <v>0</v>
      </c>
      <c r="U702" s="181" t="b">
        <f>COUNTIF(Discontinued!$A$1:$A$150,A702)&gt;0</f>
        <v>0</v>
      </c>
    </row>
    <row r="703" spans="1:21" s="8" customFormat="1" ht="11.25" x14ac:dyDescent="0.2">
      <c r="A703" s="154">
        <v>10110015</v>
      </c>
      <c r="B703" s="10" t="s">
        <v>448</v>
      </c>
      <c r="C703" s="14" t="s">
        <v>449</v>
      </c>
      <c r="D703" s="40" t="s">
        <v>702</v>
      </c>
      <c r="E703" s="14" t="s">
        <v>782</v>
      </c>
      <c r="F703" s="13">
        <v>12</v>
      </c>
      <c r="G703" s="22">
        <f>Overview!$B$71</f>
        <v>24</v>
      </c>
      <c r="H703" s="23">
        <f t="shared" si="234"/>
        <v>9.6</v>
      </c>
      <c r="I703" s="114">
        <f>Overview!$E$71</f>
        <v>14.4</v>
      </c>
      <c r="J703" s="24">
        <f t="shared" si="235"/>
        <v>1.2</v>
      </c>
      <c r="K703" s="116">
        <f>Overview!$H$71</f>
        <v>1.99</v>
      </c>
      <c r="L703" s="51">
        <f t="shared" si="236"/>
        <v>0.39700000000000002</v>
      </c>
      <c r="M703" s="179"/>
      <c r="N703" s="179" t="s">
        <v>980</v>
      </c>
      <c r="O703" s="141">
        <f t="shared" si="237"/>
        <v>14.4</v>
      </c>
      <c r="P703" s="181" t="b">
        <f>COUNTIF('Facility Data'!$A$1:$A$1500,"*"&amp;A703&amp;"*")&gt;0</f>
        <v>1</v>
      </c>
      <c r="Q703" s="181" t="b">
        <f>COUNTIF('Account Data'!$A$1:$A$1000,"*"&amp;A703&amp;"*")&gt;0</f>
        <v>1</v>
      </c>
      <c r="R703" s="182" t="b">
        <f t="shared" si="238"/>
        <v>1</v>
      </c>
      <c r="S703" s="182" t="b">
        <f t="shared" si="239"/>
        <v>1</v>
      </c>
      <c r="T703" s="181" t="b">
        <f>COUNTIF('New Items'!$A$1:$A$175,A703)&gt;0</f>
        <v>0</v>
      </c>
      <c r="U703" s="181" t="b">
        <f>COUNTIF(Discontinued!$A$1:$A$150,A703)&gt;0</f>
        <v>0</v>
      </c>
    </row>
    <row r="704" spans="1:21" s="8" customFormat="1" ht="11.25" x14ac:dyDescent="0.2">
      <c r="A704" s="154">
        <v>10132777</v>
      </c>
      <c r="B704" s="10" t="s">
        <v>4115</v>
      </c>
      <c r="C704" s="14" t="s">
        <v>3949</v>
      </c>
      <c r="D704" s="258" t="s">
        <v>3950</v>
      </c>
      <c r="E704" s="14" t="s">
        <v>782</v>
      </c>
      <c r="F704" s="13">
        <v>12</v>
      </c>
      <c r="G704" s="22">
        <f>Overview!$B$71</f>
        <v>24</v>
      </c>
      <c r="H704" s="23">
        <f t="shared" si="234"/>
        <v>9.6</v>
      </c>
      <c r="I704" s="114">
        <f>Overview!$E$71</f>
        <v>14.4</v>
      </c>
      <c r="J704" s="24">
        <f t="shared" si="235"/>
        <v>1.2</v>
      </c>
      <c r="K704" s="116">
        <f>Overview!$H$71</f>
        <v>1.99</v>
      </c>
      <c r="L704" s="51">
        <f t="shared" si="236"/>
        <v>0.39700000000000002</v>
      </c>
      <c r="M704" s="179"/>
      <c r="N704" s="179" t="s">
        <v>980</v>
      </c>
      <c r="O704" s="141">
        <f t="shared" si="237"/>
        <v>14.4</v>
      </c>
      <c r="P704" s="181" t="b">
        <f>COUNTIF('Facility Data'!$A$1:$A$1500,"*"&amp;A704&amp;"*")&gt;0</f>
        <v>1</v>
      </c>
      <c r="Q704" s="181" t="b">
        <f>COUNTIF('Account Data'!$A$1:$A$1000,"*"&amp;A704&amp;"*")&gt;0</f>
        <v>0</v>
      </c>
      <c r="R704" s="182" t="b">
        <f t="shared" si="238"/>
        <v>1</v>
      </c>
      <c r="S704" s="182" t="b">
        <f t="shared" si="239"/>
        <v>0</v>
      </c>
      <c r="T704" s="181" t="b">
        <f>COUNTIF('New Items'!$A$1:$A$175,A704)&gt;0</f>
        <v>0</v>
      </c>
      <c r="U704" s="181" t="b">
        <f>COUNTIF(Discontinued!$A$1:$A$150,A704)&gt;0</f>
        <v>0</v>
      </c>
    </row>
    <row r="705" spans="1:21" s="8" customFormat="1" ht="11.25" x14ac:dyDescent="0.2">
      <c r="A705" s="154">
        <v>10112767</v>
      </c>
      <c r="B705" s="10" t="s">
        <v>4053</v>
      </c>
      <c r="C705" s="14" t="s">
        <v>799</v>
      </c>
      <c r="D705" s="55" t="s">
        <v>875</v>
      </c>
      <c r="E705" s="14" t="s">
        <v>782</v>
      </c>
      <c r="F705" s="13">
        <v>12</v>
      </c>
      <c r="G705" s="22">
        <f>Overview!$B$71</f>
        <v>24</v>
      </c>
      <c r="H705" s="23">
        <f t="shared" si="234"/>
        <v>9.6</v>
      </c>
      <c r="I705" s="114">
        <f>Overview!$E$71</f>
        <v>14.4</v>
      </c>
      <c r="J705" s="24">
        <f t="shared" si="235"/>
        <v>1.2</v>
      </c>
      <c r="K705" s="116">
        <f>Overview!$H$71</f>
        <v>1.99</v>
      </c>
      <c r="L705" s="51">
        <f t="shared" si="236"/>
        <v>0.39700000000000002</v>
      </c>
      <c r="M705" s="179"/>
      <c r="N705" s="179" t="s">
        <v>980</v>
      </c>
      <c r="O705" s="141">
        <f t="shared" si="237"/>
        <v>14.4</v>
      </c>
      <c r="P705" s="181" t="b">
        <f>COUNTIF('Facility Data'!$A$1:$A$1500,"*"&amp;A705&amp;"*")&gt;0</f>
        <v>1</v>
      </c>
      <c r="Q705" s="181" t="b">
        <f>COUNTIF('Account Data'!$A$1:$A$1000,"*"&amp;A705&amp;"*")&gt;0</f>
        <v>1</v>
      </c>
      <c r="R705" s="182" t="b">
        <f t="shared" si="238"/>
        <v>1</v>
      </c>
      <c r="S705" s="182" t="b">
        <f t="shared" si="239"/>
        <v>1</v>
      </c>
      <c r="T705" s="181" t="b">
        <f>COUNTIF('New Items'!$A$1:$A$175,A705)&gt;0</f>
        <v>0</v>
      </c>
      <c r="U705" s="181" t="b">
        <f>COUNTIF(Discontinued!$A$1:$A$150,A705)&gt;0</f>
        <v>0</v>
      </c>
    </row>
    <row r="706" spans="1:21" s="8" customFormat="1" ht="11.25" x14ac:dyDescent="0.2">
      <c r="A706" s="154">
        <v>10110022</v>
      </c>
      <c r="B706" s="10" t="s">
        <v>454</v>
      </c>
      <c r="C706" s="14" t="s">
        <v>455</v>
      </c>
      <c r="D706" s="42" t="s">
        <v>705</v>
      </c>
      <c r="E706" s="14" t="s">
        <v>782</v>
      </c>
      <c r="F706" s="13">
        <v>12</v>
      </c>
      <c r="G706" s="22">
        <f>Overview!$B$71</f>
        <v>24</v>
      </c>
      <c r="H706" s="23">
        <f t="shared" si="234"/>
        <v>9.6</v>
      </c>
      <c r="I706" s="114">
        <f>Overview!$E$71</f>
        <v>14.4</v>
      </c>
      <c r="J706" s="24">
        <f t="shared" si="235"/>
        <v>1.2</v>
      </c>
      <c r="K706" s="116">
        <f>Overview!$H$71</f>
        <v>1.99</v>
      </c>
      <c r="L706" s="51">
        <f t="shared" si="236"/>
        <v>0.39700000000000002</v>
      </c>
      <c r="M706" s="179"/>
      <c r="N706" s="179" t="s">
        <v>980</v>
      </c>
      <c r="O706" s="141">
        <f t="shared" si="237"/>
        <v>14.4</v>
      </c>
      <c r="P706" s="181" t="b">
        <f>COUNTIF('Facility Data'!$A$1:$A$1500,"*"&amp;A706&amp;"*")&gt;0</f>
        <v>1</v>
      </c>
      <c r="Q706" s="181" t="b">
        <f>COUNTIF('Account Data'!$A$1:$A$1000,"*"&amp;A706&amp;"*")&gt;0</f>
        <v>1</v>
      </c>
      <c r="R706" s="182" t="b">
        <f t="shared" si="238"/>
        <v>1</v>
      </c>
      <c r="S706" s="182" t="b">
        <f t="shared" si="239"/>
        <v>1</v>
      </c>
      <c r="T706" s="181" t="b">
        <f>COUNTIF('New Items'!$A$1:$A$175,A706)&gt;0</f>
        <v>0</v>
      </c>
      <c r="U706" s="181" t="b">
        <f>COUNTIF(Discontinued!$A$1:$A$150,A706)&gt;0</f>
        <v>0</v>
      </c>
    </row>
    <row r="707" spans="1:21" s="8" customFormat="1" ht="11.25" x14ac:dyDescent="0.2">
      <c r="A707" s="154">
        <v>10110014</v>
      </c>
      <c r="B707" s="10" t="s">
        <v>460</v>
      </c>
      <c r="C707" s="14" t="s">
        <v>461</v>
      </c>
      <c r="D707" s="38" t="s">
        <v>708</v>
      </c>
      <c r="E707" s="14" t="s">
        <v>782</v>
      </c>
      <c r="F707" s="13">
        <v>12</v>
      </c>
      <c r="G707" s="22">
        <f>Overview!$B$71</f>
        <v>24</v>
      </c>
      <c r="H707" s="23">
        <f t="shared" si="234"/>
        <v>9.6</v>
      </c>
      <c r="I707" s="114">
        <f>Overview!$E$71</f>
        <v>14.4</v>
      </c>
      <c r="J707" s="24">
        <f t="shared" si="235"/>
        <v>1.2</v>
      </c>
      <c r="K707" s="116">
        <f>Overview!$H$71</f>
        <v>1.99</v>
      </c>
      <c r="L707" s="51">
        <f t="shared" si="236"/>
        <v>0.39700000000000002</v>
      </c>
      <c r="M707" s="179"/>
      <c r="N707" s="179" t="s">
        <v>980</v>
      </c>
      <c r="O707" s="141">
        <f t="shared" si="237"/>
        <v>14.4</v>
      </c>
      <c r="P707" s="181" t="b">
        <f>COUNTIF('Facility Data'!$A$1:$A$1500,"*"&amp;A707&amp;"*")&gt;0</f>
        <v>1</v>
      </c>
      <c r="Q707" s="181" t="b">
        <f>COUNTIF('Account Data'!$A$1:$A$1000,"*"&amp;A707&amp;"*")&gt;0</f>
        <v>1</v>
      </c>
      <c r="R707" s="182" t="b">
        <f t="shared" si="238"/>
        <v>1</v>
      </c>
      <c r="S707" s="182" t="b">
        <f t="shared" si="239"/>
        <v>1</v>
      </c>
      <c r="T707" s="181" t="b">
        <f>COUNTIF('New Items'!$A$1:$A$175,A707)&gt;0</f>
        <v>0</v>
      </c>
      <c r="U707" s="181" t="b">
        <f>COUNTIF(Discontinued!$A$1:$A$150,A707)&gt;0</f>
        <v>0</v>
      </c>
    </row>
    <row r="708" spans="1:21" s="8" customFormat="1" ht="11.25" x14ac:dyDescent="0.2">
      <c r="A708" s="154">
        <v>10110038</v>
      </c>
      <c r="B708" s="10" t="s">
        <v>456</v>
      </c>
      <c r="C708" s="14" t="s">
        <v>457</v>
      </c>
      <c r="D708" s="45" t="s">
        <v>706</v>
      </c>
      <c r="E708" s="14" t="s">
        <v>782</v>
      </c>
      <c r="F708" s="13">
        <v>12</v>
      </c>
      <c r="G708" s="22">
        <f>Overview!$B$71</f>
        <v>24</v>
      </c>
      <c r="H708" s="23">
        <f t="shared" si="234"/>
        <v>9.6</v>
      </c>
      <c r="I708" s="114">
        <f>Overview!$E$71</f>
        <v>14.4</v>
      </c>
      <c r="J708" s="24">
        <f t="shared" si="235"/>
        <v>1.2</v>
      </c>
      <c r="K708" s="116">
        <f>Overview!$H$71</f>
        <v>1.99</v>
      </c>
      <c r="L708" s="51">
        <f t="shared" si="236"/>
        <v>0.39700000000000002</v>
      </c>
      <c r="M708" s="179"/>
      <c r="N708" s="179" t="s">
        <v>980</v>
      </c>
      <c r="O708" s="141">
        <f t="shared" si="237"/>
        <v>14.4</v>
      </c>
      <c r="P708" s="181" t="b">
        <f>COUNTIF('Facility Data'!$A$1:$A$1500,"*"&amp;A708&amp;"*")&gt;0</f>
        <v>1</v>
      </c>
      <c r="Q708" s="181" t="b">
        <f>COUNTIF('Account Data'!$A$1:$A$1000,"*"&amp;A708&amp;"*")&gt;0</f>
        <v>1</v>
      </c>
      <c r="R708" s="182" t="b">
        <f t="shared" si="238"/>
        <v>1</v>
      </c>
      <c r="S708" s="182" t="b">
        <f t="shared" si="239"/>
        <v>1</v>
      </c>
      <c r="T708" s="181" t="b">
        <f>COUNTIF('New Items'!$A$1:$A$175,A708)&gt;0</f>
        <v>0</v>
      </c>
      <c r="U708" s="181" t="b">
        <f>COUNTIF(Discontinued!$A$1:$A$150,A708)&gt;0</f>
        <v>0</v>
      </c>
    </row>
    <row r="709" spans="1:21" s="8" customFormat="1" ht="11.25" x14ac:dyDescent="0.2">
      <c r="A709" s="154">
        <v>10110007</v>
      </c>
      <c r="B709" s="10" t="s">
        <v>4048</v>
      </c>
      <c r="C709" s="14" t="s">
        <v>462</v>
      </c>
      <c r="D709" s="46" t="s">
        <v>709</v>
      </c>
      <c r="E709" s="14" t="s">
        <v>782</v>
      </c>
      <c r="F709" s="13">
        <v>12</v>
      </c>
      <c r="G709" s="22">
        <f>Overview!$B$71</f>
        <v>24</v>
      </c>
      <c r="H709" s="23">
        <f t="shared" si="234"/>
        <v>9.6</v>
      </c>
      <c r="I709" s="114">
        <f>Overview!$E$71</f>
        <v>14.4</v>
      </c>
      <c r="J709" s="24">
        <f t="shared" si="235"/>
        <v>1.2</v>
      </c>
      <c r="K709" s="116">
        <f>Overview!$H$71</f>
        <v>1.99</v>
      </c>
      <c r="L709" s="51">
        <f t="shared" si="236"/>
        <v>0.39700000000000002</v>
      </c>
      <c r="M709" s="179"/>
      <c r="N709" s="179" t="s">
        <v>980</v>
      </c>
      <c r="O709" s="141">
        <f t="shared" si="237"/>
        <v>14.4</v>
      </c>
      <c r="P709" s="181" t="b">
        <f>COUNTIF('Facility Data'!$A$1:$A$1500,"*"&amp;A709&amp;"*")&gt;0</f>
        <v>1</v>
      </c>
      <c r="Q709" s="181" t="b">
        <f>COUNTIF('Account Data'!$A$1:$A$1000,"*"&amp;A709&amp;"*")&gt;0</f>
        <v>1</v>
      </c>
      <c r="R709" s="182" t="b">
        <f t="shared" si="238"/>
        <v>1</v>
      </c>
      <c r="S709" s="182" t="b">
        <f t="shared" si="239"/>
        <v>1</v>
      </c>
      <c r="T709" s="181" t="b">
        <f>COUNTIF('New Items'!$A$1:$A$175,A709)&gt;0</f>
        <v>0</v>
      </c>
      <c r="U709" s="181" t="b">
        <f>COUNTIF(Discontinued!$A$1:$A$150,A709)&gt;0</f>
        <v>0</v>
      </c>
    </row>
    <row r="710" spans="1:21" s="8" customFormat="1" ht="11.25" x14ac:dyDescent="0.2">
      <c r="A710" s="162">
        <v>10110023</v>
      </c>
      <c r="B710" s="10" t="s">
        <v>4049</v>
      </c>
      <c r="C710" s="14" t="s">
        <v>453</v>
      </c>
      <c r="D710" s="44" t="s">
        <v>3955</v>
      </c>
      <c r="E710" s="14" t="s">
        <v>782</v>
      </c>
      <c r="F710" s="13">
        <v>12</v>
      </c>
      <c r="G710" s="22">
        <f>Overview!$B$71</f>
        <v>24</v>
      </c>
      <c r="H710" s="23">
        <f t="shared" si="234"/>
        <v>9.6</v>
      </c>
      <c r="I710" s="114">
        <f>Overview!$E$71</f>
        <v>14.4</v>
      </c>
      <c r="J710" s="24">
        <f t="shared" si="235"/>
        <v>1.2</v>
      </c>
      <c r="K710" s="116">
        <f>Overview!$H$71</f>
        <v>1.99</v>
      </c>
      <c r="L710" s="51">
        <f t="shared" si="236"/>
        <v>0.39700000000000002</v>
      </c>
      <c r="M710" s="179"/>
      <c r="N710" s="179" t="s">
        <v>980</v>
      </c>
      <c r="O710" s="141">
        <f t="shared" si="237"/>
        <v>14.4</v>
      </c>
      <c r="P710" s="181" t="b">
        <f>COUNTIF('Facility Data'!$A$1:$A$1500,"*"&amp;A710&amp;"*")&gt;0</f>
        <v>1</v>
      </c>
      <c r="Q710" s="181" t="b">
        <f>COUNTIF('Account Data'!$A$1:$A$1000,"*"&amp;A710&amp;"*")&gt;0</f>
        <v>1</v>
      </c>
      <c r="R710" s="182" t="b">
        <f t="shared" si="238"/>
        <v>1</v>
      </c>
      <c r="S710" s="182" t="b">
        <f t="shared" si="239"/>
        <v>1</v>
      </c>
      <c r="T710" s="181" t="b">
        <f>COUNTIF('New Items'!$A$1:$A$175,A710)&gt;0</f>
        <v>0</v>
      </c>
      <c r="U710" s="181" t="b">
        <f>COUNTIF(Discontinued!$A$1:$A$150,A710)&gt;0</f>
        <v>0</v>
      </c>
    </row>
    <row r="711" spans="1:21" s="8" customFormat="1" ht="11.25" x14ac:dyDescent="0.2">
      <c r="A711" s="157">
        <v>10110067</v>
      </c>
      <c r="B711" s="10" t="s">
        <v>458</v>
      </c>
      <c r="C711" s="14" t="s">
        <v>459</v>
      </c>
      <c r="D711" s="163" t="s">
        <v>707</v>
      </c>
      <c r="E711" s="14" t="s">
        <v>782</v>
      </c>
      <c r="F711" s="13">
        <v>12</v>
      </c>
      <c r="G711" s="22">
        <f>Overview!$B$71</f>
        <v>24</v>
      </c>
      <c r="H711" s="23">
        <f t="shared" si="234"/>
        <v>9.6</v>
      </c>
      <c r="I711" s="114">
        <f>Overview!$E$71</f>
        <v>14.4</v>
      </c>
      <c r="J711" s="24">
        <f t="shared" si="235"/>
        <v>1.2</v>
      </c>
      <c r="K711" s="116">
        <f>Overview!$H$71</f>
        <v>1.99</v>
      </c>
      <c r="L711" s="51">
        <f t="shared" si="236"/>
        <v>0.39700000000000002</v>
      </c>
      <c r="M711" s="179"/>
      <c r="N711" s="179" t="s">
        <v>980</v>
      </c>
      <c r="O711" s="141">
        <f t="shared" si="237"/>
        <v>14.4</v>
      </c>
      <c r="P711" s="181" t="b">
        <f>COUNTIF('Facility Data'!$A$1:$A$1500,"*"&amp;A711&amp;"*")&gt;0</f>
        <v>1</v>
      </c>
      <c r="Q711" s="181" t="b">
        <f>COUNTIF('Account Data'!$A$1:$A$1000,"*"&amp;A711&amp;"*")&gt;0</f>
        <v>1</v>
      </c>
      <c r="R711" s="182" t="b">
        <f t="shared" si="238"/>
        <v>1</v>
      </c>
      <c r="S711" s="182" t="b">
        <f t="shared" si="239"/>
        <v>1</v>
      </c>
      <c r="T711" s="181" t="b">
        <f>COUNTIF('New Items'!$A$1:$A$175,A711)&gt;0</f>
        <v>0</v>
      </c>
      <c r="U711" s="181" t="b">
        <f>COUNTIF(Discontinued!$A$1:$A$150,A711)&gt;0</f>
        <v>0</v>
      </c>
    </row>
    <row r="712" spans="1:21" s="8" customFormat="1" ht="12" thickBot="1" x14ac:dyDescent="0.25">
      <c r="A712" s="154">
        <v>10128281</v>
      </c>
      <c r="B712" s="10" t="s">
        <v>4062</v>
      </c>
      <c r="C712" s="14" t="s">
        <v>3904</v>
      </c>
      <c r="D712" s="43" t="s">
        <v>3903</v>
      </c>
      <c r="E712" s="14" t="s">
        <v>782</v>
      </c>
      <c r="F712" s="13">
        <v>12</v>
      </c>
      <c r="G712" s="22">
        <f>Overview!$B$71</f>
        <v>24</v>
      </c>
      <c r="H712" s="23">
        <f t="shared" si="234"/>
        <v>9.6</v>
      </c>
      <c r="I712" s="114">
        <f>Overview!$E$71</f>
        <v>14.4</v>
      </c>
      <c r="J712" s="24">
        <f t="shared" si="235"/>
        <v>1.2</v>
      </c>
      <c r="K712" s="116">
        <f>Overview!$H$71</f>
        <v>1.99</v>
      </c>
      <c r="L712" s="51">
        <f t="shared" si="236"/>
        <v>0.39700000000000002</v>
      </c>
      <c r="M712" s="179"/>
      <c r="N712" s="179" t="s">
        <v>980</v>
      </c>
      <c r="O712" s="141">
        <f t="shared" si="237"/>
        <v>14.4</v>
      </c>
      <c r="P712" s="181" t="b">
        <f>COUNTIF('Facility Data'!$A$1:$A$1500,"*"&amp;A712&amp;"*")&gt;0</f>
        <v>1</v>
      </c>
      <c r="Q712" s="181" t="b">
        <f>COUNTIF('Account Data'!$A$1:$A$1000,"*"&amp;A712&amp;"*")&gt;0</f>
        <v>0</v>
      </c>
      <c r="R712" s="182" t="b">
        <f t="shared" si="238"/>
        <v>1</v>
      </c>
      <c r="S712" s="182" t="b">
        <f t="shared" si="239"/>
        <v>0</v>
      </c>
      <c r="T712" s="181" t="b">
        <f>COUNTIF('New Items'!$A$1:$A$175,A712)&gt;0</f>
        <v>0</v>
      </c>
      <c r="U712" s="181" t="b">
        <f>COUNTIF(Discontinued!$A$1:$A$150,A712)&gt;0</f>
        <v>0</v>
      </c>
    </row>
    <row r="713" spans="1:21" s="8" customFormat="1" ht="13.5" thickBot="1" x14ac:dyDescent="0.25">
      <c r="A713" s="300" t="s">
        <v>3344</v>
      </c>
      <c r="B713" s="301"/>
      <c r="C713" s="301"/>
      <c r="D713" s="301"/>
      <c r="E713" s="301"/>
      <c r="F713" s="301"/>
      <c r="G713" s="301"/>
      <c r="H713" s="301"/>
      <c r="I713" s="301"/>
      <c r="J713" s="301"/>
      <c r="K713" s="301"/>
      <c r="L713" s="302"/>
      <c r="M713" s="179"/>
      <c r="N713" s="179" t="s">
        <v>983</v>
      </c>
      <c r="O713" s="141">
        <f>AVERAGE(O714:O719)</f>
        <v>0</v>
      </c>
      <c r="P713" s="181" t="b">
        <f>COUNTIF(P714:P719,TRUE)&gt;0</f>
        <v>1</v>
      </c>
      <c r="Q713" s="181" t="b">
        <f>COUNTIF(Q714:Q719,TRUE)&gt;0</f>
        <v>0</v>
      </c>
      <c r="R713" s="181" t="b">
        <f>COUNTIF(R714:R719,TRUE)&gt;0</f>
        <v>1</v>
      </c>
      <c r="S713" s="181" t="b">
        <f>COUNTIF(S714:S719,TRUE)&gt;0</f>
        <v>0</v>
      </c>
      <c r="T713" s="181" t="b">
        <f>COUNTIF(T714:T719,TRUE)&gt;0</f>
        <v>0</v>
      </c>
      <c r="U713" s="249"/>
    </row>
    <row r="714" spans="1:21" s="8" customFormat="1" ht="11.25" x14ac:dyDescent="0.2">
      <c r="A714" s="154">
        <v>10124151</v>
      </c>
      <c r="B714" s="10" t="s">
        <v>3650</v>
      </c>
      <c r="C714" s="14" t="s">
        <v>470</v>
      </c>
      <c r="D714" s="39" t="s">
        <v>701</v>
      </c>
      <c r="E714" s="14" t="s">
        <v>782</v>
      </c>
      <c r="F714" s="13">
        <v>2</v>
      </c>
      <c r="G714" s="22">
        <f>Overview!$B$72</f>
        <v>24</v>
      </c>
      <c r="H714" s="23">
        <f t="shared" ref="H714:H719" si="240">G714-I714</f>
        <v>24</v>
      </c>
      <c r="I714" s="114">
        <f>Overview!$E$72</f>
        <v>0</v>
      </c>
      <c r="J714" s="24">
        <f t="shared" ref="J714:J719" si="241">I714/F714</f>
        <v>0</v>
      </c>
      <c r="K714" s="116">
        <f>Overview!$H$72</f>
        <v>0</v>
      </c>
      <c r="L714" s="51" t="e">
        <f t="shared" ref="L714:L719" si="242">(K714-J714)/K714</f>
        <v>#DIV/0!</v>
      </c>
      <c r="M714" s="179"/>
      <c r="N714" s="179" t="s">
        <v>983</v>
      </c>
      <c r="O714" s="141">
        <f t="shared" ref="O714:O719" si="243">I714</f>
        <v>0</v>
      </c>
      <c r="P714" s="181" t="b">
        <f>COUNTIF('Facility Data'!$A$1:$A$1500,"*"&amp;A714&amp;"*")&gt;0</f>
        <v>1</v>
      </c>
      <c r="Q714" s="181" t="b">
        <f>COUNTIF('Account Data'!$A$1:$A$1000,"*"&amp;A714&amp;"*")&gt;0</f>
        <v>0</v>
      </c>
      <c r="R714" s="182" t="b">
        <f t="shared" ref="R714:R719" si="244">IF(OR(P714=TRUE,T714=TRUE),TRUE,FALSE)</f>
        <v>1</v>
      </c>
      <c r="S714" s="182" t="b">
        <f t="shared" ref="S714:S719" si="245">IF(OR(Q714=TRUE,T714=TRUE),TRUE,FALSE)</f>
        <v>0</v>
      </c>
      <c r="T714" s="181" t="b">
        <f>COUNTIF('New Items'!$A$1:$A$175,A714)&gt;0</f>
        <v>0</v>
      </c>
      <c r="U714" s="181" t="b">
        <f>COUNTIF(Discontinued!$A$1:$A$150,A714)&gt;0</f>
        <v>0</v>
      </c>
    </row>
    <row r="715" spans="1:21" s="8" customFormat="1" ht="11.25" x14ac:dyDescent="0.2">
      <c r="A715" s="154">
        <v>10124149</v>
      </c>
      <c r="B715" s="10" t="s">
        <v>3653</v>
      </c>
      <c r="C715" s="14" t="s">
        <v>472</v>
      </c>
      <c r="D715" s="41" t="s">
        <v>703</v>
      </c>
      <c r="E715" s="14" t="s">
        <v>782</v>
      </c>
      <c r="F715" s="13">
        <v>2</v>
      </c>
      <c r="G715" s="22">
        <f>Overview!$B$72</f>
        <v>24</v>
      </c>
      <c r="H715" s="23">
        <f t="shared" si="240"/>
        <v>24</v>
      </c>
      <c r="I715" s="114">
        <f>Overview!$E$72</f>
        <v>0</v>
      </c>
      <c r="J715" s="24">
        <f t="shared" si="241"/>
        <v>0</v>
      </c>
      <c r="K715" s="116">
        <f>Overview!$H$72</f>
        <v>0</v>
      </c>
      <c r="L715" s="51" t="e">
        <f t="shared" si="242"/>
        <v>#DIV/0!</v>
      </c>
      <c r="M715" s="179"/>
      <c r="N715" s="179" t="s">
        <v>983</v>
      </c>
      <c r="O715" s="141">
        <f t="shared" si="243"/>
        <v>0</v>
      </c>
      <c r="P715" s="181" t="b">
        <f>COUNTIF('Facility Data'!$A$1:$A$1500,"*"&amp;A715&amp;"*")&gt;0</f>
        <v>1</v>
      </c>
      <c r="Q715" s="181" t="b">
        <f>COUNTIF('Account Data'!$A$1:$A$1000,"*"&amp;A715&amp;"*")&gt;0</f>
        <v>0</v>
      </c>
      <c r="R715" s="182" t="b">
        <f t="shared" si="244"/>
        <v>1</v>
      </c>
      <c r="S715" s="182" t="b">
        <f t="shared" si="245"/>
        <v>0</v>
      </c>
      <c r="T715" s="181" t="b">
        <f>COUNTIF('New Items'!$A$1:$A$175,A715)&gt;0</f>
        <v>0</v>
      </c>
      <c r="U715" s="181" t="b">
        <f>COUNTIF(Discontinued!$A$1:$A$150,A715)&gt;0</f>
        <v>0</v>
      </c>
    </row>
    <row r="716" spans="1:21" s="8" customFormat="1" ht="11.25" x14ac:dyDescent="0.2">
      <c r="A716" s="154">
        <v>10124150</v>
      </c>
      <c r="B716" s="10" t="s">
        <v>3652</v>
      </c>
      <c r="C716" s="14" t="s">
        <v>471</v>
      </c>
      <c r="D716" s="40" t="s">
        <v>702</v>
      </c>
      <c r="E716" s="14" t="s">
        <v>782</v>
      </c>
      <c r="F716" s="13">
        <v>2</v>
      </c>
      <c r="G716" s="22">
        <f>Overview!$B$72</f>
        <v>24</v>
      </c>
      <c r="H716" s="23">
        <f t="shared" si="240"/>
        <v>24</v>
      </c>
      <c r="I716" s="114">
        <f>Overview!$E$72</f>
        <v>0</v>
      </c>
      <c r="J716" s="24">
        <f t="shared" si="241"/>
        <v>0</v>
      </c>
      <c r="K716" s="116">
        <f>Overview!$H$72</f>
        <v>0</v>
      </c>
      <c r="L716" s="51" t="e">
        <f t="shared" si="242"/>
        <v>#DIV/0!</v>
      </c>
      <c r="M716" s="179"/>
      <c r="N716" s="179" t="s">
        <v>983</v>
      </c>
      <c r="O716" s="141">
        <f t="shared" si="243"/>
        <v>0</v>
      </c>
      <c r="P716" s="181" t="b">
        <f>COUNTIF('Facility Data'!$A$1:$A$1500,"*"&amp;A716&amp;"*")&gt;0</f>
        <v>1</v>
      </c>
      <c r="Q716" s="181" t="b">
        <f>COUNTIF('Account Data'!$A$1:$A$1000,"*"&amp;A716&amp;"*")&gt;0</f>
        <v>0</v>
      </c>
      <c r="R716" s="182" t="b">
        <f t="shared" si="244"/>
        <v>1</v>
      </c>
      <c r="S716" s="182" t="b">
        <f t="shared" si="245"/>
        <v>0</v>
      </c>
      <c r="T716" s="181" t="b">
        <f>COUNTIF('New Items'!$A$1:$A$175,A716)&gt;0</f>
        <v>0</v>
      </c>
      <c r="U716" s="181" t="b">
        <f>COUNTIF(Discontinued!$A$1:$A$150,A716)&gt;0</f>
        <v>0</v>
      </c>
    </row>
    <row r="717" spans="1:21" s="8" customFormat="1" ht="11.25" x14ac:dyDescent="0.2">
      <c r="A717" s="154">
        <v>10124152</v>
      </c>
      <c r="B717" s="10" t="s">
        <v>3651</v>
      </c>
      <c r="C717" s="14" t="s">
        <v>469</v>
      </c>
      <c r="D717" s="38" t="s">
        <v>708</v>
      </c>
      <c r="E717" s="14" t="s">
        <v>782</v>
      </c>
      <c r="F717" s="13">
        <v>2</v>
      </c>
      <c r="G717" s="22">
        <f>Overview!$B$72</f>
        <v>24</v>
      </c>
      <c r="H717" s="23">
        <f t="shared" si="240"/>
        <v>24</v>
      </c>
      <c r="I717" s="114">
        <f>Overview!$E$72</f>
        <v>0</v>
      </c>
      <c r="J717" s="24">
        <f t="shared" si="241"/>
        <v>0</v>
      </c>
      <c r="K717" s="116">
        <f>Overview!$H$72</f>
        <v>0</v>
      </c>
      <c r="L717" s="51" t="e">
        <f t="shared" si="242"/>
        <v>#DIV/0!</v>
      </c>
      <c r="M717" s="179"/>
      <c r="N717" s="179" t="s">
        <v>983</v>
      </c>
      <c r="O717" s="141">
        <f t="shared" si="243"/>
        <v>0</v>
      </c>
      <c r="P717" s="181" t="b">
        <f>COUNTIF('Facility Data'!$A$1:$A$1500,"*"&amp;A717&amp;"*")&gt;0</f>
        <v>1</v>
      </c>
      <c r="Q717" s="181" t="b">
        <f>COUNTIF('Account Data'!$A$1:$A$1000,"*"&amp;A717&amp;"*")&gt;0</f>
        <v>0</v>
      </c>
      <c r="R717" s="182" t="b">
        <f t="shared" si="244"/>
        <v>1</v>
      </c>
      <c r="S717" s="182" t="b">
        <f t="shared" si="245"/>
        <v>0</v>
      </c>
      <c r="T717" s="181" t="b">
        <f>COUNTIF('New Items'!$A$1:$A$175,A717)&gt;0</f>
        <v>0</v>
      </c>
      <c r="U717" s="181" t="b">
        <f>COUNTIF(Discontinued!$A$1:$A$150,A717)&gt;0</f>
        <v>0</v>
      </c>
    </row>
    <row r="718" spans="1:21" s="8" customFormat="1" ht="11.25" x14ac:dyDescent="0.2">
      <c r="A718" s="155">
        <v>10121163</v>
      </c>
      <c r="B718" s="81" t="s">
        <v>3655</v>
      </c>
      <c r="C718" s="14" t="s">
        <v>877</v>
      </c>
      <c r="D718" s="48" t="s">
        <v>712</v>
      </c>
      <c r="E718" s="14" t="s">
        <v>782</v>
      </c>
      <c r="F718" s="13">
        <v>2</v>
      </c>
      <c r="G718" s="22">
        <f>Overview!$B$72</f>
        <v>24</v>
      </c>
      <c r="H718" s="23">
        <f t="shared" si="240"/>
        <v>24</v>
      </c>
      <c r="I718" s="114">
        <f>Overview!$E$72</f>
        <v>0</v>
      </c>
      <c r="J718" s="24">
        <f t="shared" si="241"/>
        <v>0</v>
      </c>
      <c r="K718" s="116">
        <f>Overview!$H$72</f>
        <v>0</v>
      </c>
      <c r="L718" s="51" t="e">
        <f t="shared" si="242"/>
        <v>#DIV/0!</v>
      </c>
      <c r="M718" s="179"/>
      <c r="N718" s="179" t="s">
        <v>983</v>
      </c>
      <c r="O718" s="141">
        <f t="shared" si="243"/>
        <v>0</v>
      </c>
      <c r="P718" s="181" t="b">
        <f>COUNTIF('Facility Data'!$A$1:$A$1500,"*"&amp;A718&amp;"*")&gt;0</f>
        <v>1</v>
      </c>
      <c r="Q718" s="181" t="b">
        <f>COUNTIF('Account Data'!$A$1:$A$1000,"*"&amp;A718&amp;"*")&gt;0</f>
        <v>0</v>
      </c>
      <c r="R718" s="182" t="b">
        <f t="shared" si="244"/>
        <v>1</v>
      </c>
      <c r="S718" s="182" t="b">
        <f t="shared" si="245"/>
        <v>0</v>
      </c>
      <c r="T718" s="181" t="b">
        <f>COUNTIF('New Items'!$A$1:$A$175,A718)&gt;0</f>
        <v>0</v>
      </c>
      <c r="U718" s="181" t="b">
        <f>COUNTIF(Discontinued!$A$1:$A$150,A718)&gt;0</f>
        <v>0</v>
      </c>
    </row>
    <row r="719" spans="1:21" s="8" customFormat="1" ht="12" thickBot="1" x14ac:dyDescent="0.25">
      <c r="A719" s="155">
        <v>10121162</v>
      </c>
      <c r="B719" s="81" t="s">
        <v>3654</v>
      </c>
      <c r="C719" s="14" t="s">
        <v>878</v>
      </c>
      <c r="D719" s="32" t="s">
        <v>713</v>
      </c>
      <c r="E719" s="14" t="s">
        <v>782</v>
      </c>
      <c r="F719" s="13">
        <v>2</v>
      </c>
      <c r="G719" s="22">
        <f>Overview!$B$72</f>
        <v>24</v>
      </c>
      <c r="H719" s="23">
        <f t="shared" si="240"/>
        <v>24</v>
      </c>
      <c r="I719" s="114">
        <f>Overview!$E$72</f>
        <v>0</v>
      </c>
      <c r="J719" s="24">
        <f t="shared" si="241"/>
        <v>0</v>
      </c>
      <c r="K719" s="116">
        <f>Overview!$H$72</f>
        <v>0</v>
      </c>
      <c r="L719" s="51" t="e">
        <f t="shared" si="242"/>
        <v>#DIV/0!</v>
      </c>
      <c r="M719" s="179"/>
      <c r="N719" s="179" t="s">
        <v>983</v>
      </c>
      <c r="O719" s="141">
        <f t="shared" si="243"/>
        <v>0</v>
      </c>
      <c r="P719" s="181" t="b">
        <f>COUNTIF('Facility Data'!$A$1:$A$1500,"*"&amp;A719&amp;"*")&gt;0</f>
        <v>1</v>
      </c>
      <c r="Q719" s="181" t="b">
        <f>COUNTIF('Account Data'!$A$1:$A$1000,"*"&amp;A719&amp;"*")&gt;0</f>
        <v>0</v>
      </c>
      <c r="R719" s="182" t="b">
        <f t="shared" si="244"/>
        <v>1</v>
      </c>
      <c r="S719" s="182" t="b">
        <f t="shared" si="245"/>
        <v>0</v>
      </c>
      <c r="T719" s="181" t="b">
        <f>COUNTIF('New Items'!$A$1:$A$175,A719)&gt;0</f>
        <v>0</v>
      </c>
      <c r="U719" s="181" t="b">
        <f>COUNTIF(Discontinued!$A$1:$A$150,A719)&gt;0</f>
        <v>0</v>
      </c>
    </row>
    <row r="720" spans="1:21" s="8" customFormat="1" ht="13.5" thickBot="1" x14ac:dyDescent="0.25">
      <c r="A720" s="300" t="s">
        <v>804</v>
      </c>
      <c r="B720" s="301"/>
      <c r="C720" s="301"/>
      <c r="D720" s="301"/>
      <c r="E720" s="301"/>
      <c r="F720" s="301"/>
      <c r="G720" s="301"/>
      <c r="H720" s="301"/>
      <c r="I720" s="301"/>
      <c r="J720" s="301"/>
      <c r="K720" s="301"/>
      <c r="L720" s="302"/>
      <c r="M720" s="179"/>
      <c r="N720" s="179" t="s">
        <v>804</v>
      </c>
      <c r="O720" s="141">
        <f>AVERAGE(O721:O722)</f>
        <v>0</v>
      </c>
      <c r="P720" s="181" t="b">
        <f>COUNTIF(P721:P722,TRUE)&gt;0</f>
        <v>1</v>
      </c>
      <c r="Q720" s="181" t="b">
        <f>COUNTIF(Q721:Q722,TRUE)&gt;0</f>
        <v>1</v>
      </c>
      <c r="R720" s="181" t="b">
        <f>COUNTIF(R721:R722,TRUE)&gt;0</f>
        <v>1</v>
      </c>
      <c r="S720" s="181" t="b">
        <f>COUNTIF(S721:S722,TRUE)&gt;0</f>
        <v>1</v>
      </c>
      <c r="T720" s="181" t="b">
        <f>COUNTIF(T721:T722,TRUE)&gt;0</f>
        <v>0</v>
      </c>
      <c r="U720" s="249"/>
    </row>
    <row r="721" spans="1:21" s="8" customFormat="1" ht="11.25" x14ac:dyDescent="0.2">
      <c r="A721" s="152">
        <v>10111501</v>
      </c>
      <c r="B721" s="10" t="s">
        <v>3349</v>
      </c>
      <c r="C721" s="14" t="s">
        <v>3354</v>
      </c>
      <c r="D721" s="11" t="s">
        <v>782</v>
      </c>
      <c r="E721" s="14" t="s">
        <v>782</v>
      </c>
      <c r="F721" s="13">
        <v>12</v>
      </c>
      <c r="G721" s="121">
        <f>Overview!$B$160</f>
        <v>24</v>
      </c>
      <c r="H721" s="23">
        <f>G721-I721</f>
        <v>24</v>
      </c>
      <c r="I721" s="114">
        <f>Overview!$E$160</f>
        <v>0</v>
      </c>
      <c r="J721" s="24">
        <f>I721/F721</f>
        <v>0</v>
      </c>
      <c r="K721" s="116">
        <f>Overview!$H$160</f>
        <v>0</v>
      </c>
      <c r="L721" s="51" t="e">
        <f>(K721-J721)/K721</f>
        <v>#DIV/0!</v>
      </c>
      <c r="M721" s="179"/>
      <c r="N721" s="179" t="s">
        <v>804</v>
      </c>
      <c r="O721" s="141">
        <f>I721</f>
        <v>0</v>
      </c>
      <c r="P721" s="181" t="b">
        <f>COUNTIF('Facility Data'!$A$1:$A$1500,"*"&amp;A721&amp;"*")&gt;0</f>
        <v>1</v>
      </c>
      <c r="Q721" s="181" t="b">
        <f>COUNTIF('Account Data'!$A$1:$A$1000,"*"&amp;A721&amp;"*")&gt;0</f>
        <v>1</v>
      </c>
      <c r="R721" s="182" t="b">
        <f>IF(OR(P721=TRUE,T721=TRUE),TRUE,FALSE)</f>
        <v>1</v>
      </c>
      <c r="S721" s="182" t="b">
        <f>IF(OR(Q721=TRUE,T721=TRUE),TRUE,FALSE)</f>
        <v>1</v>
      </c>
      <c r="T721" s="181" t="b">
        <f>COUNTIF('New Items'!$A$1:$A$175,A721)&gt;0</f>
        <v>0</v>
      </c>
      <c r="U721" s="181" t="b">
        <f>COUNTIF(Discontinued!$A$1:$A$150,A721)&gt;0</f>
        <v>0</v>
      </c>
    </row>
    <row r="722" spans="1:21" s="8" customFormat="1" ht="12" thickBot="1" x14ac:dyDescent="0.25">
      <c r="A722" s="152">
        <v>10110362</v>
      </c>
      <c r="B722" s="10" t="s">
        <v>3350</v>
      </c>
      <c r="C722" s="14" t="s">
        <v>805</v>
      </c>
      <c r="D722" s="11" t="s">
        <v>761</v>
      </c>
      <c r="E722" s="14" t="s">
        <v>761</v>
      </c>
      <c r="F722" s="13">
        <v>12</v>
      </c>
      <c r="G722" s="121">
        <f>Overview!$B$161</f>
        <v>24</v>
      </c>
      <c r="H722" s="23">
        <f>G722-I722</f>
        <v>24</v>
      </c>
      <c r="I722" s="114">
        <f>Overview!$E$161</f>
        <v>0</v>
      </c>
      <c r="J722" s="24">
        <f>I722/F722</f>
        <v>0</v>
      </c>
      <c r="K722" s="116">
        <f>Overview!$H$161</f>
        <v>0</v>
      </c>
      <c r="L722" s="51" t="e">
        <f>(K722-J722)/K722</f>
        <v>#DIV/0!</v>
      </c>
      <c r="M722" s="179"/>
      <c r="N722" s="179" t="s">
        <v>804</v>
      </c>
      <c r="O722" s="141">
        <f>I722</f>
        <v>0</v>
      </c>
      <c r="P722" s="181" t="b">
        <f>COUNTIF('Facility Data'!$A$1:$A$1500,"*"&amp;A722&amp;"*")&gt;0</f>
        <v>1</v>
      </c>
      <c r="Q722" s="181" t="b">
        <f>COUNTIF('Account Data'!$A$1:$A$1000,"*"&amp;A722&amp;"*")&gt;0</f>
        <v>1</v>
      </c>
      <c r="R722" s="182" t="b">
        <f>IF(OR(P722=TRUE,T722=TRUE),TRUE,FALSE)</f>
        <v>1</v>
      </c>
      <c r="S722" s="182" t="b">
        <f>IF(OR(Q722=TRUE,T722=TRUE),TRUE,FALSE)</f>
        <v>1</v>
      </c>
      <c r="T722" s="181" t="b">
        <f>COUNTIF('New Items'!$A$1:$A$175,A722)&gt;0</f>
        <v>0</v>
      </c>
      <c r="U722" s="181" t="b">
        <f>COUNTIF(Discontinued!$A$1:$A$150,A722)&gt;0</f>
        <v>0</v>
      </c>
    </row>
    <row r="723" spans="1:21" s="8" customFormat="1" ht="13.5" thickBot="1" x14ac:dyDescent="0.25">
      <c r="A723" s="300" t="s">
        <v>473</v>
      </c>
      <c r="B723" s="301"/>
      <c r="C723" s="301"/>
      <c r="D723" s="301"/>
      <c r="E723" s="301"/>
      <c r="F723" s="301"/>
      <c r="G723" s="301"/>
      <c r="H723" s="301"/>
      <c r="I723" s="301"/>
      <c r="J723" s="301"/>
      <c r="K723" s="301"/>
      <c r="L723" s="302"/>
      <c r="M723" s="179"/>
      <c r="N723" s="179" t="s">
        <v>981</v>
      </c>
      <c r="O723" s="141">
        <f>AVERAGE(O724:O730)</f>
        <v>0</v>
      </c>
      <c r="P723" s="181" t="b">
        <f>COUNTIF(P724:P730,TRUE)&gt;0</f>
        <v>1</v>
      </c>
      <c r="Q723" s="181" t="b">
        <f>COUNTIF(Q724:Q730,TRUE)&gt;0</f>
        <v>1</v>
      </c>
      <c r="R723" s="181" t="b">
        <f>COUNTIF(R724:R730,TRUE)&gt;0</f>
        <v>1</v>
      </c>
      <c r="S723" s="181" t="b">
        <f>COUNTIF(S724:S730,TRUE)&gt;0</f>
        <v>1</v>
      </c>
      <c r="T723" s="181" t="b">
        <f>COUNTIF(T724:T730,TRUE)&gt;0</f>
        <v>0</v>
      </c>
      <c r="U723" s="249"/>
    </row>
    <row r="724" spans="1:21" s="8" customFormat="1" ht="11.25" x14ac:dyDescent="0.2">
      <c r="A724" s="154">
        <v>10110005</v>
      </c>
      <c r="B724" s="10" t="s">
        <v>571</v>
      </c>
      <c r="C724" s="14" t="s">
        <v>476</v>
      </c>
      <c r="D724" s="32" t="s">
        <v>716</v>
      </c>
      <c r="E724" s="14" t="s">
        <v>779</v>
      </c>
      <c r="F724" s="13">
        <v>12</v>
      </c>
      <c r="G724" s="22">
        <f>Overview!$B$67</f>
        <v>24</v>
      </c>
      <c r="H724" s="23">
        <f t="shared" ref="H724:H730" si="246">G724-I724</f>
        <v>24</v>
      </c>
      <c r="I724" s="114">
        <f>Overview!$E$67</f>
        <v>0</v>
      </c>
      <c r="J724" s="24">
        <f t="shared" ref="J724:J730" si="247">I724/F724</f>
        <v>0</v>
      </c>
      <c r="K724" s="116">
        <f>Overview!$H$67</f>
        <v>0</v>
      </c>
      <c r="L724" s="51" t="e">
        <f t="shared" ref="L724:L730" si="248">(K724-J724)/K724</f>
        <v>#DIV/0!</v>
      </c>
      <c r="M724" s="179"/>
      <c r="N724" s="179" t="s">
        <v>981</v>
      </c>
      <c r="O724" s="141">
        <f t="shared" ref="O724:O730" si="249">I724</f>
        <v>0</v>
      </c>
      <c r="P724" s="181" t="b">
        <f>COUNTIF('Facility Data'!$A$1:$A$1500,"*"&amp;A724&amp;"*")&gt;0</f>
        <v>1</v>
      </c>
      <c r="Q724" s="181" t="b">
        <f>COUNTIF('Account Data'!$A$1:$A$1000,"*"&amp;A724&amp;"*")&gt;0</f>
        <v>1</v>
      </c>
      <c r="R724" s="182" t="b">
        <f t="shared" ref="R724:R730" si="250">IF(OR(P724=TRUE,T724=TRUE),TRUE,FALSE)</f>
        <v>1</v>
      </c>
      <c r="S724" s="182" t="b">
        <f t="shared" ref="S724:S730" si="251">IF(OR(Q724=TRUE,T724=TRUE),TRUE,FALSE)</f>
        <v>1</v>
      </c>
      <c r="T724" s="181" t="b">
        <f>COUNTIF('New Items'!$A$1:$A$175,A724)&gt;0</f>
        <v>0</v>
      </c>
      <c r="U724" s="181" t="b">
        <f>COUNTIF(Discontinued!$A$1:$A$150,A724)&gt;0</f>
        <v>0</v>
      </c>
    </row>
    <row r="725" spans="1:21" s="8" customFormat="1" ht="11.25" x14ac:dyDescent="0.2">
      <c r="A725" s="154">
        <v>10109984</v>
      </c>
      <c r="B725" s="10" t="s">
        <v>474</v>
      </c>
      <c r="C725" s="14" t="s">
        <v>475</v>
      </c>
      <c r="D725" s="31" t="s">
        <v>715</v>
      </c>
      <c r="E725" s="14" t="s">
        <v>779</v>
      </c>
      <c r="F725" s="13">
        <v>12</v>
      </c>
      <c r="G725" s="22">
        <f>Overview!$B$67</f>
        <v>24</v>
      </c>
      <c r="H725" s="23">
        <f t="shared" si="246"/>
        <v>24</v>
      </c>
      <c r="I725" s="114">
        <f>Overview!$E$67</f>
        <v>0</v>
      </c>
      <c r="J725" s="24">
        <f t="shared" si="247"/>
        <v>0</v>
      </c>
      <c r="K725" s="116">
        <f>Overview!$H$67</f>
        <v>0</v>
      </c>
      <c r="L725" s="51" t="e">
        <f t="shared" si="248"/>
        <v>#DIV/0!</v>
      </c>
      <c r="M725" s="179"/>
      <c r="N725" s="179" t="s">
        <v>981</v>
      </c>
      <c r="O725" s="141">
        <f t="shared" si="249"/>
        <v>0</v>
      </c>
      <c r="P725" s="181" t="b">
        <f>COUNTIF('Facility Data'!$A$1:$A$1500,"*"&amp;A725&amp;"*")&gt;0</f>
        <v>1</v>
      </c>
      <c r="Q725" s="181" t="b">
        <f>COUNTIF('Account Data'!$A$1:$A$1000,"*"&amp;A725&amp;"*")&gt;0</f>
        <v>1</v>
      </c>
      <c r="R725" s="182" t="b">
        <f t="shared" si="250"/>
        <v>1</v>
      </c>
      <c r="S725" s="182" t="b">
        <f t="shared" si="251"/>
        <v>1</v>
      </c>
      <c r="T725" s="181" t="b">
        <f>COUNTIF('New Items'!$A$1:$A$175,A725)&gt;0</f>
        <v>0</v>
      </c>
      <c r="U725" s="181" t="b">
        <f>COUNTIF(Discontinued!$A$1:$A$150,A725)&gt;0</f>
        <v>0</v>
      </c>
    </row>
    <row r="726" spans="1:21" s="8" customFormat="1" ht="11.25" x14ac:dyDescent="0.2">
      <c r="A726" s="154">
        <v>10110028</v>
      </c>
      <c r="B726" s="10" t="s">
        <v>479</v>
      </c>
      <c r="C726" s="14" t="s">
        <v>480</v>
      </c>
      <c r="D726" s="33" t="s">
        <v>717</v>
      </c>
      <c r="E726" s="14" t="s">
        <v>779</v>
      </c>
      <c r="F726" s="13">
        <v>12</v>
      </c>
      <c r="G726" s="22">
        <f>Overview!$B$67</f>
        <v>24</v>
      </c>
      <c r="H726" s="23">
        <f t="shared" si="246"/>
        <v>24</v>
      </c>
      <c r="I726" s="114">
        <f>Overview!$E$67</f>
        <v>0</v>
      </c>
      <c r="J726" s="24">
        <f t="shared" si="247"/>
        <v>0</v>
      </c>
      <c r="K726" s="116">
        <f>Overview!$H$67</f>
        <v>0</v>
      </c>
      <c r="L726" s="51" t="e">
        <f t="shared" si="248"/>
        <v>#DIV/0!</v>
      </c>
      <c r="M726" s="179"/>
      <c r="N726" s="179" t="s">
        <v>981</v>
      </c>
      <c r="O726" s="141">
        <f t="shared" si="249"/>
        <v>0</v>
      </c>
      <c r="P726" s="181" t="b">
        <f>COUNTIF('Facility Data'!$A$1:$A$1500,"*"&amp;A726&amp;"*")&gt;0</f>
        <v>1</v>
      </c>
      <c r="Q726" s="181" t="b">
        <f>COUNTIF('Account Data'!$A$1:$A$1000,"*"&amp;A726&amp;"*")&gt;0</f>
        <v>1</v>
      </c>
      <c r="R726" s="182" t="b">
        <f t="shared" si="250"/>
        <v>1</v>
      </c>
      <c r="S726" s="182" t="b">
        <f t="shared" si="251"/>
        <v>1</v>
      </c>
      <c r="T726" s="181" t="b">
        <f>COUNTIF('New Items'!$A$1:$A$175,A726)&gt;0</f>
        <v>0</v>
      </c>
      <c r="U726" s="181" t="b">
        <f>COUNTIF(Discontinued!$A$1:$A$150,A726)&gt;0</f>
        <v>0</v>
      </c>
    </row>
    <row r="727" spans="1:21" s="8" customFormat="1" ht="11.25" x14ac:dyDescent="0.2">
      <c r="A727" s="154">
        <v>10109982</v>
      </c>
      <c r="B727" s="10" t="s">
        <v>481</v>
      </c>
      <c r="C727" s="14" t="s">
        <v>482</v>
      </c>
      <c r="D727" s="35" t="s">
        <v>719</v>
      </c>
      <c r="E727" s="14" t="s">
        <v>779</v>
      </c>
      <c r="F727" s="13">
        <v>12</v>
      </c>
      <c r="G727" s="22">
        <f>Overview!$B$67</f>
        <v>24</v>
      </c>
      <c r="H727" s="23">
        <f t="shared" si="246"/>
        <v>24</v>
      </c>
      <c r="I727" s="114">
        <f>Overview!$E$67</f>
        <v>0</v>
      </c>
      <c r="J727" s="24">
        <f t="shared" si="247"/>
        <v>0</v>
      </c>
      <c r="K727" s="116">
        <f>Overview!$H$67</f>
        <v>0</v>
      </c>
      <c r="L727" s="51" t="e">
        <f t="shared" si="248"/>
        <v>#DIV/0!</v>
      </c>
      <c r="M727" s="179"/>
      <c r="N727" s="179" t="s">
        <v>981</v>
      </c>
      <c r="O727" s="141">
        <f t="shared" si="249"/>
        <v>0</v>
      </c>
      <c r="P727" s="181" t="b">
        <f>COUNTIF('Facility Data'!$A$1:$A$1500,"*"&amp;A727&amp;"*")&gt;0</f>
        <v>1</v>
      </c>
      <c r="Q727" s="181" t="b">
        <f>COUNTIF('Account Data'!$A$1:$A$1000,"*"&amp;A727&amp;"*")&gt;0</f>
        <v>1</v>
      </c>
      <c r="R727" s="182" t="b">
        <f t="shared" si="250"/>
        <v>1</v>
      </c>
      <c r="S727" s="182" t="b">
        <f t="shared" si="251"/>
        <v>1</v>
      </c>
      <c r="T727" s="181" t="b">
        <f>COUNTIF('New Items'!$A$1:$A$175,A727)&gt;0</f>
        <v>0</v>
      </c>
      <c r="U727" s="181" t="b">
        <f>COUNTIF(Discontinued!$A$1:$A$150,A727)&gt;0</f>
        <v>0</v>
      </c>
    </row>
    <row r="728" spans="1:21" s="8" customFormat="1" ht="11.25" x14ac:dyDescent="0.2">
      <c r="A728" s="154">
        <v>10110062</v>
      </c>
      <c r="B728" s="10" t="s">
        <v>572</v>
      </c>
      <c r="C728" s="14" t="s">
        <v>477</v>
      </c>
      <c r="D728" s="34" t="s">
        <v>718</v>
      </c>
      <c r="E728" s="14" t="s">
        <v>779</v>
      </c>
      <c r="F728" s="13">
        <v>12</v>
      </c>
      <c r="G728" s="22">
        <f>Overview!$B$67</f>
        <v>24</v>
      </c>
      <c r="H728" s="23">
        <f t="shared" si="246"/>
        <v>24</v>
      </c>
      <c r="I728" s="114">
        <f>Overview!$E$67</f>
        <v>0</v>
      </c>
      <c r="J728" s="24">
        <f t="shared" si="247"/>
        <v>0</v>
      </c>
      <c r="K728" s="116">
        <f>Overview!$H$67</f>
        <v>0</v>
      </c>
      <c r="L728" s="51" t="e">
        <f t="shared" si="248"/>
        <v>#DIV/0!</v>
      </c>
      <c r="M728" s="179"/>
      <c r="N728" s="179" t="s">
        <v>981</v>
      </c>
      <c r="O728" s="141">
        <f t="shared" si="249"/>
        <v>0</v>
      </c>
      <c r="P728" s="181" t="b">
        <f>COUNTIF('Facility Data'!$A$1:$A$1500,"*"&amp;A728&amp;"*")&gt;0</f>
        <v>1</v>
      </c>
      <c r="Q728" s="181" t="b">
        <f>COUNTIF('Account Data'!$A$1:$A$1000,"*"&amp;A728&amp;"*")&gt;0</f>
        <v>1</v>
      </c>
      <c r="R728" s="182" t="b">
        <f t="shared" si="250"/>
        <v>1</v>
      </c>
      <c r="S728" s="182" t="b">
        <f t="shared" si="251"/>
        <v>1</v>
      </c>
      <c r="T728" s="181" t="b">
        <f>COUNTIF('New Items'!$A$1:$A$175,A728)&gt;0</f>
        <v>0</v>
      </c>
      <c r="U728" s="181" t="b">
        <f>COUNTIF(Discontinued!$A$1:$A$150,A728)&gt;0</f>
        <v>0</v>
      </c>
    </row>
    <row r="729" spans="1:21" s="8" customFormat="1" ht="11.25" x14ac:dyDescent="0.2">
      <c r="A729" s="154">
        <v>10110042</v>
      </c>
      <c r="B729" s="10" t="s">
        <v>483</v>
      </c>
      <c r="C729" s="14" t="s">
        <v>484</v>
      </c>
      <c r="D729" s="36" t="s">
        <v>720</v>
      </c>
      <c r="E729" s="14" t="s">
        <v>779</v>
      </c>
      <c r="F729" s="13">
        <v>12</v>
      </c>
      <c r="G729" s="22">
        <f>Overview!$B$67</f>
        <v>24</v>
      </c>
      <c r="H729" s="23">
        <f t="shared" si="246"/>
        <v>24</v>
      </c>
      <c r="I729" s="114">
        <f>Overview!$E$67</f>
        <v>0</v>
      </c>
      <c r="J729" s="24">
        <f t="shared" si="247"/>
        <v>0</v>
      </c>
      <c r="K729" s="116">
        <f>Overview!$H$67</f>
        <v>0</v>
      </c>
      <c r="L729" s="51" t="e">
        <f t="shared" si="248"/>
        <v>#DIV/0!</v>
      </c>
      <c r="M729" s="179"/>
      <c r="N729" s="179" t="s">
        <v>981</v>
      </c>
      <c r="O729" s="141">
        <f t="shared" si="249"/>
        <v>0</v>
      </c>
      <c r="P729" s="181" t="b">
        <f>COUNTIF('Facility Data'!$A$1:$A$1500,"*"&amp;A729&amp;"*")&gt;0</f>
        <v>1</v>
      </c>
      <c r="Q729" s="181" t="b">
        <f>COUNTIF('Account Data'!$A$1:$A$1000,"*"&amp;A729&amp;"*")&gt;0</f>
        <v>1</v>
      </c>
      <c r="R729" s="182" t="b">
        <f t="shared" si="250"/>
        <v>1</v>
      </c>
      <c r="S729" s="182" t="b">
        <f t="shared" si="251"/>
        <v>1</v>
      </c>
      <c r="T729" s="181" t="b">
        <f>COUNTIF('New Items'!$A$1:$A$175,A729)&gt;0</f>
        <v>0</v>
      </c>
      <c r="U729" s="181" t="b">
        <f>COUNTIF(Discontinued!$A$1:$A$150,A729)&gt;0</f>
        <v>0</v>
      </c>
    </row>
    <row r="730" spans="1:21" s="8" customFormat="1" ht="12" thickBot="1" x14ac:dyDescent="0.25">
      <c r="A730" s="154">
        <v>10110021</v>
      </c>
      <c r="B730" s="10" t="s">
        <v>2237</v>
      </c>
      <c r="C730" s="14" t="s">
        <v>478</v>
      </c>
      <c r="D730" s="37" t="s">
        <v>721</v>
      </c>
      <c r="E730" s="14" t="s">
        <v>779</v>
      </c>
      <c r="F730" s="13">
        <v>12</v>
      </c>
      <c r="G730" s="22">
        <f>Overview!$B$67</f>
        <v>24</v>
      </c>
      <c r="H730" s="23">
        <f t="shared" si="246"/>
        <v>24</v>
      </c>
      <c r="I730" s="114">
        <f>Overview!$E$67</f>
        <v>0</v>
      </c>
      <c r="J730" s="24">
        <f t="shared" si="247"/>
        <v>0</v>
      </c>
      <c r="K730" s="116">
        <f>Overview!$H$67</f>
        <v>0</v>
      </c>
      <c r="L730" s="51" t="e">
        <f t="shared" si="248"/>
        <v>#DIV/0!</v>
      </c>
      <c r="M730" s="179"/>
      <c r="N730" s="179" t="s">
        <v>981</v>
      </c>
      <c r="O730" s="141">
        <f t="shared" si="249"/>
        <v>0</v>
      </c>
      <c r="P730" s="181" t="b">
        <f>COUNTIF('Facility Data'!$A$1:$A$1500,"*"&amp;A730&amp;"*")&gt;0</f>
        <v>1</v>
      </c>
      <c r="Q730" s="181" t="b">
        <f>COUNTIF('Account Data'!$A$1:$A$1000,"*"&amp;A730&amp;"*")&gt;0</f>
        <v>1</v>
      </c>
      <c r="R730" s="182" t="b">
        <f t="shared" si="250"/>
        <v>1</v>
      </c>
      <c r="S730" s="182" t="b">
        <f t="shared" si="251"/>
        <v>1</v>
      </c>
      <c r="T730" s="181" t="b">
        <f>COUNTIF('New Items'!$A$1:$A$175,A730)&gt;0</f>
        <v>0</v>
      </c>
      <c r="U730" s="181" t="b">
        <f>COUNTIF(Discontinued!$A$1:$A$150,A730)&gt;0</f>
        <v>0</v>
      </c>
    </row>
    <row r="731" spans="1:21" s="8" customFormat="1" ht="13.5" thickBot="1" x14ac:dyDescent="0.25">
      <c r="A731" s="300" t="s">
        <v>800</v>
      </c>
      <c r="B731" s="301"/>
      <c r="C731" s="301"/>
      <c r="D731" s="301"/>
      <c r="E731" s="301"/>
      <c r="F731" s="301"/>
      <c r="G731" s="301"/>
      <c r="H731" s="301"/>
      <c r="I731" s="301"/>
      <c r="J731" s="301"/>
      <c r="K731" s="301"/>
      <c r="L731" s="302"/>
      <c r="M731" s="179"/>
      <c r="N731" s="179" t="s">
        <v>982</v>
      </c>
      <c r="O731" s="141">
        <f>AVERAGE(O732:O734)</f>
        <v>0</v>
      </c>
      <c r="P731" s="181" t="b">
        <f>COUNTIF(P732:P734,TRUE)&gt;0</f>
        <v>1</v>
      </c>
      <c r="Q731" s="181" t="b">
        <f>COUNTIF(Q732:Q734,TRUE)&gt;0</f>
        <v>0</v>
      </c>
      <c r="R731" s="181" t="b">
        <f>COUNTIF(R732:R734,TRUE)&gt;0</f>
        <v>1</v>
      </c>
      <c r="S731" s="181" t="b">
        <f>COUNTIF(S732:S734,TRUE)&gt;0</f>
        <v>0</v>
      </c>
      <c r="T731" s="181" t="b">
        <f>COUNTIF(T732:T734,TRUE)&gt;0</f>
        <v>0</v>
      </c>
      <c r="U731" s="249"/>
    </row>
    <row r="732" spans="1:21" s="8" customFormat="1" ht="11.25" x14ac:dyDescent="0.2">
      <c r="A732" s="154">
        <v>10112794</v>
      </c>
      <c r="B732" s="10" t="s">
        <v>858</v>
      </c>
      <c r="C732" s="14" t="s">
        <v>801</v>
      </c>
      <c r="D732" s="31" t="s">
        <v>715</v>
      </c>
      <c r="E732" s="14" t="s">
        <v>779</v>
      </c>
      <c r="F732" s="13">
        <v>6</v>
      </c>
      <c r="G732" s="22">
        <f>Overview!$B$68</f>
        <v>48</v>
      </c>
      <c r="H732" s="23">
        <f>G732-I732</f>
        <v>48</v>
      </c>
      <c r="I732" s="114">
        <f>Overview!$E$68</f>
        <v>0</v>
      </c>
      <c r="J732" s="24">
        <f>I732/F732</f>
        <v>0</v>
      </c>
      <c r="K732" s="116">
        <f>Overview!$H$68</f>
        <v>0</v>
      </c>
      <c r="L732" s="51" t="e">
        <f>(K732-J732)/K732</f>
        <v>#DIV/0!</v>
      </c>
      <c r="M732" s="179"/>
      <c r="N732" s="179" t="s">
        <v>982</v>
      </c>
      <c r="O732" s="141">
        <f>I732</f>
        <v>0</v>
      </c>
      <c r="P732" s="181" t="b">
        <f>COUNTIF('Facility Data'!$A$1:$A$1500,"*"&amp;A732&amp;"*")&gt;0</f>
        <v>1</v>
      </c>
      <c r="Q732" s="181" t="b">
        <f>COUNTIF('Account Data'!$A$1:$A$1000,"*"&amp;A732&amp;"*")&gt;0</f>
        <v>0</v>
      </c>
      <c r="R732" s="182" t="b">
        <f>IF(OR(P732=TRUE,T732=TRUE),TRUE,FALSE)</f>
        <v>1</v>
      </c>
      <c r="S732" s="182" t="b">
        <f>IF(OR(Q732=TRUE,T732=TRUE),TRUE,FALSE)</f>
        <v>0</v>
      </c>
      <c r="T732" s="181" t="b">
        <f>COUNTIF('New Items'!$A$1:$A$175,A732)&gt;0</f>
        <v>0</v>
      </c>
      <c r="U732" s="181" t="b">
        <f>COUNTIF(Discontinued!$A$1:$A$150,A732)&gt;0</f>
        <v>0</v>
      </c>
    </row>
    <row r="733" spans="1:21" s="8" customFormat="1" ht="11.25" x14ac:dyDescent="0.2">
      <c r="A733" s="154">
        <v>10112796</v>
      </c>
      <c r="B733" s="10" t="s">
        <v>857</v>
      </c>
      <c r="C733" s="14" t="s">
        <v>802</v>
      </c>
      <c r="D733" s="33" t="s">
        <v>717</v>
      </c>
      <c r="E733" s="14" t="s">
        <v>779</v>
      </c>
      <c r="F733" s="13">
        <v>6</v>
      </c>
      <c r="G733" s="22">
        <f>Overview!$B$68</f>
        <v>48</v>
      </c>
      <c r="H733" s="23">
        <f>G733-I733</f>
        <v>48</v>
      </c>
      <c r="I733" s="114">
        <f>Overview!$E$68</f>
        <v>0</v>
      </c>
      <c r="J733" s="24">
        <f>I733/F733</f>
        <v>0</v>
      </c>
      <c r="K733" s="116">
        <f>Overview!$H$68</f>
        <v>0</v>
      </c>
      <c r="L733" s="51" t="e">
        <f>(K733-J733)/K733</f>
        <v>#DIV/0!</v>
      </c>
      <c r="M733" s="179"/>
      <c r="N733" s="179" t="s">
        <v>982</v>
      </c>
      <c r="O733" s="141">
        <f>I733</f>
        <v>0</v>
      </c>
      <c r="P733" s="181" t="b">
        <f>COUNTIF('Facility Data'!$A$1:$A$1500,"*"&amp;A733&amp;"*")&gt;0</f>
        <v>1</v>
      </c>
      <c r="Q733" s="181" t="b">
        <f>COUNTIF('Account Data'!$A$1:$A$1000,"*"&amp;A733&amp;"*")&gt;0</f>
        <v>0</v>
      </c>
      <c r="R733" s="182" t="b">
        <f>IF(OR(P733=TRUE,T733=TRUE),TRUE,FALSE)</f>
        <v>1</v>
      </c>
      <c r="S733" s="182" t="b">
        <f>IF(OR(Q733=TRUE,T733=TRUE),TRUE,FALSE)</f>
        <v>0</v>
      </c>
      <c r="T733" s="181" t="b">
        <f>COUNTIF('New Items'!$A$1:$A$175,A733)&gt;0</f>
        <v>0</v>
      </c>
      <c r="U733" s="181" t="b">
        <f>COUNTIF(Discontinued!$A$1:$A$150,A733)&gt;0</f>
        <v>0</v>
      </c>
    </row>
    <row r="734" spans="1:21" s="8" customFormat="1" ht="12" thickBot="1" x14ac:dyDescent="0.25">
      <c r="A734" s="154">
        <v>10112795</v>
      </c>
      <c r="B734" s="10" t="s">
        <v>856</v>
      </c>
      <c r="C734" s="14" t="s">
        <v>803</v>
      </c>
      <c r="D734" s="35" t="s">
        <v>719</v>
      </c>
      <c r="E734" s="14" t="s">
        <v>779</v>
      </c>
      <c r="F734" s="13">
        <v>6</v>
      </c>
      <c r="G734" s="22">
        <f>Overview!$B$68</f>
        <v>48</v>
      </c>
      <c r="H734" s="23">
        <f>G734-I734</f>
        <v>48</v>
      </c>
      <c r="I734" s="114">
        <f>Overview!$E$68</f>
        <v>0</v>
      </c>
      <c r="J734" s="24">
        <f>I734/F734</f>
        <v>0</v>
      </c>
      <c r="K734" s="116">
        <f>Overview!$H$68</f>
        <v>0</v>
      </c>
      <c r="L734" s="51" t="e">
        <f>(K734-J734)/K734</f>
        <v>#DIV/0!</v>
      </c>
      <c r="M734" s="179"/>
      <c r="N734" s="179" t="s">
        <v>982</v>
      </c>
      <c r="O734" s="141">
        <f>I734</f>
        <v>0</v>
      </c>
      <c r="P734" s="181" t="b">
        <f>COUNTIF('Facility Data'!$A$1:$A$1500,"*"&amp;A734&amp;"*")&gt;0</f>
        <v>1</v>
      </c>
      <c r="Q734" s="181" t="b">
        <f>COUNTIF('Account Data'!$A$1:$A$1000,"*"&amp;A734&amp;"*")&gt;0</f>
        <v>0</v>
      </c>
      <c r="R734" s="182" t="b">
        <f>IF(OR(P734=TRUE,T734=TRUE),TRUE,FALSE)</f>
        <v>1</v>
      </c>
      <c r="S734" s="182" t="b">
        <f>IF(OR(Q734=TRUE,T734=TRUE),TRUE,FALSE)</f>
        <v>0</v>
      </c>
      <c r="T734" s="181" t="b">
        <f>COUNTIF('New Items'!$A$1:$A$175,A734)&gt;0</f>
        <v>0</v>
      </c>
      <c r="U734" s="181" t="b">
        <f>COUNTIF(Discontinued!$A$1:$A$150,A734)&gt;0</f>
        <v>0</v>
      </c>
    </row>
    <row r="735" spans="1:21" s="8" customFormat="1" ht="13.5" thickBot="1" x14ac:dyDescent="0.25">
      <c r="A735" s="300" t="s">
        <v>3486</v>
      </c>
      <c r="B735" s="301"/>
      <c r="C735" s="301"/>
      <c r="D735" s="301"/>
      <c r="E735" s="301"/>
      <c r="F735" s="301"/>
      <c r="G735" s="301"/>
      <c r="H735" s="301"/>
      <c r="I735" s="301"/>
      <c r="J735" s="301"/>
      <c r="K735" s="301"/>
      <c r="L735" s="302"/>
      <c r="M735" s="179"/>
      <c r="N735" s="179" t="s">
        <v>3487</v>
      </c>
      <c r="O735" s="141">
        <f>AVERAGE(O736:O739)</f>
        <v>0</v>
      </c>
      <c r="P735" s="181" t="b">
        <f>COUNTIF(P736:P739,TRUE)&gt;0</f>
        <v>1</v>
      </c>
      <c r="Q735" s="181" t="b">
        <f>COUNTIF(Q736:Q739,TRUE)&gt;0</f>
        <v>1</v>
      </c>
      <c r="R735" s="181" t="b">
        <f>COUNTIF(R736:R739,TRUE)&gt;0</f>
        <v>1</v>
      </c>
      <c r="S735" s="181" t="b">
        <f>COUNTIF(S736:S739,TRUE)&gt;0</f>
        <v>1</v>
      </c>
      <c r="T735" s="181" t="b">
        <f>COUNTIF(T736:T739,TRUE)&gt;0</f>
        <v>0</v>
      </c>
      <c r="U735" s="249"/>
    </row>
    <row r="736" spans="1:21" s="8" customFormat="1" ht="11.25" x14ac:dyDescent="0.2">
      <c r="A736" s="157">
        <v>10110053</v>
      </c>
      <c r="B736" s="82" t="s">
        <v>4052</v>
      </c>
      <c r="C736" s="83" t="s">
        <v>466</v>
      </c>
      <c r="D736" s="192" t="s">
        <v>712</v>
      </c>
      <c r="E736" s="83" t="s">
        <v>782</v>
      </c>
      <c r="F736" s="16">
        <v>12</v>
      </c>
      <c r="G736" s="85">
        <f>Overview!$B$81</f>
        <v>24</v>
      </c>
      <c r="H736" s="86">
        <f>G736-I736</f>
        <v>24</v>
      </c>
      <c r="I736" s="164">
        <f>Overview!$E$81</f>
        <v>0</v>
      </c>
      <c r="J736" s="87">
        <f>I736/F736</f>
        <v>0</v>
      </c>
      <c r="K736" s="165">
        <f>Overview!$H$81</f>
        <v>0</v>
      </c>
      <c r="L736" s="51" t="e">
        <f>(K736-J736)/K736</f>
        <v>#DIV/0!</v>
      </c>
      <c r="M736" s="179"/>
      <c r="N736" s="179" t="s">
        <v>3487</v>
      </c>
      <c r="O736" s="141">
        <f>I736</f>
        <v>0</v>
      </c>
      <c r="P736" s="181" t="b">
        <f>COUNTIF('Facility Data'!$A$1:$A$1500,"*"&amp;A736&amp;"*")&gt;0</f>
        <v>1</v>
      </c>
      <c r="Q736" s="181" t="b">
        <f>COUNTIF('Account Data'!$A$1:$A$1000,"*"&amp;A736&amp;"*")&gt;0</f>
        <v>1</v>
      </c>
      <c r="R736" s="182" t="b">
        <f>IF(OR(P736=TRUE,T736=TRUE),TRUE,FALSE)</f>
        <v>1</v>
      </c>
      <c r="S736" s="182" t="b">
        <f>IF(OR(Q736=TRUE,T736=TRUE),TRUE,FALSE)</f>
        <v>1</v>
      </c>
      <c r="T736" s="181" t="b">
        <f>COUNTIF('New Items'!$A$1:$A$175,A736)&gt;0</f>
        <v>0</v>
      </c>
      <c r="U736" s="181" t="b">
        <f>COUNTIF(Discontinued!$A$1:$A$150,A736)&gt;0</f>
        <v>0</v>
      </c>
    </row>
    <row r="737" spans="1:21" s="8" customFormat="1" ht="11.25" x14ac:dyDescent="0.2">
      <c r="A737" s="154">
        <v>10110032</v>
      </c>
      <c r="B737" s="10" t="s">
        <v>808</v>
      </c>
      <c r="C737" s="14" t="s">
        <v>468</v>
      </c>
      <c r="D737" s="49" t="s">
        <v>714</v>
      </c>
      <c r="E737" s="14" t="s">
        <v>782</v>
      </c>
      <c r="F737" s="13">
        <v>12</v>
      </c>
      <c r="G737" s="85">
        <f>Overview!$B$81</f>
        <v>24</v>
      </c>
      <c r="H737" s="23">
        <f>G737-I737</f>
        <v>24</v>
      </c>
      <c r="I737" s="164">
        <f>Overview!$E$81</f>
        <v>0</v>
      </c>
      <c r="J737" s="24">
        <f>I737/F737</f>
        <v>0</v>
      </c>
      <c r="K737" s="165">
        <f>Overview!$H$81</f>
        <v>0</v>
      </c>
      <c r="L737" s="51" t="e">
        <f>(K737-J737)/K737</f>
        <v>#DIV/0!</v>
      </c>
      <c r="M737" s="179"/>
      <c r="N737" s="179" t="s">
        <v>3487</v>
      </c>
      <c r="O737" s="141">
        <f>I737</f>
        <v>0</v>
      </c>
      <c r="P737" s="181" t="b">
        <f>COUNTIF('Facility Data'!$A$1:$A$1500,"*"&amp;A737&amp;"*")&gt;0</f>
        <v>1</v>
      </c>
      <c r="Q737" s="181" t="b">
        <f>COUNTIF('Account Data'!$A$1:$A$1000,"*"&amp;A737&amp;"*")&gt;0</f>
        <v>1</v>
      </c>
      <c r="R737" s="182" t="b">
        <f>IF(OR(P737=TRUE,T737=TRUE),TRUE,FALSE)</f>
        <v>1</v>
      </c>
      <c r="S737" s="182" t="b">
        <f>IF(OR(Q737=TRUE,T737=TRUE),TRUE,FALSE)</f>
        <v>1</v>
      </c>
      <c r="T737" s="181" t="b">
        <f>COUNTIF('New Items'!$A$1:$A$175,A737)&gt;0</f>
        <v>0</v>
      </c>
      <c r="U737" s="181" t="b">
        <f>COUNTIF(Discontinued!$A$1:$A$150,A737)&gt;0</f>
        <v>0</v>
      </c>
    </row>
    <row r="738" spans="1:21" s="8" customFormat="1" ht="11.25" x14ac:dyDescent="0.2">
      <c r="A738" s="154">
        <v>10110040</v>
      </c>
      <c r="B738" s="10" t="s">
        <v>4051</v>
      </c>
      <c r="C738" s="14" t="s">
        <v>467</v>
      </c>
      <c r="D738" s="32" t="s">
        <v>713</v>
      </c>
      <c r="E738" s="14" t="s">
        <v>782</v>
      </c>
      <c r="F738" s="13">
        <v>12</v>
      </c>
      <c r="G738" s="85">
        <f>Overview!$B$81</f>
        <v>24</v>
      </c>
      <c r="H738" s="23">
        <f>G738-I738</f>
        <v>24</v>
      </c>
      <c r="I738" s="164">
        <f>Overview!$E$81</f>
        <v>0</v>
      </c>
      <c r="J738" s="24">
        <f>I738/F738</f>
        <v>0</v>
      </c>
      <c r="K738" s="165">
        <f>Overview!$H$81</f>
        <v>0</v>
      </c>
      <c r="L738" s="51" t="e">
        <f>(K738-J738)/K738</f>
        <v>#DIV/0!</v>
      </c>
      <c r="M738" s="179"/>
      <c r="N738" s="179" t="s">
        <v>3487</v>
      </c>
      <c r="O738" s="141">
        <f>I738</f>
        <v>0</v>
      </c>
      <c r="P738" s="181" t="b">
        <f>COUNTIF('Facility Data'!$A$1:$A$1500,"*"&amp;A738&amp;"*")&gt;0</f>
        <v>1</v>
      </c>
      <c r="Q738" s="181" t="b">
        <f>COUNTIF('Account Data'!$A$1:$A$1000,"*"&amp;A738&amp;"*")&gt;0</f>
        <v>1</v>
      </c>
      <c r="R738" s="182" t="b">
        <f>IF(OR(P738=TRUE,T738=TRUE),TRUE,FALSE)</f>
        <v>1</v>
      </c>
      <c r="S738" s="182" t="b">
        <f>IF(OR(Q738=TRUE,T738=TRUE),TRUE,FALSE)</f>
        <v>1</v>
      </c>
      <c r="T738" s="181" t="b">
        <f>COUNTIF('New Items'!$A$1:$A$175,A738)&gt;0</f>
        <v>0</v>
      </c>
      <c r="U738" s="181" t="b">
        <f>COUNTIF(Discontinued!$A$1:$A$150,A738)&gt;0</f>
        <v>0</v>
      </c>
    </row>
    <row r="739" spans="1:21" s="8" customFormat="1" ht="12" thickBot="1" x14ac:dyDescent="0.25">
      <c r="A739" s="154">
        <v>10110009</v>
      </c>
      <c r="B739" s="10" t="s">
        <v>4050</v>
      </c>
      <c r="C739" s="14" t="s">
        <v>465</v>
      </c>
      <c r="D739" s="47" t="s">
        <v>711</v>
      </c>
      <c r="E739" s="14" t="s">
        <v>782</v>
      </c>
      <c r="F739" s="13">
        <v>12</v>
      </c>
      <c r="G739" s="85">
        <f>Overview!$B$81</f>
        <v>24</v>
      </c>
      <c r="H739" s="23">
        <f>G739-I739</f>
        <v>24</v>
      </c>
      <c r="I739" s="164">
        <f>Overview!$E$81</f>
        <v>0</v>
      </c>
      <c r="J739" s="24">
        <f>I739/F739</f>
        <v>0</v>
      </c>
      <c r="K739" s="165">
        <f>Overview!$H$81</f>
        <v>0</v>
      </c>
      <c r="L739" s="51" t="e">
        <f>(K739-J739)/K739</f>
        <v>#DIV/0!</v>
      </c>
      <c r="M739" s="179"/>
      <c r="N739" s="179" t="s">
        <v>3487</v>
      </c>
      <c r="O739" s="141">
        <f>I739</f>
        <v>0</v>
      </c>
      <c r="P739" s="181" t="b">
        <f>COUNTIF('Facility Data'!$A$1:$A$1500,"*"&amp;A739&amp;"*")&gt;0</f>
        <v>1</v>
      </c>
      <c r="Q739" s="181" t="b">
        <f>COUNTIF('Account Data'!$A$1:$A$1000,"*"&amp;A739&amp;"*")&gt;0</f>
        <v>1</v>
      </c>
      <c r="R739" s="182" t="b">
        <f>IF(OR(P739=TRUE,T739=TRUE),TRUE,FALSE)</f>
        <v>1</v>
      </c>
      <c r="S739" s="182" t="b">
        <f>IF(OR(Q739=TRUE,T739=TRUE),TRUE,FALSE)</f>
        <v>1</v>
      </c>
      <c r="T739" s="181" t="b">
        <f>COUNTIF('New Items'!$A$1:$A$175,A739)&gt;0</f>
        <v>0</v>
      </c>
      <c r="U739" s="181" t="b">
        <f>COUNTIF(Discontinued!$A$1:$A$150,A739)&gt;0</f>
        <v>0</v>
      </c>
    </row>
    <row r="740" spans="1:21" s="8" customFormat="1" ht="13.5" thickBot="1" x14ac:dyDescent="0.25">
      <c r="A740" s="300" t="s">
        <v>1002</v>
      </c>
      <c r="B740" s="301"/>
      <c r="C740" s="301"/>
      <c r="D740" s="301"/>
      <c r="E740" s="301"/>
      <c r="F740" s="301"/>
      <c r="G740" s="301"/>
      <c r="H740" s="301"/>
      <c r="I740" s="301"/>
      <c r="J740" s="301"/>
      <c r="K740" s="301"/>
      <c r="L740" s="302"/>
      <c r="M740" s="179"/>
      <c r="N740" s="179" t="s">
        <v>3174</v>
      </c>
      <c r="O740" s="141">
        <f>AVERAGE(O741:O745)</f>
        <v>0</v>
      </c>
      <c r="P740" s="181" t="b">
        <f>COUNTIF(P741:P745,TRUE)&gt;0</f>
        <v>1</v>
      </c>
      <c r="Q740" s="181" t="b">
        <f>COUNTIF(Q741:Q745,TRUE)&gt;0</f>
        <v>1</v>
      </c>
      <c r="R740" s="181" t="b">
        <f>COUNTIF(R741:R745,TRUE)&gt;0</f>
        <v>1</v>
      </c>
      <c r="S740" s="181" t="b">
        <f>COUNTIF(S741:S745,TRUE)&gt;0</f>
        <v>1</v>
      </c>
      <c r="T740" s="181" t="b">
        <f>COUNTIF(T741:T745,TRUE)&gt;0</f>
        <v>0</v>
      </c>
      <c r="U740" s="249"/>
    </row>
    <row r="741" spans="1:21" s="8" customFormat="1" ht="11.25" x14ac:dyDescent="0.2">
      <c r="A741" s="152">
        <v>10114956</v>
      </c>
      <c r="B741" s="10" t="s">
        <v>2690</v>
      </c>
      <c r="C741" s="118" t="s">
        <v>2691</v>
      </c>
      <c r="D741" s="119" t="s">
        <v>2692</v>
      </c>
      <c r="E741" s="118" t="s">
        <v>776</v>
      </c>
      <c r="F741" s="120">
        <v>4</v>
      </c>
      <c r="G741" s="22">
        <f>Overview!$B$55</f>
        <v>24</v>
      </c>
      <c r="H741" s="114">
        <f>G741-I741</f>
        <v>24</v>
      </c>
      <c r="I741" s="114">
        <f>Overview!$E$55</f>
        <v>0</v>
      </c>
      <c r="J741" s="115">
        <f>I741/F741</f>
        <v>0</v>
      </c>
      <c r="K741" s="116">
        <f>Overview!$H$55</f>
        <v>0</v>
      </c>
      <c r="L741" s="117" t="e">
        <f>(K741-J741)/K741</f>
        <v>#DIV/0!</v>
      </c>
      <c r="M741" s="179"/>
      <c r="N741" s="179" t="s">
        <v>3174</v>
      </c>
      <c r="O741" s="141">
        <f>I741</f>
        <v>0</v>
      </c>
      <c r="P741" s="181" t="b">
        <f>COUNTIF('Facility Data'!$A$1:$A$1500,"*"&amp;A741&amp;"*")&gt;0</f>
        <v>0</v>
      </c>
      <c r="Q741" s="181" t="b">
        <f>COUNTIF('Account Data'!$A$1:$A$1000,"*"&amp;A741&amp;"*")&gt;0</f>
        <v>0</v>
      </c>
      <c r="R741" s="182" t="b">
        <f>IF(OR(P741=TRUE,T741=TRUE),TRUE,FALSE)</f>
        <v>0</v>
      </c>
      <c r="S741" s="182" t="b">
        <f>IF(OR(Q741=TRUE,T741=TRUE),TRUE,FALSE)</f>
        <v>0</v>
      </c>
      <c r="T741" s="181" t="b">
        <f>COUNTIF('New Items'!$A$1:$A$175,A741)&gt;0</f>
        <v>0</v>
      </c>
      <c r="U741" s="181" t="b">
        <f>COUNTIF(Discontinued!$A$1:$A$150,A741)&gt;0</f>
        <v>0</v>
      </c>
    </row>
    <row r="742" spans="1:21" s="8" customFormat="1" ht="11.25" x14ac:dyDescent="0.2">
      <c r="A742" s="152">
        <v>10114955</v>
      </c>
      <c r="B742" s="10" t="s">
        <v>1005</v>
      </c>
      <c r="C742" s="118" t="s">
        <v>1009</v>
      </c>
      <c r="D742" s="119" t="s">
        <v>677</v>
      </c>
      <c r="E742" s="118" t="s">
        <v>776</v>
      </c>
      <c r="F742" s="120">
        <v>4</v>
      </c>
      <c r="G742" s="22">
        <f>Overview!$B$55</f>
        <v>24</v>
      </c>
      <c r="H742" s="114">
        <f>G742-I742</f>
        <v>24</v>
      </c>
      <c r="I742" s="114">
        <f>Overview!$E$55</f>
        <v>0</v>
      </c>
      <c r="J742" s="115">
        <f>I742/F742</f>
        <v>0</v>
      </c>
      <c r="K742" s="116">
        <f>Overview!$H$55</f>
        <v>0</v>
      </c>
      <c r="L742" s="117" t="e">
        <f>(K742-J742)/K742</f>
        <v>#DIV/0!</v>
      </c>
      <c r="M742" s="179"/>
      <c r="N742" s="179" t="s">
        <v>3174</v>
      </c>
      <c r="O742" s="141">
        <f>I742</f>
        <v>0</v>
      </c>
      <c r="P742" s="181" t="b">
        <f>COUNTIF('Facility Data'!$A$1:$A$1500,"*"&amp;A742&amp;"*")&gt;0</f>
        <v>1</v>
      </c>
      <c r="Q742" s="181" t="b">
        <f>COUNTIF('Account Data'!$A$1:$A$1000,"*"&amp;A742&amp;"*")&gt;0</f>
        <v>1</v>
      </c>
      <c r="R742" s="182" t="b">
        <f>IF(OR(P742=TRUE,T742=TRUE),TRUE,FALSE)</f>
        <v>1</v>
      </c>
      <c r="S742" s="182" t="b">
        <f>IF(OR(Q742=TRUE,T742=TRUE),TRUE,FALSE)</f>
        <v>1</v>
      </c>
      <c r="T742" s="181" t="b">
        <f>COUNTIF('New Items'!$A$1:$A$175,A742)&gt;0</f>
        <v>0</v>
      </c>
      <c r="U742" s="181" t="b">
        <f>COUNTIF(Discontinued!$A$1:$A$150,A742)&gt;0</f>
        <v>0</v>
      </c>
    </row>
    <row r="743" spans="1:21" s="8" customFormat="1" ht="11.25" x14ac:dyDescent="0.2">
      <c r="A743" s="152">
        <v>10114954</v>
      </c>
      <c r="B743" s="10" t="s">
        <v>1006</v>
      </c>
      <c r="C743" s="118" t="s">
        <v>1010</v>
      </c>
      <c r="D743" s="119" t="s">
        <v>652</v>
      </c>
      <c r="E743" s="118" t="s">
        <v>776</v>
      </c>
      <c r="F743" s="120">
        <v>4</v>
      </c>
      <c r="G743" s="22">
        <f>Overview!$B$55</f>
        <v>24</v>
      </c>
      <c r="H743" s="114">
        <f>G743-I743</f>
        <v>24</v>
      </c>
      <c r="I743" s="114">
        <f>Overview!$E$55</f>
        <v>0</v>
      </c>
      <c r="J743" s="115">
        <f>I743/F743</f>
        <v>0</v>
      </c>
      <c r="K743" s="116">
        <f>Overview!$H$55</f>
        <v>0</v>
      </c>
      <c r="L743" s="117" t="e">
        <f>(K743-J743)/K743</f>
        <v>#DIV/0!</v>
      </c>
      <c r="M743" s="179"/>
      <c r="N743" s="179" t="s">
        <v>3174</v>
      </c>
      <c r="O743" s="141">
        <f>I743</f>
        <v>0</v>
      </c>
      <c r="P743" s="181" t="b">
        <f>COUNTIF('Facility Data'!$A$1:$A$1500,"*"&amp;A743&amp;"*")&gt;0</f>
        <v>1</v>
      </c>
      <c r="Q743" s="181" t="b">
        <f>COUNTIF('Account Data'!$A$1:$A$1000,"*"&amp;A743&amp;"*")&gt;0</f>
        <v>1</v>
      </c>
      <c r="R743" s="182" t="b">
        <f>IF(OR(P743=TRUE,T743=TRUE),TRUE,FALSE)</f>
        <v>1</v>
      </c>
      <c r="S743" s="182" t="b">
        <f>IF(OR(Q743=TRUE,T743=TRUE),TRUE,FALSE)</f>
        <v>1</v>
      </c>
      <c r="T743" s="181" t="b">
        <f>COUNTIF('New Items'!$A$1:$A$175,A743)&gt;0</f>
        <v>0</v>
      </c>
      <c r="U743" s="181" t="b">
        <f>COUNTIF(Discontinued!$A$1:$A$150,A743)&gt;0</f>
        <v>0</v>
      </c>
    </row>
    <row r="744" spans="1:21" s="8" customFormat="1" ht="11.25" x14ac:dyDescent="0.2">
      <c r="A744" s="152">
        <v>10114958</v>
      </c>
      <c r="B744" s="10" t="s">
        <v>1003</v>
      </c>
      <c r="C744" s="118" t="s">
        <v>1007</v>
      </c>
      <c r="D744" s="119" t="s">
        <v>675</v>
      </c>
      <c r="E744" s="118" t="s">
        <v>776</v>
      </c>
      <c r="F744" s="120">
        <v>4</v>
      </c>
      <c r="G744" s="22">
        <f>Overview!$B$55</f>
        <v>24</v>
      </c>
      <c r="H744" s="23">
        <f>G744-I744</f>
        <v>24</v>
      </c>
      <c r="I744" s="114">
        <f>Overview!$E$55</f>
        <v>0</v>
      </c>
      <c r="J744" s="24">
        <f>I744/F744</f>
        <v>0</v>
      </c>
      <c r="K744" s="116">
        <f>Overview!$H$55</f>
        <v>0</v>
      </c>
      <c r="L744" s="51" t="e">
        <f>(K744-J744)/K744</f>
        <v>#DIV/0!</v>
      </c>
      <c r="M744" s="179"/>
      <c r="N744" s="179" t="s">
        <v>3174</v>
      </c>
      <c r="O744" s="141">
        <f>I744</f>
        <v>0</v>
      </c>
      <c r="P744" s="181" t="b">
        <f>COUNTIF('Facility Data'!$A$1:$A$1500,"*"&amp;A744&amp;"*")&gt;0</f>
        <v>1</v>
      </c>
      <c r="Q744" s="181" t="b">
        <f>COUNTIF('Account Data'!$A$1:$A$1000,"*"&amp;A744&amp;"*")&gt;0</f>
        <v>1</v>
      </c>
      <c r="R744" s="182" t="b">
        <f>IF(OR(P744=TRUE,T744=TRUE),TRUE,FALSE)</f>
        <v>1</v>
      </c>
      <c r="S744" s="182" t="b">
        <f>IF(OR(Q744=TRUE,T744=TRUE),TRUE,FALSE)</f>
        <v>1</v>
      </c>
      <c r="T744" s="181" t="b">
        <f>COUNTIF('New Items'!$A$1:$A$175,A744)&gt;0</f>
        <v>0</v>
      </c>
      <c r="U744" s="181" t="b">
        <f>COUNTIF(Discontinued!$A$1:$A$150,A744)&gt;0</f>
        <v>0</v>
      </c>
    </row>
    <row r="745" spans="1:21" s="8" customFormat="1" ht="12" thickBot="1" x14ac:dyDescent="0.25">
      <c r="A745" s="152">
        <v>10114953</v>
      </c>
      <c r="B745" s="10" t="s">
        <v>1004</v>
      </c>
      <c r="C745" s="118" t="s">
        <v>1008</v>
      </c>
      <c r="D745" s="119" t="s">
        <v>676</v>
      </c>
      <c r="E745" s="118" t="s">
        <v>776</v>
      </c>
      <c r="F745" s="120">
        <v>4</v>
      </c>
      <c r="G745" s="22">
        <f>Overview!$B$55</f>
        <v>24</v>
      </c>
      <c r="H745" s="114">
        <f>G745-I745</f>
        <v>24</v>
      </c>
      <c r="I745" s="114">
        <f>Overview!$E$55</f>
        <v>0</v>
      </c>
      <c r="J745" s="115">
        <f>I745/F745</f>
        <v>0</v>
      </c>
      <c r="K745" s="116">
        <f>Overview!$H$55</f>
        <v>0</v>
      </c>
      <c r="L745" s="117" t="e">
        <f>(K745-J745)/K745</f>
        <v>#DIV/0!</v>
      </c>
      <c r="M745" s="179"/>
      <c r="N745" s="179" t="s">
        <v>3174</v>
      </c>
      <c r="O745" s="141">
        <f>I745</f>
        <v>0</v>
      </c>
      <c r="P745" s="181" t="b">
        <f>COUNTIF('Facility Data'!$A$1:$A$1500,"*"&amp;A745&amp;"*")&gt;0</f>
        <v>0</v>
      </c>
      <c r="Q745" s="181" t="b">
        <f>COUNTIF('Account Data'!$A$1:$A$1000,"*"&amp;A745&amp;"*")&gt;0</f>
        <v>1</v>
      </c>
      <c r="R745" s="182" t="b">
        <f>IF(OR(P745=TRUE,T745=TRUE),TRUE,FALSE)</f>
        <v>0</v>
      </c>
      <c r="S745" s="182" t="b">
        <f>IF(OR(Q745=TRUE,T745=TRUE),TRUE,FALSE)</f>
        <v>1</v>
      </c>
      <c r="T745" s="181" t="b">
        <f>COUNTIF('New Items'!$A$1:$A$175,A745)&gt;0</f>
        <v>0</v>
      </c>
      <c r="U745" s="181" t="b">
        <f>COUNTIF(Discontinued!$A$1:$A$150,A745)&gt;0</f>
        <v>0</v>
      </c>
    </row>
    <row r="746" spans="1:21" s="8" customFormat="1" ht="13.5" thickBot="1" x14ac:dyDescent="0.25">
      <c r="A746" s="300" t="s">
        <v>2917</v>
      </c>
      <c r="B746" s="301"/>
      <c r="C746" s="301"/>
      <c r="D746" s="301"/>
      <c r="E746" s="301"/>
      <c r="F746" s="301"/>
      <c r="G746" s="301"/>
      <c r="H746" s="301"/>
      <c r="I746" s="301"/>
      <c r="J746" s="301"/>
      <c r="K746" s="301"/>
      <c r="L746" s="302"/>
      <c r="M746" s="179"/>
      <c r="N746" s="179" t="s">
        <v>3175</v>
      </c>
      <c r="O746" s="141">
        <f>AVERAGE(O747:O752)</f>
        <v>0</v>
      </c>
      <c r="P746" s="181" t="b">
        <f>COUNTIF(P747:P752,TRUE)&gt;0</f>
        <v>0</v>
      </c>
      <c r="Q746" s="181" t="b">
        <f>COUNTIF(Q747:Q752,TRUE)&gt;0</f>
        <v>1</v>
      </c>
      <c r="R746" s="181" t="b">
        <f>COUNTIF(R747:R752,TRUE)&gt;0</f>
        <v>0</v>
      </c>
      <c r="S746" s="181" t="b">
        <f>COUNTIF(S747:S752,TRUE)&gt;0</f>
        <v>1</v>
      </c>
      <c r="T746" s="181" t="b">
        <f>COUNTIF(T747:T752,TRUE)&gt;0</f>
        <v>0</v>
      </c>
      <c r="U746" s="249"/>
    </row>
    <row r="747" spans="1:21" s="8" customFormat="1" ht="11.25" x14ac:dyDescent="0.2">
      <c r="A747" s="152">
        <v>10003026</v>
      </c>
      <c r="B747" s="10" t="s">
        <v>2925</v>
      </c>
      <c r="C747" s="118" t="s">
        <v>2926</v>
      </c>
      <c r="D747" s="119" t="s">
        <v>2692</v>
      </c>
      <c r="E747" s="118" t="s">
        <v>776</v>
      </c>
      <c r="F747" s="120">
        <v>4</v>
      </c>
      <c r="G747" s="22">
        <f>Overview!$B$56</f>
        <v>24</v>
      </c>
      <c r="H747" s="114">
        <f t="shared" ref="H747:H752" si="252">G747-I747</f>
        <v>24</v>
      </c>
      <c r="I747" s="114">
        <f>Overview!$E$56</f>
        <v>0</v>
      </c>
      <c r="J747" s="115">
        <f t="shared" ref="J747:J752" si="253">I747/F747</f>
        <v>0</v>
      </c>
      <c r="K747" s="116">
        <f>Overview!$H$56</f>
        <v>0</v>
      </c>
      <c r="L747" s="117" t="e">
        <f t="shared" ref="L747:L752" si="254">(K747-J747)/K747</f>
        <v>#DIV/0!</v>
      </c>
      <c r="M747" s="179"/>
      <c r="N747" s="179" t="s">
        <v>3175</v>
      </c>
      <c r="O747" s="141">
        <f t="shared" ref="O747:O752" si="255">I747</f>
        <v>0</v>
      </c>
      <c r="P747" s="181" t="b">
        <f>COUNTIF('Facility Data'!$A$1:$A$1500,"*"&amp;A747&amp;"*")&gt;0</f>
        <v>0</v>
      </c>
      <c r="Q747" s="181" t="b">
        <f>COUNTIF('Account Data'!$A$1:$A$1000,"*"&amp;A747&amp;"*")&gt;0</f>
        <v>0</v>
      </c>
      <c r="R747" s="182" t="b">
        <f t="shared" ref="R747:R752" si="256">IF(OR(P747=TRUE,T747=TRUE),TRUE,FALSE)</f>
        <v>0</v>
      </c>
      <c r="S747" s="182" t="b">
        <f t="shared" ref="S747:S752" si="257">IF(OR(Q747=TRUE,T747=TRUE),TRUE,FALSE)</f>
        <v>0</v>
      </c>
      <c r="T747" s="181" t="b">
        <f>COUNTIF('New Items'!$A$1:$A$175,A747)&gt;0</f>
        <v>0</v>
      </c>
      <c r="U747" s="181" t="b">
        <f>COUNTIF(Discontinued!$A$1:$A$150,A747)&gt;0</f>
        <v>0</v>
      </c>
    </row>
    <row r="748" spans="1:21" s="8" customFormat="1" ht="11.25" x14ac:dyDescent="0.2">
      <c r="A748" s="152">
        <v>10000758</v>
      </c>
      <c r="B748" s="10" t="s">
        <v>2921</v>
      </c>
      <c r="C748" s="118" t="s">
        <v>2922</v>
      </c>
      <c r="D748" s="119" t="s">
        <v>677</v>
      </c>
      <c r="E748" s="118" t="s">
        <v>776</v>
      </c>
      <c r="F748" s="120">
        <v>4</v>
      </c>
      <c r="G748" s="22">
        <f>Overview!$B$56</f>
        <v>24</v>
      </c>
      <c r="H748" s="114">
        <f t="shared" si="252"/>
        <v>24</v>
      </c>
      <c r="I748" s="114">
        <f>Overview!$E$56</f>
        <v>0</v>
      </c>
      <c r="J748" s="115">
        <f t="shared" si="253"/>
        <v>0</v>
      </c>
      <c r="K748" s="116">
        <f>Overview!$H$56</f>
        <v>0</v>
      </c>
      <c r="L748" s="117" t="e">
        <f t="shared" si="254"/>
        <v>#DIV/0!</v>
      </c>
      <c r="M748" s="179"/>
      <c r="N748" s="179" t="s">
        <v>3175</v>
      </c>
      <c r="O748" s="141">
        <f t="shared" si="255"/>
        <v>0</v>
      </c>
      <c r="P748" s="181" t="b">
        <f>COUNTIF('Facility Data'!$A$1:$A$1500,"*"&amp;A748&amp;"*")&gt;0</f>
        <v>0</v>
      </c>
      <c r="Q748" s="181" t="b">
        <f>COUNTIF('Account Data'!$A$1:$A$1000,"*"&amp;A748&amp;"*")&gt;0</f>
        <v>1</v>
      </c>
      <c r="R748" s="182" t="b">
        <f t="shared" si="256"/>
        <v>0</v>
      </c>
      <c r="S748" s="182" t="b">
        <f t="shared" si="257"/>
        <v>1</v>
      </c>
      <c r="T748" s="181" t="b">
        <f>COUNTIF('New Items'!$A$1:$A$175,A748)&gt;0</f>
        <v>0</v>
      </c>
      <c r="U748" s="181" t="b">
        <f>COUNTIF(Discontinued!$A$1:$A$150,A748)&gt;0</f>
        <v>0</v>
      </c>
    </row>
    <row r="749" spans="1:21" s="8" customFormat="1" ht="11.25" x14ac:dyDescent="0.2">
      <c r="A749" s="152">
        <v>10000757</v>
      </c>
      <c r="B749" s="10" t="s">
        <v>2923</v>
      </c>
      <c r="C749" s="118" t="s">
        <v>2924</v>
      </c>
      <c r="D749" s="119" t="s">
        <v>652</v>
      </c>
      <c r="E749" s="118" t="s">
        <v>776</v>
      </c>
      <c r="F749" s="120">
        <v>4</v>
      </c>
      <c r="G749" s="22">
        <f>Overview!$B$56</f>
        <v>24</v>
      </c>
      <c r="H749" s="114">
        <f t="shared" si="252"/>
        <v>24</v>
      </c>
      <c r="I749" s="114">
        <f>Overview!$E$56</f>
        <v>0</v>
      </c>
      <c r="J749" s="115">
        <f t="shared" si="253"/>
        <v>0</v>
      </c>
      <c r="K749" s="116">
        <f>Overview!$H$56</f>
        <v>0</v>
      </c>
      <c r="L749" s="117" t="e">
        <f t="shared" si="254"/>
        <v>#DIV/0!</v>
      </c>
      <c r="M749" s="179"/>
      <c r="N749" s="179" t="s">
        <v>3175</v>
      </c>
      <c r="O749" s="141">
        <f t="shared" si="255"/>
        <v>0</v>
      </c>
      <c r="P749" s="181" t="b">
        <f>COUNTIF('Facility Data'!$A$1:$A$1500,"*"&amp;A749&amp;"*")&gt;0</f>
        <v>0</v>
      </c>
      <c r="Q749" s="181" t="b">
        <f>COUNTIF('Account Data'!$A$1:$A$1000,"*"&amp;A749&amp;"*")&gt;0</f>
        <v>1</v>
      </c>
      <c r="R749" s="182" t="b">
        <f t="shared" si="256"/>
        <v>0</v>
      </c>
      <c r="S749" s="182" t="b">
        <f t="shared" si="257"/>
        <v>1</v>
      </c>
      <c r="T749" s="181" t="b">
        <f>COUNTIF('New Items'!$A$1:$A$175,A749)&gt;0</f>
        <v>0</v>
      </c>
      <c r="U749" s="181" t="b">
        <f>COUNTIF(Discontinued!$A$1:$A$150,A749)&gt;0</f>
        <v>0</v>
      </c>
    </row>
    <row r="750" spans="1:21" s="8" customFormat="1" ht="11.25" x14ac:dyDescent="0.2">
      <c r="A750" s="152">
        <v>10000004</v>
      </c>
      <c r="B750" s="10" t="s">
        <v>2927</v>
      </c>
      <c r="C750" s="118" t="s">
        <v>2928</v>
      </c>
      <c r="D750" s="119" t="s">
        <v>668</v>
      </c>
      <c r="E750" s="118" t="s">
        <v>776</v>
      </c>
      <c r="F750" s="120">
        <v>4</v>
      </c>
      <c r="G750" s="22">
        <f>Overview!$B$56</f>
        <v>24</v>
      </c>
      <c r="H750" s="114">
        <f t="shared" si="252"/>
        <v>24</v>
      </c>
      <c r="I750" s="114">
        <f>Overview!$E$56</f>
        <v>0</v>
      </c>
      <c r="J750" s="115">
        <f t="shared" si="253"/>
        <v>0</v>
      </c>
      <c r="K750" s="116">
        <f>Overview!$H$56</f>
        <v>0</v>
      </c>
      <c r="L750" s="117" t="e">
        <f t="shared" si="254"/>
        <v>#DIV/0!</v>
      </c>
      <c r="M750" s="179"/>
      <c r="N750" s="179" t="s">
        <v>3175</v>
      </c>
      <c r="O750" s="141">
        <f t="shared" si="255"/>
        <v>0</v>
      </c>
      <c r="P750" s="181" t="b">
        <f>COUNTIF('Facility Data'!$A$1:$A$1500,"*"&amp;A750&amp;"*")&gt;0</f>
        <v>0</v>
      </c>
      <c r="Q750" s="181" t="b">
        <f>COUNTIF('Account Data'!$A$1:$A$1000,"*"&amp;A750&amp;"*")&gt;0</f>
        <v>0</v>
      </c>
      <c r="R750" s="182" t="b">
        <f t="shared" si="256"/>
        <v>0</v>
      </c>
      <c r="S750" s="182" t="b">
        <f t="shared" si="257"/>
        <v>0</v>
      </c>
      <c r="T750" s="181" t="b">
        <f>COUNTIF('New Items'!$A$1:$A$175,A750)&gt;0</f>
        <v>0</v>
      </c>
      <c r="U750" s="181" t="b">
        <f>COUNTIF(Discontinued!$A$1:$A$150,A750)&gt;0</f>
        <v>0</v>
      </c>
    </row>
    <row r="751" spans="1:21" s="8" customFormat="1" ht="11.25" x14ac:dyDescent="0.2">
      <c r="A751" s="152">
        <v>10000755</v>
      </c>
      <c r="B751" s="10" t="s">
        <v>2260</v>
      </c>
      <c r="C751" s="118" t="s">
        <v>2918</v>
      </c>
      <c r="D751" s="119" t="s">
        <v>675</v>
      </c>
      <c r="E751" s="118" t="s">
        <v>776</v>
      </c>
      <c r="F751" s="120">
        <v>4</v>
      </c>
      <c r="G751" s="22">
        <f>Overview!$B$56</f>
        <v>24</v>
      </c>
      <c r="H751" s="114">
        <f t="shared" si="252"/>
        <v>24</v>
      </c>
      <c r="I751" s="114">
        <f>Overview!$E$56</f>
        <v>0</v>
      </c>
      <c r="J751" s="115">
        <f t="shared" si="253"/>
        <v>0</v>
      </c>
      <c r="K751" s="116">
        <f>Overview!$H$56</f>
        <v>0</v>
      </c>
      <c r="L751" s="117" t="e">
        <f t="shared" si="254"/>
        <v>#DIV/0!</v>
      </c>
      <c r="M751" s="179"/>
      <c r="N751" s="179" t="s">
        <v>3175</v>
      </c>
      <c r="O751" s="141">
        <f t="shared" si="255"/>
        <v>0</v>
      </c>
      <c r="P751" s="181" t="b">
        <f>COUNTIF('Facility Data'!$A$1:$A$1500,"*"&amp;A751&amp;"*")&gt;0</f>
        <v>0</v>
      </c>
      <c r="Q751" s="181" t="b">
        <f>COUNTIF('Account Data'!$A$1:$A$1000,"*"&amp;A751&amp;"*")&gt;0</f>
        <v>1</v>
      </c>
      <c r="R751" s="182" t="b">
        <f t="shared" si="256"/>
        <v>0</v>
      </c>
      <c r="S751" s="182" t="b">
        <f t="shared" si="257"/>
        <v>1</v>
      </c>
      <c r="T751" s="181" t="b">
        <f>COUNTIF('New Items'!$A$1:$A$175,A751)&gt;0</f>
        <v>0</v>
      </c>
      <c r="U751" s="181" t="b">
        <f>COUNTIF(Discontinued!$A$1:$A$150,A751)&gt;0</f>
        <v>0</v>
      </c>
    </row>
    <row r="752" spans="1:21" s="8" customFormat="1" ht="12" thickBot="1" x14ac:dyDescent="0.25">
      <c r="A752" s="152">
        <v>10000756</v>
      </c>
      <c r="B752" s="10" t="s">
        <v>2919</v>
      </c>
      <c r="C752" s="118" t="s">
        <v>2920</v>
      </c>
      <c r="D752" s="119" t="s">
        <v>676</v>
      </c>
      <c r="E752" s="118" t="s">
        <v>776</v>
      </c>
      <c r="F752" s="120">
        <v>4</v>
      </c>
      <c r="G752" s="22">
        <f>Overview!$B$56</f>
        <v>24</v>
      </c>
      <c r="H752" s="114">
        <f t="shared" si="252"/>
        <v>24</v>
      </c>
      <c r="I752" s="114">
        <f>Overview!$E$56</f>
        <v>0</v>
      </c>
      <c r="J752" s="115">
        <f t="shared" si="253"/>
        <v>0</v>
      </c>
      <c r="K752" s="116">
        <f>Overview!$H$56</f>
        <v>0</v>
      </c>
      <c r="L752" s="117" t="e">
        <f t="shared" si="254"/>
        <v>#DIV/0!</v>
      </c>
      <c r="M752" s="179"/>
      <c r="N752" s="179" t="s">
        <v>3175</v>
      </c>
      <c r="O752" s="141">
        <f t="shared" si="255"/>
        <v>0</v>
      </c>
      <c r="P752" s="181" t="b">
        <f>COUNTIF('Facility Data'!$A$1:$A$1500,"*"&amp;A752&amp;"*")&gt;0</f>
        <v>0</v>
      </c>
      <c r="Q752" s="181" t="b">
        <f>COUNTIF('Account Data'!$A$1:$A$1000,"*"&amp;A752&amp;"*")&gt;0</f>
        <v>1</v>
      </c>
      <c r="R752" s="182" t="b">
        <f t="shared" si="256"/>
        <v>0</v>
      </c>
      <c r="S752" s="182" t="b">
        <f t="shared" si="257"/>
        <v>1</v>
      </c>
      <c r="T752" s="181" t="b">
        <f>COUNTIF('New Items'!$A$1:$A$175,A752)&gt;0</f>
        <v>0</v>
      </c>
      <c r="U752" s="181" t="b">
        <f>COUNTIF(Discontinued!$A$1:$A$150,A752)&gt;0</f>
        <v>0</v>
      </c>
    </row>
    <row r="753" spans="1:21" s="8" customFormat="1" ht="13.5" thickBot="1" x14ac:dyDescent="0.25">
      <c r="A753" s="300" t="s">
        <v>3166</v>
      </c>
      <c r="B753" s="301"/>
      <c r="C753" s="301"/>
      <c r="D753" s="301"/>
      <c r="E753" s="301"/>
      <c r="F753" s="301"/>
      <c r="G753" s="301"/>
      <c r="H753" s="301"/>
      <c r="I753" s="301"/>
      <c r="J753" s="301"/>
      <c r="K753" s="301"/>
      <c r="L753" s="302"/>
      <c r="M753" s="179"/>
      <c r="N753" s="179" t="s">
        <v>3173</v>
      </c>
      <c r="O753" s="141">
        <f>AVERAGE(O754:O758)</f>
        <v>0</v>
      </c>
      <c r="P753" s="181" t="b">
        <f>COUNTIF(P754:P758,TRUE)&gt;0</f>
        <v>0</v>
      </c>
      <c r="Q753" s="181" t="b">
        <f>COUNTIF(Q754:Q758,TRUE)&gt;0</f>
        <v>0</v>
      </c>
      <c r="R753" s="181" t="b">
        <f>COUNTIF(R754:R758,TRUE)&gt;0</f>
        <v>0</v>
      </c>
      <c r="S753" s="181" t="b">
        <f>COUNTIF(S754:S758,TRUE)&gt;0</f>
        <v>0</v>
      </c>
      <c r="T753" s="181" t="b">
        <f>COUNTIF(T754:T758,TRUE)&gt;0</f>
        <v>0</v>
      </c>
      <c r="U753" s="249"/>
    </row>
    <row r="754" spans="1:21" s="8" customFormat="1" ht="11.25" x14ac:dyDescent="0.2">
      <c r="A754" s="152">
        <v>10003027</v>
      </c>
      <c r="B754" s="10" t="s">
        <v>2940</v>
      </c>
      <c r="C754" s="12" t="s">
        <v>360</v>
      </c>
      <c r="D754" s="11" t="s">
        <v>677</v>
      </c>
      <c r="E754" s="12" t="s">
        <v>761</v>
      </c>
      <c r="F754" s="13">
        <v>12</v>
      </c>
      <c r="G754" s="22">
        <f>Overview!$B$58</f>
        <v>18.5</v>
      </c>
      <c r="H754" s="23">
        <f>G754-I754</f>
        <v>18.5</v>
      </c>
      <c r="I754" s="114">
        <f>Overview!$E$58</f>
        <v>0</v>
      </c>
      <c r="J754" s="24">
        <f>I754/F754</f>
        <v>0</v>
      </c>
      <c r="K754" s="116">
        <f>Overview!$H$58</f>
        <v>0</v>
      </c>
      <c r="L754" s="51" t="e">
        <f>(K754-J754)/K754</f>
        <v>#DIV/0!</v>
      </c>
      <c r="M754" s="179"/>
      <c r="N754" s="179" t="s">
        <v>3173</v>
      </c>
      <c r="O754" s="141">
        <f>I754</f>
        <v>0</v>
      </c>
      <c r="P754" s="181" t="b">
        <f>COUNTIF('Facility Data'!$A$1:$A$1500,"*"&amp;A754&amp;"*")&gt;0</f>
        <v>0</v>
      </c>
      <c r="Q754" s="181" t="b">
        <f>COUNTIF('Account Data'!$A$1:$A$1000,"*"&amp;A754&amp;"*")&gt;0</f>
        <v>0</v>
      </c>
      <c r="R754" s="182" t="b">
        <f>IF(OR(P754=TRUE,T754=TRUE),TRUE,FALSE)</f>
        <v>0</v>
      </c>
      <c r="S754" s="182" t="b">
        <f>IF(OR(Q754=TRUE,T754=TRUE),TRUE,FALSE)</f>
        <v>0</v>
      </c>
      <c r="T754" s="181" t="b">
        <f>COUNTIF('New Items'!$A$1:$A$175,A754)&gt;0</f>
        <v>0</v>
      </c>
      <c r="U754" s="181" t="b">
        <f>COUNTIF(Discontinued!$A$1:$A$150,A754)&gt;0</f>
        <v>0</v>
      </c>
    </row>
    <row r="755" spans="1:21" s="8" customFormat="1" ht="11.25" x14ac:dyDescent="0.2">
      <c r="A755" s="152">
        <v>10003030</v>
      </c>
      <c r="B755" s="10" t="s">
        <v>2935</v>
      </c>
      <c r="C755" s="12" t="s">
        <v>204</v>
      </c>
      <c r="D755" s="11" t="s">
        <v>652</v>
      </c>
      <c r="E755" s="12" t="s">
        <v>761</v>
      </c>
      <c r="F755" s="13">
        <v>12</v>
      </c>
      <c r="G755" s="22">
        <f>Overview!$B$58</f>
        <v>18.5</v>
      </c>
      <c r="H755" s="23">
        <f>G755-I755</f>
        <v>18.5</v>
      </c>
      <c r="I755" s="114">
        <f>Overview!$E$58</f>
        <v>0</v>
      </c>
      <c r="J755" s="24">
        <f>I755/F755</f>
        <v>0</v>
      </c>
      <c r="K755" s="116">
        <f>Overview!$H$58</f>
        <v>0</v>
      </c>
      <c r="L755" s="51" t="e">
        <f>(K755-J755)/K755</f>
        <v>#DIV/0!</v>
      </c>
      <c r="M755" s="179"/>
      <c r="N755" s="179" t="s">
        <v>3173</v>
      </c>
      <c r="O755" s="141">
        <f>I755</f>
        <v>0</v>
      </c>
      <c r="P755" s="181" t="b">
        <f>COUNTIF('Facility Data'!$A$1:$A$1500,"*"&amp;A755&amp;"*")&gt;0</f>
        <v>0</v>
      </c>
      <c r="Q755" s="181" t="b">
        <f>COUNTIF('Account Data'!$A$1:$A$1000,"*"&amp;A755&amp;"*")&gt;0</f>
        <v>0</v>
      </c>
      <c r="R755" s="182" t="b">
        <f>IF(OR(P755=TRUE,T755=TRUE),TRUE,FALSE)</f>
        <v>0</v>
      </c>
      <c r="S755" s="182" t="b">
        <f>IF(OR(Q755=TRUE,T755=TRUE),TRUE,FALSE)</f>
        <v>0</v>
      </c>
      <c r="T755" s="181" t="b">
        <f>COUNTIF('New Items'!$A$1:$A$175,A755)&gt;0</f>
        <v>0</v>
      </c>
      <c r="U755" s="181" t="b">
        <f>COUNTIF(Discontinued!$A$1:$A$150,A755)&gt;0</f>
        <v>0</v>
      </c>
    </row>
    <row r="756" spans="1:21" s="8" customFormat="1" ht="11.25" x14ac:dyDescent="0.2">
      <c r="A756" s="152">
        <v>10003036</v>
      </c>
      <c r="B756" s="10" t="s">
        <v>2938</v>
      </c>
      <c r="C756" s="12" t="s">
        <v>356</v>
      </c>
      <c r="D756" s="11" t="s">
        <v>675</v>
      </c>
      <c r="E756" s="12" t="s">
        <v>761</v>
      </c>
      <c r="F756" s="13">
        <v>12</v>
      </c>
      <c r="G756" s="22">
        <f>Overview!$B$58</f>
        <v>18.5</v>
      </c>
      <c r="H756" s="23">
        <f>G756-I756</f>
        <v>18.5</v>
      </c>
      <c r="I756" s="114">
        <f>Overview!$E$58</f>
        <v>0</v>
      </c>
      <c r="J756" s="24">
        <f>I756/F756</f>
        <v>0</v>
      </c>
      <c r="K756" s="116">
        <f>Overview!$H$58</f>
        <v>0</v>
      </c>
      <c r="L756" s="51" t="e">
        <f>(K756-J756)/K756</f>
        <v>#DIV/0!</v>
      </c>
      <c r="M756" s="179"/>
      <c r="N756" s="179" t="s">
        <v>3173</v>
      </c>
      <c r="O756" s="141">
        <f>I756</f>
        <v>0</v>
      </c>
      <c r="P756" s="181" t="b">
        <f>COUNTIF('Facility Data'!$A$1:$A$1500,"*"&amp;A756&amp;"*")&gt;0</f>
        <v>0</v>
      </c>
      <c r="Q756" s="181" t="b">
        <f>COUNTIF('Account Data'!$A$1:$A$1000,"*"&amp;A756&amp;"*")&gt;0</f>
        <v>0</v>
      </c>
      <c r="R756" s="182" t="b">
        <f>IF(OR(P756=TRUE,T756=TRUE),TRUE,FALSE)</f>
        <v>0</v>
      </c>
      <c r="S756" s="182" t="b">
        <f>IF(OR(Q756=TRUE,T756=TRUE),TRUE,FALSE)</f>
        <v>0</v>
      </c>
      <c r="T756" s="181" t="b">
        <f>COUNTIF('New Items'!$A$1:$A$175,A756)&gt;0</f>
        <v>0</v>
      </c>
      <c r="U756" s="181" t="b">
        <f>COUNTIF(Discontinued!$A$1:$A$150,A756)&gt;0</f>
        <v>0</v>
      </c>
    </row>
    <row r="757" spans="1:21" s="8" customFormat="1" ht="11.25" x14ac:dyDescent="0.2">
      <c r="A757" s="152">
        <v>10004677</v>
      </c>
      <c r="B757" s="10" t="s">
        <v>2936</v>
      </c>
      <c r="C757" s="12" t="s">
        <v>2937</v>
      </c>
      <c r="D757" s="11" t="s">
        <v>661</v>
      </c>
      <c r="E757" s="12" t="s">
        <v>761</v>
      </c>
      <c r="F757" s="13">
        <v>12</v>
      </c>
      <c r="G757" s="22">
        <f>Overview!$B$58</f>
        <v>18.5</v>
      </c>
      <c r="H757" s="23">
        <f>G757-I757</f>
        <v>18.5</v>
      </c>
      <c r="I757" s="114">
        <f>Overview!$E$58</f>
        <v>0</v>
      </c>
      <c r="J757" s="24">
        <f>I757/F757</f>
        <v>0</v>
      </c>
      <c r="K757" s="116">
        <f>Overview!$H$58</f>
        <v>0</v>
      </c>
      <c r="L757" s="51" t="e">
        <f>(K757-J757)/K757</f>
        <v>#DIV/0!</v>
      </c>
      <c r="M757" s="179"/>
      <c r="N757" s="179" t="s">
        <v>3173</v>
      </c>
      <c r="O757" s="141">
        <f>I757</f>
        <v>0</v>
      </c>
      <c r="P757" s="181" t="b">
        <f>COUNTIF('Facility Data'!$A$1:$A$1500,"*"&amp;A757&amp;"*")&gt;0</f>
        <v>0</v>
      </c>
      <c r="Q757" s="181" t="b">
        <f>COUNTIF('Account Data'!$A$1:$A$1000,"*"&amp;A757&amp;"*")&gt;0</f>
        <v>0</v>
      </c>
      <c r="R757" s="182" t="b">
        <f>IF(OR(P757=TRUE,T757=TRUE),TRUE,FALSE)</f>
        <v>0</v>
      </c>
      <c r="S757" s="182" t="b">
        <f>IF(OR(Q757=TRUE,T757=TRUE),TRUE,FALSE)</f>
        <v>0</v>
      </c>
      <c r="T757" s="181" t="b">
        <f>COUNTIF('New Items'!$A$1:$A$175,A757)&gt;0</f>
        <v>0</v>
      </c>
      <c r="U757" s="181" t="b">
        <f>COUNTIF(Discontinued!$A$1:$A$150,A757)&gt;0</f>
        <v>0</v>
      </c>
    </row>
    <row r="758" spans="1:21" s="8" customFormat="1" ht="12" thickBot="1" x14ac:dyDescent="0.25">
      <c r="A758" s="152">
        <v>10003028</v>
      </c>
      <c r="B758" s="10" t="s">
        <v>2939</v>
      </c>
      <c r="C758" s="12" t="s">
        <v>358</v>
      </c>
      <c r="D758" s="11" t="s">
        <v>676</v>
      </c>
      <c r="E758" s="12" t="s">
        <v>761</v>
      </c>
      <c r="F758" s="13">
        <v>12</v>
      </c>
      <c r="G758" s="22">
        <f>Overview!$B$58</f>
        <v>18.5</v>
      </c>
      <c r="H758" s="23">
        <f>G758-I758</f>
        <v>18.5</v>
      </c>
      <c r="I758" s="114">
        <f>Overview!$E$58</f>
        <v>0</v>
      </c>
      <c r="J758" s="24">
        <f>I758/F758</f>
        <v>0</v>
      </c>
      <c r="K758" s="116">
        <f>Overview!$H$58</f>
        <v>0</v>
      </c>
      <c r="L758" s="51" t="e">
        <f>(K758-J758)/K758</f>
        <v>#DIV/0!</v>
      </c>
      <c r="M758" s="179"/>
      <c r="N758" s="179" t="s">
        <v>3173</v>
      </c>
      <c r="O758" s="141">
        <f>I758</f>
        <v>0</v>
      </c>
      <c r="P758" s="181" t="b">
        <f>COUNTIF('Facility Data'!$A$1:$A$1500,"*"&amp;A758&amp;"*")&gt;0</f>
        <v>0</v>
      </c>
      <c r="Q758" s="181" t="b">
        <f>COUNTIF('Account Data'!$A$1:$A$1000,"*"&amp;A758&amp;"*")&gt;0</f>
        <v>0</v>
      </c>
      <c r="R758" s="182" t="b">
        <f>IF(OR(P758=TRUE,T758=TRUE),TRUE,FALSE)</f>
        <v>0</v>
      </c>
      <c r="S758" s="182" t="b">
        <f>IF(OR(Q758=TRUE,T758=TRUE),TRUE,FALSE)</f>
        <v>0</v>
      </c>
      <c r="T758" s="181" t="b">
        <f>COUNTIF('New Items'!$A$1:$A$175,A758)&gt;0</f>
        <v>0</v>
      </c>
      <c r="U758" s="181" t="b">
        <f>COUNTIF(Discontinued!$A$1:$A$150,A758)&gt;0</f>
        <v>0</v>
      </c>
    </row>
    <row r="759" spans="1:21" s="8" customFormat="1" ht="13.5" thickBot="1" x14ac:dyDescent="0.25">
      <c r="A759" s="300" t="s">
        <v>354</v>
      </c>
      <c r="B759" s="301"/>
      <c r="C759" s="301"/>
      <c r="D759" s="301"/>
      <c r="E759" s="301"/>
      <c r="F759" s="301"/>
      <c r="G759" s="301"/>
      <c r="H759" s="301"/>
      <c r="I759" s="301"/>
      <c r="J759" s="301"/>
      <c r="K759" s="301"/>
      <c r="L759" s="302"/>
      <c r="M759" s="179"/>
      <c r="N759" s="179" t="s">
        <v>3172</v>
      </c>
      <c r="O759" s="141">
        <f>AVERAGE(O760:O764)</f>
        <v>0</v>
      </c>
      <c r="P759" s="181" t="b">
        <f>COUNTIF(P760:P764,TRUE)&gt;0</f>
        <v>1</v>
      </c>
      <c r="Q759" s="181" t="b">
        <f>COUNTIF(Q760:Q764,TRUE)&gt;0</f>
        <v>1</v>
      </c>
      <c r="R759" s="181" t="b">
        <f>COUNTIF(R760:R764,TRUE)&gt;0</f>
        <v>1</v>
      </c>
      <c r="S759" s="181" t="b">
        <f>COUNTIF(S760:S764,TRUE)&gt;0</f>
        <v>1</v>
      </c>
      <c r="T759" s="181" t="b">
        <f>COUNTIF(T760:T764,TRUE)&gt;0</f>
        <v>0</v>
      </c>
      <c r="U759" s="249"/>
    </row>
    <row r="760" spans="1:21" s="8" customFormat="1" ht="11.25" x14ac:dyDescent="0.2">
      <c r="A760" s="152">
        <v>10001336</v>
      </c>
      <c r="B760" s="10" t="s">
        <v>359</v>
      </c>
      <c r="C760" s="12" t="s">
        <v>360</v>
      </c>
      <c r="D760" s="11" t="s">
        <v>677</v>
      </c>
      <c r="E760" s="12" t="s">
        <v>761</v>
      </c>
      <c r="F760" s="13">
        <v>15</v>
      </c>
      <c r="G760" s="22">
        <f>Overview!$B$57</f>
        <v>24</v>
      </c>
      <c r="H760" s="23">
        <f>G760-I760</f>
        <v>24</v>
      </c>
      <c r="I760" s="114">
        <f>Overview!$E$57</f>
        <v>0</v>
      </c>
      <c r="J760" s="24">
        <f>I760/F760</f>
        <v>0</v>
      </c>
      <c r="K760" s="116">
        <f>Overview!$H$57</f>
        <v>0</v>
      </c>
      <c r="L760" s="51" t="e">
        <f>(K760-J760)/K760</f>
        <v>#DIV/0!</v>
      </c>
      <c r="M760" s="179"/>
      <c r="N760" s="179" t="s">
        <v>3172</v>
      </c>
      <c r="O760" s="141">
        <f>I760</f>
        <v>0</v>
      </c>
      <c r="P760" s="181" t="b">
        <f>COUNTIF('Facility Data'!$A$1:$A$1500,"*"&amp;A760&amp;"*")&gt;0</f>
        <v>1</v>
      </c>
      <c r="Q760" s="181" t="b">
        <f>COUNTIF('Account Data'!$A$1:$A$1000,"*"&amp;A760&amp;"*")&gt;0</f>
        <v>1</v>
      </c>
      <c r="R760" s="182" t="b">
        <f>IF(OR(P760=TRUE,T760=TRUE),TRUE,FALSE)</f>
        <v>1</v>
      </c>
      <c r="S760" s="182" t="b">
        <f>IF(OR(Q760=TRUE,T760=TRUE),TRUE,FALSE)</f>
        <v>1</v>
      </c>
      <c r="T760" s="181" t="b">
        <f>COUNTIF('New Items'!$A$1:$A$175,A760)&gt;0</f>
        <v>0</v>
      </c>
      <c r="U760" s="181" t="b">
        <f>COUNTIF(Discontinued!$A$1:$A$150,A760)&gt;0</f>
        <v>0</v>
      </c>
    </row>
    <row r="761" spans="1:21" s="8" customFormat="1" ht="11.25" x14ac:dyDescent="0.2">
      <c r="A761" s="152">
        <v>10000071</v>
      </c>
      <c r="B761" s="10" t="s">
        <v>355</v>
      </c>
      <c r="C761" s="12" t="s">
        <v>356</v>
      </c>
      <c r="D761" s="11" t="s">
        <v>675</v>
      </c>
      <c r="E761" s="12" t="s">
        <v>761</v>
      </c>
      <c r="F761" s="13">
        <v>15</v>
      </c>
      <c r="G761" s="22">
        <f>Overview!$B$57</f>
        <v>24</v>
      </c>
      <c r="H761" s="23">
        <f>G761-I761</f>
        <v>24</v>
      </c>
      <c r="I761" s="114">
        <f>Overview!$E$57</f>
        <v>0</v>
      </c>
      <c r="J761" s="52">
        <f>I761/F761</f>
        <v>0</v>
      </c>
      <c r="K761" s="116">
        <f>Overview!$H$57</f>
        <v>0</v>
      </c>
      <c r="L761" s="51" t="e">
        <f>(K761-J761)/K761</f>
        <v>#DIV/0!</v>
      </c>
      <c r="M761" s="179"/>
      <c r="N761" s="179" t="s">
        <v>3172</v>
      </c>
      <c r="O761" s="141">
        <f>I761</f>
        <v>0</v>
      </c>
      <c r="P761" s="181" t="b">
        <f>COUNTIF('Facility Data'!$A$1:$A$1500,"*"&amp;A761&amp;"*")&gt;0</f>
        <v>1</v>
      </c>
      <c r="Q761" s="181" t="b">
        <f>COUNTIF('Account Data'!$A$1:$A$1000,"*"&amp;A761&amp;"*")&gt;0</f>
        <v>1</v>
      </c>
      <c r="R761" s="182" t="b">
        <f>IF(OR(P761=TRUE,T761=TRUE),TRUE,FALSE)</f>
        <v>1</v>
      </c>
      <c r="S761" s="182" t="b">
        <f>IF(OR(Q761=TRUE,T761=TRUE),TRUE,FALSE)</f>
        <v>1</v>
      </c>
      <c r="T761" s="181" t="b">
        <f>COUNTIF('New Items'!$A$1:$A$175,A761)&gt;0</f>
        <v>0</v>
      </c>
      <c r="U761" s="181" t="b">
        <f>COUNTIF(Discontinued!$A$1:$A$150,A761)&gt;0</f>
        <v>0</v>
      </c>
    </row>
    <row r="762" spans="1:21" s="8" customFormat="1" ht="11.25" x14ac:dyDescent="0.2">
      <c r="A762" s="152">
        <v>10001337</v>
      </c>
      <c r="B762" s="10" t="s">
        <v>2432</v>
      </c>
      <c r="C762" s="12" t="s">
        <v>2433</v>
      </c>
      <c r="D762" s="11" t="s">
        <v>2430</v>
      </c>
      <c r="E762" s="12" t="s">
        <v>761</v>
      </c>
      <c r="F762" s="13">
        <v>15</v>
      </c>
      <c r="G762" s="22">
        <f>Overview!$B$57</f>
        <v>24</v>
      </c>
      <c r="H762" s="23">
        <f>G762-I762</f>
        <v>24</v>
      </c>
      <c r="I762" s="114">
        <f>Overview!$E$57</f>
        <v>0</v>
      </c>
      <c r="J762" s="24">
        <f>I762/F762</f>
        <v>0</v>
      </c>
      <c r="K762" s="116">
        <f>Overview!$H$57</f>
        <v>0</v>
      </c>
      <c r="L762" s="51" t="e">
        <f>(K762-J762)/K762</f>
        <v>#DIV/0!</v>
      </c>
      <c r="M762" s="179"/>
      <c r="N762" s="179" t="s">
        <v>3172</v>
      </c>
      <c r="O762" s="141">
        <f>I762</f>
        <v>0</v>
      </c>
      <c r="P762" s="181" t="b">
        <f>COUNTIF('Facility Data'!$A$1:$A$1500,"*"&amp;A762&amp;"*")&gt;0</f>
        <v>0</v>
      </c>
      <c r="Q762" s="181" t="b">
        <f>COUNTIF('Account Data'!$A$1:$A$1000,"*"&amp;A762&amp;"*")&gt;0</f>
        <v>0</v>
      </c>
      <c r="R762" s="182" t="b">
        <f>IF(OR(P762=TRUE,T762=TRUE),TRUE,FALSE)</f>
        <v>0</v>
      </c>
      <c r="S762" s="182" t="b">
        <f>IF(OR(Q762=TRUE,T762=TRUE),TRUE,FALSE)</f>
        <v>0</v>
      </c>
      <c r="T762" s="181" t="b">
        <f>COUNTIF('New Items'!$A$1:$A$175,A762)&gt;0</f>
        <v>0</v>
      </c>
      <c r="U762" s="181" t="b">
        <f>COUNTIF(Discontinued!$A$1:$A$150,A762)&gt;0</f>
        <v>0</v>
      </c>
    </row>
    <row r="763" spans="1:21" s="8" customFormat="1" ht="11.25" x14ac:dyDescent="0.2">
      <c r="A763" s="152">
        <v>10001334</v>
      </c>
      <c r="B763" s="10" t="s">
        <v>357</v>
      </c>
      <c r="C763" s="12" t="s">
        <v>358</v>
      </c>
      <c r="D763" s="11" t="s">
        <v>676</v>
      </c>
      <c r="E763" s="12" t="s">
        <v>761</v>
      </c>
      <c r="F763" s="13">
        <v>15</v>
      </c>
      <c r="G763" s="22">
        <f>Overview!$B$57</f>
        <v>24</v>
      </c>
      <c r="H763" s="23">
        <f>G763-I763</f>
        <v>24</v>
      </c>
      <c r="I763" s="114">
        <f>Overview!$E$57</f>
        <v>0</v>
      </c>
      <c r="J763" s="24">
        <f>I763/F763</f>
        <v>0</v>
      </c>
      <c r="K763" s="116">
        <f>Overview!$H$57</f>
        <v>0</v>
      </c>
      <c r="L763" s="51" t="e">
        <f>(K763-J763)/K763</f>
        <v>#DIV/0!</v>
      </c>
      <c r="M763" s="179"/>
      <c r="N763" s="179" t="s">
        <v>3172</v>
      </c>
      <c r="O763" s="141">
        <f>I763</f>
        <v>0</v>
      </c>
      <c r="P763" s="181" t="b">
        <f>COUNTIF('Facility Data'!$A$1:$A$1500,"*"&amp;A763&amp;"*")&gt;0</f>
        <v>1</v>
      </c>
      <c r="Q763" s="181" t="b">
        <f>COUNTIF('Account Data'!$A$1:$A$1000,"*"&amp;A763&amp;"*")&gt;0</f>
        <v>1</v>
      </c>
      <c r="R763" s="182" t="b">
        <f>IF(OR(P763=TRUE,T763=TRUE),TRUE,FALSE)</f>
        <v>1</v>
      </c>
      <c r="S763" s="182" t="b">
        <f>IF(OR(Q763=TRUE,T763=TRUE),TRUE,FALSE)</f>
        <v>1</v>
      </c>
      <c r="T763" s="181" t="b">
        <f>COUNTIF('New Items'!$A$1:$A$175,A763)&gt;0</f>
        <v>0</v>
      </c>
      <c r="U763" s="181" t="b">
        <f>COUNTIF(Discontinued!$A$1:$A$150,A763)&gt;0</f>
        <v>0</v>
      </c>
    </row>
    <row r="764" spans="1:21" s="8" customFormat="1" ht="12" thickBot="1" x14ac:dyDescent="0.25">
      <c r="A764" s="152">
        <v>10084096</v>
      </c>
      <c r="B764" s="10" t="s">
        <v>2434</v>
      </c>
      <c r="C764" s="12" t="s">
        <v>2435</v>
      </c>
      <c r="D764" s="11" t="s">
        <v>2431</v>
      </c>
      <c r="E764" s="12" t="s">
        <v>761</v>
      </c>
      <c r="F764" s="13">
        <v>15</v>
      </c>
      <c r="G764" s="22">
        <f>Overview!$B$57</f>
        <v>24</v>
      </c>
      <c r="H764" s="23">
        <f>G764-I764</f>
        <v>24</v>
      </c>
      <c r="I764" s="114">
        <f>Overview!$E$57</f>
        <v>0</v>
      </c>
      <c r="J764" s="24">
        <f>I764/F764</f>
        <v>0</v>
      </c>
      <c r="K764" s="116">
        <f>Overview!$H$57</f>
        <v>0</v>
      </c>
      <c r="L764" s="51" t="e">
        <f>(K764-J764)/K764</f>
        <v>#DIV/0!</v>
      </c>
      <c r="M764" s="179"/>
      <c r="N764" s="179" t="s">
        <v>3172</v>
      </c>
      <c r="O764" s="141">
        <f>I764</f>
        <v>0</v>
      </c>
      <c r="P764" s="181" t="b">
        <f>COUNTIF('Facility Data'!$A$1:$A$1500,"*"&amp;A764&amp;"*")&gt;0</f>
        <v>0</v>
      </c>
      <c r="Q764" s="181" t="b">
        <f>COUNTIF('Account Data'!$A$1:$A$1000,"*"&amp;A764&amp;"*")&gt;0</f>
        <v>0</v>
      </c>
      <c r="R764" s="182" t="b">
        <f>IF(OR(P764=TRUE,T764=TRUE),TRUE,FALSE)</f>
        <v>0</v>
      </c>
      <c r="S764" s="182" t="b">
        <f>IF(OR(Q764=TRUE,T764=TRUE),TRUE,FALSE)</f>
        <v>0</v>
      </c>
      <c r="T764" s="181" t="b">
        <f>COUNTIF('New Items'!$A$1:$A$175,A764)&gt;0</f>
        <v>0</v>
      </c>
      <c r="U764" s="181" t="b">
        <f>COUNTIF(Discontinued!$A$1:$A$150,A764)&gt;0</f>
        <v>0</v>
      </c>
    </row>
    <row r="765" spans="1:21" s="8" customFormat="1" ht="13.5" thickBot="1" x14ac:dyDescent="0.25">
      <c r="A765" s="300" t="s">
        <v>3283</v>
      </c>
      <c r="B765" s="301"/>
      <c r="C765" s="301"/>
      <c r="D765" s="301"/>
      <c r="E765" s="301"/>
      <c r="F765" s="301"/>
      <c r="G765" s="301"/>
      <c r="H765" s="301"/>
      <c r="I765" s="301"/>
      <c r="J765" s="301"/>
      <c r="K765" s="301"/>
      <c r="L765" s="302"/>
      <c r="M765" s="179"/>
      <c r="N765" s="179" t="s">
        <v>3167</v>
      </c>
      <c r="O765" s="141">
        <f>AVERAGE(O766:O775)</f>
        <v>0</v>
      </c>
      <c r="P765" s="181" t="b">
        <f>COUNTIF(P766:P775,TRUE)&gt;0</f>
        <v>1</v>
      </c>
      <c r="Q765" s="181" t="b">
        <f>COUNTIF(Q766:Q775,TRUE)&gt;0</f>
        <v>1</v>
      </c>
      <c r="R765" s="181" t="b">
        <f>COUNTIF(R766:R775,TRUE)&gt;0</f>
        <v>1</v>
      </c>
      <c r="S765" s="181" t="b">
        <f>COUNTIF(S766:S775,TRUE)&gt;0</f>
        <v>1</v>
      </c>
      <c r="T765" s="181" t="b">
        <f>COUNTIF(T766:T775,TRUE)&gt;0</f>
        <v>0</v>
      </c>
      <c r="U765" s="249"/>
    </row>
    <row r="766" spans="1:21" s="8" customFormat="1" ht="11.25" x14ac:dyDescent="0.2">
      <c r="A766" s="152">
        <v>10111508</v>
      </c>
      <c r="B766" s="10" t="s">
        <v>4044</v>
      </c>
      <c r="C766" s="12" t="s">
        <v>829</v>
      </c>
      <c r="D766" s="11" t="s">
        <v>828</v>
      </c>
      <c r="E766" s="12" t="s">
        <v>769</v>
      </c>
      <c r="F766" s="13">
        <v>3</v>
      </c>
      <c r="G766" s="22">
        <f>Overview!$B$48</f>
        <v>14</v>
      </c>
      <c r="H766" s="114">
        <f t="shared" ref="H766:H775" si="258">G766-I766</f>
        <v>14</v>
      </c>
      <c r="I766" s="114">
        <f>Overview!$E$48</f>
        <v>0</v>
      </c>
      <c r="J766" s="115">
        <f t="shared" ref="J766:J775" si="259">I766/F766</f>
        <v>0</v>
      </c>
      <c r="K766" s="116">
        <f>Overview!$H$48</f>
        <v>0</v>
      </c>
      <c r="L766" s="51" t="e">
        <f t="shared" ref="L766:L775" si="260">(K766-J766)/K766</f>
        <v>#DIV/0!</v>
      </c>
      <c r="M766" s="179"/>
      <c r="N766" s="179" t="s">
        <v>3167</v>
      </c>
      <c r="O766" s="141">
        <f t="shared" ref="O766:O775" si="261">I766</f>
        <v>0</v>
      </c>
      <c r="P766" s="181" t="b">
        <f>COUNTIF('Facility Data'!$A$1:$A$1500,"*"&amp;A766&amp;"*")&gt;0</f>
        <v>0</v>
      </c>
      <c r="Q766" s="181" t="b">
        <f>COUNTIF('Account Data'!$A$1:$A$1000,"*"&amp;A766&amp;"*")&gt;0</f>
        <v>0</v>
      </c>
      <c r="R766" s="182" t="b">
        <f t="shared" ref="R766:R775" si="262">IF(OR(P766=TRUE,T766=TRUE),TRUE,FALSE)</f>
        <v>0</v>
      </c>
      <c r="S766" s="182" t="b">
        <f t="shared" ref="S766:S775" si="263">IF(OR(Q766=TRUE,T766=TRUE),TRUE,FALSE)</f>
        <v>0</v>
      </c>
      <c r="T766" s="181" t="b">
        <f>COUNTIF('New Items'!$A$1:$A$175,A766)&gt;0</f>
        <v>0</v>
      </c>
      <c r="U766" s="181" t="b">
        <f>COUNTIF(Discontinued!$A$1:$A$150,A766)&gt;0</f>
        <v>0</v>
      </c>
    </row>
    <row r="767" spans="1:21" s="8" customFormat="1" ht="11.25" x14ac:dyDescent="0.2">
      <c r="A767" s="152">
        <v>10107362</v>
      </c>
      <c r="B767" s="10" t="s">
        <v>2201</v>
      </c>
      <c r="C767" s="12" t="s">
        <v>821</v>
      </c>
      <c r="D767" s="11" t="s">
        <v>820</v>
      </c>
      <c r="E767" s="12" t="s">
        <v>769</v>
      </c>
      <c r="F767" s="13">
        <v>3</v>
      </c>
      <c r="G767" s="22">
        <f>Overview!$B$48</f>
        <v>14</v>
      </c>
      <c r="H767" s="114">
        <f t="shared" si="258"/>
        <v>14</v>
      </c>
      <c r="I767" s="114">
        <f>Overview!$E$48</f>
        <v>0</v>
      </c>
      <c r="J767" s="115">
        <f t="shared" si="259"/>
        <v>0</v>
      </c>
      <c r="K767" s="116">
        <f>Overview!$H$48</f>
        <v>0</v>
      </c>
      <c r="L767" s="51" t="e">
        <f t="shared" si="260"/>
        <v>#DIV/0!</v>
      </c>
      <c r="M767" s="179"/>
      <c r="N767" s="179" t="s">
        <v>3167</v>
      </c>
      <c r="O767" s="141">
        <f t="shared" si="261"/>
        <v>0</v>
      </c>
      <c r="P767" s="181" t="b">
        <f>COUNTIF('Facility Data'!$A$1:$A$1500,"*"&amp;A767&amp;"*")&gt;0</f>
        <v>0</v>
      </c>
      <c r="Q767" s="181" t="b">
        <f>COUNTIF('Account Data'!$A$1:$A$1000,"*"&amp;A767&amp;"*")&gt;0</f>
        <v>1</v>
      </c>
      <c r="R767" s="182" t="b">
        <f t="shared" si="262"/>
        <v>0</v>
      </c>
      <c r="S767" s="182" t="b">
        <f t="shared" si="263"/>
        <v>1</v>
      </c>
      <c r="T767" s="181" t="b">
        <f>COUNTIF('New Items'!$A$1:$A$175,A767)&gt;0</f>
        <v>0</v>
      </c>
      <c r="U767" s="181" t="b">
        <f>COUNTIF(Discontinued!$A$1:$A$150,A767)&gt;0</f>
        <v>0</v>
      </c>
    </row>
    <row r="768" spans="1:21" s="8" customFormat="1" ht="11.25" x14ac:dyDescent="0.2">
      <c r="A768" s="152">
        <v>10099691</v>
      </c>
      <c r="B768" s="10" t="s">
        <v>4041</v>
      </c>
      <c r="C768" s="12" t="s">
        <v>830</v>
      </c>
      <c r="D768" s="11" t="s">
        <v>673</v>
      </c>
      <c r="E768" s="12" t="s">
        <v>769</v>
      </c>
      <c r="F768" s="13">
        <v>3</v>
      </c>
      <c r="G768" s="22">
        <f>Overview!$B$48</f>
        <v>14</v>
      </c>
      <c r="H768" s="114">
        <f t="shared" si="258"/>
        <v>14</v>
      </c>
      <c r="I768" s="114">
        <f>Overview!$E$48</f>
        <v>0</v>
      </c>
      <c r="J768" s="115">
        <f t="shared" si="259"/>
        <v>0</v>
      </c>
      <c r="K768" s="116">
        <f>Overview!$H$48</f>
        <v>0</v>
      </c>
      <c r="L768" s="51" t="e">
        <f t="shared" si="260"/>
        <v>#DIV/0!</v>
      </c>
      <c r="M768" s="179"/>
      <c r="N768" s="179" t="s">
        <v>3167</v>
      </c>
      <c r="O768" s="141">
        <f t="shared" si="261"/>
        <v>0</v>
      </c>
      <c r="P768" s="181" t="b">
        <f>COUNTIF('Facility Data'!$A$1:$A$1500,"*"&amp;A768&amp;"*")&gt;0</f>
        <v>0</v>
      </c>
      <c r="Q768" s="181" t="b">
        <f>COUNTIF('Account Data'!$A$1:$A$1000,"*"&amp;A768&amp;"*")&gt;0</f>
        <v>1</v>
      </c>
      <c r="R768" s="182" t="b">
        <f t="shared" si="262"/>
        <v>0</v>
      </c>
      <c r="S768" s="182" t="b">
        <f t="shared" si="263"/>
        <v>1</v>
      </c>
      <c r="T768" s="181" t="b">
        <f>COUNTIF('New Items'!$A$1:$A$175,A768)&gt;0</f>
        <v>0</v>
      </c>
      <c r="U768" s="181" t="b">
        <f>COUNTIF(Discontinued!$A$1:$A$150,A768)&gt;0</f>
        <v>0</v>
      </c>
    </row>
    <row r="769" spans="1:21" s="8" customFormat="1" ht="11.25" x14ac:dyDescent="0.2">
      <c r="A769" s="152">
        <v>10099689</v>
      </c>
      <c r="B769" s="10" t="s">
        <v>3284</v>
      </c>
      <c r="C769" s="12" t="s">
        <v>825</v>
      </c>
      <c r="D769" s="11" t="s">
        <v>669</v>
      </c>
      <c r="E769" s="12" t="s">
        <v>769</v>
      </c>
      <c r="F769" s="13">
        <v>3</v>
      </c>
      <c r="G769" s="22">
        <f>Overview!$B$48</f>
        <v>14</v>
      </c>
      <c r="H769" s="114">
        <f t="shared" si="258"/>
        <v>14</v>
      </c>
      <c r="I769" s="114">
        <f>Overview!$E$48</f>
        <v>0</v>
      </c>
      <c r="J769" s="115">
        <f t="shared" si="259"/>
        <v>0</v>
      </c>
      <c r="K769" s="116">
        <f>Overview!$H$48</f>
        <v>0</v>
      </c>
      <c r="L769" s="51" t="e">
        <f t="shared" si="260"/>
        <v>#DIV/0!</v>
      </c>
      <c r="M769" s="179"/>
      <c r="N769" s="179" t="s">
        <v>3167</v>
      </c>
      <c r="O769" s="141">
        <f t="shared" si="261"/>
        <v>0</v>
      </c>
      <c r="P769" s="181" t="b">
        <f>COUNTIF('Facility Data'!$A$1:$A$1500,"*"&amp;A769&amp;"*")&gt;0</f>
        <v>1</v>
      </c>
      <c r="Q769" s="181" t="b">
        <f>COUNTIF('Account Data'!$A$1:$A$1000,"*"&amp;A769&amp;"*")&gt;0</f>
        <v>1</v>
      </c>
      <c r="R769" s="182" t="b">
        <f t="shared" si="262"/>
        <v>1</v>
      </c>
      <c r="S769" s="182" t="b">
        <f t="shared" si="263"/>
        <v>1</v>
      </c>
      <c r="T769" s="181" t="b">
        <f>COUNTIF('New Items'!$A$1:$A$175,A769)&gt;0</f>
        <v>0</v>
      </c>
      <c r="U769" s="181" t="b">
        <f>COUNTIF(Discontinued!$A$1:$A$150,A769)&gt;0</f>
        <v>0</v>
      </c>
    </row>
    <row r="770" spans="1:21" s="8" customFormat="1" ht="11.25" x14ac:dyDescent="0.2">
      <c r="A770" s="152">
        <v>10099694</v>
      </c>
      <c r="B770" s="10" t="s">
        <v>3285</v>
      </c>
      <c r="C770" s="12" t="s">
        <v>827</v>
      </c>
      <c r="D770" s="11" t="s">
        <v>671</v>
      </c>
      <c r="E770" s="12" t="s">
        <v>769</v>
      </c>
      <c r="F770" s="13">
        <v>3</v>
      </c>
      <c r="G770" s="22">
        <f>Overview!$B$48</f>
        <v>14</v>
      </c>
      <c r="H770" s="114">
        <f t="shared" si="258"/>
        <v>14</v>
      </c>
      <c r="I770" s="114">
        <f>Overview!$E$48</f>
        <v>0</v>
      </c>
      <c r="J770" s="115">
        <f t="shared" si="259"/>
        <v>0</v>
      </c>
      <c r="K770" s="116">
        <f>Overview!$H$48</f>
        <v>0</v>
      </c>
      <c r="L770" s="51" t="e">
        <f t="shared" si="260"/>
        <v>#DIV/0!</v>
      </c>
      <c r="M770" s="179"/>
      <c r="N770" s="179" t="s">
        <v>3167</v>
      </c>
      <c r="O770" s="141">
        <f t="shared" si="261"/>
        <v>0</v>
      </c>
      <c r="P770" s="181" t="b">
        <f>COUNTIF('Facility Data'!$A$1:$A$1500,"*"&amp;A770&amp;"*")&gt;0</f>
        <v>1</v>
      </c>
      <c r="Q770" s="181" t="b">
        <f>COUNTIF('Account Data'!$A$1:$A$1000,"*"&amp;A770&amp;"*")&gt;0</f>
        <v>1</v>
      </c>
      <c r="R770" s="182" t="b">
        <f t="shared" si="262"/>
        <v>1</v>
      </c>
      <c r="S770" s="182" t="b">
        <f t="shared" si="263"/>
        <v>1</v>
      </c>
      <c r="T770" s="181" t="b">
        <f>COUNTIF('New Items'!$A$1:$A$175,A770)&gt;0</f>
        <v>0</v>
      </c>
      <c r="U770" s="181" t="b">
        <f>COUNTIF(Discontinued!$A$1:$A$150,A770)&gt;0</f>
        <v>0</v>
      </c>
    </row>
    <row r="771" spans="1:21" s="8" customFormat="1" ht="11.25" x14ac:dyDescent="0.2">
      <c r="A771" s="152">
        <v>10099690</v>
      </c>
      <c r="B771" s="10" t="s">
        <v>4040</v>
      </c>
      <c r="C771" s="12" t="s">
        <v>831</v>
      </c>
      <c r="D771" s="11" t="s">
        <v>668</v>
      </c>
      <c r="E771" s="12" t="s">
        <v>769</v>
      </c>
      <c r="F771" s="13">
        <v>3</v>
      </c>
      <c r="G771" s="22">
        <f>Overview!$B$48</f>
        <v>14</v>
      </c>
      <c r="H771" s="114">
        <f t="shared" si="258"/>
        <v>14</v>
      </c>
      <c r="I771" s="114">
        <f>Overview!$E$48</f>
        <v>0</v>
      </c>
      <c r="J771" s="115">
        <f t="shared" si="259"/>
        <v>0</v>
      </c>
      <c r="K771" s="116">
        <f>Overview!$H$48</f>
        <v>0</v>
      </c>
      <c r="L771" s="51" t="e">
        <f t="shared" si="260"/>
        <v>#DIV/0!</v>
      </c>
      <c r="M771" s="179"/>
      <c r="N771" s="179" t="s">
        <v>3167</v>
      </c>
      <c r="O771" s="141">
        <f t="shared" si="261"/>
        <v>0</v>
      </c>
      <c r="P771" s="181" t="b">
        <f>COUNTIF('Facility Data'!$A$1:$A$1500,"*"&amp;A771&amp;"*")&gt;0</f>
        <v>1</v>
      </c>
      <c r="Q771" s="181" t="b">
        <f>COUNTIF('Account Data'!$A$1:$A$1000,"*"&amp;A771&amp;"*")&gt;0</f>
        <v>1</v>
      </c>
      <c r="R771" s="182" t="b">
        <f t="shared" si="262"/>
        <v>1</v>
      </c>
      <c r="S771" s="182" t="b">
        <f t="shared" si="263"/>
        <v>1</v>
      </c>
      <c r="T771" s="181" t="b">
        <f>COUNTIF('New Items'!$A$1:$A$175,A771)&gt;0</f>
        <v>0</v>
      </c>
      <c r="U771" s="181" t="b">
        <f>COUNTIF(Discontinued!$A$1:$A$150,A771)&gt;0</f>
        <v>0</v>
      </c>
    </row>
    <row r="772" spans="1:21" s="8" customFormat="1" ht="11.25" x14ac:dyDescent="0.2">
      <c r="A772" s="152">
        <v>10107361</v>
      </c>
      <c r="B772" s="10" t="s">
        <v>2229</v>
      </c>
      <c r="C772" s="12" t="s">
        <v>823</v>
      </c>
      <c r="D772" s="11" t="s">
        <v>822</v>
      </c>
      <c r="E772" s="12" t="s">
        <v>769</v>
      </c>
      <c r="F772" s="13">
        <v>3</v>
      </c>
      <c r="G772" s="22">
        <f>Overview!$B$48</f>
        <v>14</v>
      </c>
      <c r="H772" s="114">
        <f t="shared" si="258"/>
        <v>14</v>
      </c>
      <c r="I772" s="114">
        <f>Overview!$E$48</f>
        <v>0</v>
      </c>
      <c r="J772" s="115">
        <f t="shared" si="259"/>
        <v>0</v>
      </c>
      <c r="K772" s="116">
        <f>Overview!$H$48</f>
        <v>0</v>
      </c>
      <c r="L772" s="51" t="e">
        <f t="shared" si="260"/>
        <v>#DIV/0!</v>
      </c>
      <c r="M772" s="179"/>
      <c r="N772" s="179" t="s">
        <v>3167</v>
      </c>
      <c r="O772" s="141">
        <f t="shared" si="261"/>
        <v>0</v>
      </c>
      <c r="P772" s="181" t="b">
        <f>COUNTIF('Facility Data'!$A$1:$A$1500,"*"&amp;A772&amp;"*")&gt;0</f>
        <v>0</v>
      </c>
      <c r="Q772" s="181" t="b">
        <f>COUNTIF('Account Data'!$A$1:$A$1000,"*"&amp;A772&amp;"*")&gt;0</f>
        <v>1</v>
      </c>
      <c r="R772" s="182" t="b">
        <f t="shared" si="262"/>
        <v>0</v>
      </c>
      <c r="S772" s="182" t="b">
        <f t="shared" si="263"/>
        <v>1</v>
      </c>
      <c r="T772" s="181" t="b">
        <f>COUNTIF('New Items'!$A$1:$A$175,A772)&gt;0</f>
        <v>0</v>
      </c>
      <c r="U772" s="181" t="b">
        <f>COUNTIF(Discontinued!$A$1:$A$150,A772)&gt;0</f>
        <v>0</v>
      </c>
    </row>
    <row r="773" spans="1:21" s="8" customFormat="1" ht="11.25" x14ac:dyDescent="0.2">
      <c r="A773" s="152">
        <v>10099692</v>
      </c>
      <c r="B773" s="10" t="s">
        <v>4042</v>
      </c>
      <c r="C773" s="12" t="s">
        <v>832</v>
      </c>
      <c r="D773" s="11" t="s">
        <v>670</v>
      </c>
      <c r="E773" s="12" t="s">
        <v>769</v>
      </c>
      <c r="F773" s="13">
        <v>3</v>
      </c>
      <c r="G773" s="22">
        <f>Overview!$B$48</f>
        <v>14</v>
      </c>
      <c r="H773" s="114">
        <f t="shared" si="258"/>
        <v>14</v>
      </c>
      <c r="I773" s="114">
        <f>Overview!$E$48</f>
        <v>0</v>
      </c>
      <c r="J773" s="115">
        <f t="shared" si="259"/>
        <v>0</v>
      </c>
      <c r="K773" s="116">
        <f>Overview!$H$48</f>
        <v>0</v>
      </c>
      <c r="L773" s="51" t="e">
        <f t="shared" si="260"/>
        <v>#DIV/0!</v>
      </c>
      <c r="M773" s="179"/>
      <c r="N773" s="179" t="s">
        <v>3167</v>
      </c>
      <c r="O773" s="141">
        <f t="shared" si="261"/>
        <v>0</v>
      </c>
      <c r="P773" s="181" t="b">
        <f>COUNTIF('Facility Data'!$A$1:$A$1500,"*"&amp;A773&amp;"*")&gt;0</f>
        <v>1</v>
      </c>
      <c r="Q773" s="181" t="b">
        <f>COUNTIF('Account Data'!$A$1:$A$1000,"*"&amp;A773&amp;"*")&gt;0</f>
        <v>1</v>
      </c>
      <c r="R773" s="182" t="b">
        <f t="shared" si="262"/>
        <v>1</v>
      </c>
      <c r="S773" s="182" t="b">
        <f t="shared" si="263"/>
        <v>1</v>
      </c>
      <c r="T773" s="181" t="b">
        <f>COUNTIF('New Items'!$A$1:$A$175,A773)&gt;0</f>
        <v>0</v>
      </c>
      <c r="U773" s="181" t="b">
        <f>COUNTIF(Discontinued!$A$1:$A$150,A773)&gt;0</f>
        <v>0</v>
      </c>
    </row>
    <row r="774" spans="1:21" s="8" customFormat="1" ht="11.25" x14ac:dyDescent="0.2">
      <c r="A774" s="152">
        <v>10099693</v>
      </c>
      <c r="B774" s="10" t="s">
        <v>4043</v>
      </c>
      <c r="C774" s="12" t="s">
        <v>833</v>
      </c>
      <c r="D774" s="11" t="s">
        <v>672</v>
      </c>
      <c r="E774" s="12" t="s">
        <v>769</v>
      </c>
      <c r="F774" s="13">
        <v>3</v>
      </c>
      <c r="G774" s="22">
        <f>Overview!$B$48</f>
        <v>14</v>
      </c>
      <c r="H774" s="114">
        <f t="shared" si="258"/>
        <v>14</v>
      </c>
      <c r="I774" s="114">
        <f>Overview!$E$48</f>
        <v>0</v>
      </c>
      <c r="J774" s="115">
        <f t="shared" si="259"/>
        <v>0</v>
      </c>
      <c r="K774" s="116">
        <f>Overview!$H$48</f>
        <v>0</v>
      </c>
      <c r="L774" s="51" t="e">
        <f t="shared" si="260"/>
        <v>#DIV/0!</v>
      </c>
      <c r="M774" s="179"/>
      <c r="N774" s="179" t="s">
        <v>3167</v>
      </c>
      <c r="O774" s="141">
        <f t="shared" si="261"/>
        <v>0</v>
      </c>
      <c r="P774" s="181" t="b">
        <f>COUNTIF('Facility Data'!$A$1:$A$1500,"*"&amp;A774&amp;"*")&gt;0</f>
        <v>0</v>
      </c>
      <c r="Q774" s="181" t="b">
        <f>COUNTIF('Account Data'!$A$1:$A$1000,"*"&amp;A774&amp;"*")&gt;0</f>
        <v>1</v>
      </c>
      <c r="R774" s="182" t="b">
        <f t="shared" si="262"/>
        <v>0</v>
      </c>
      <c r="S774" s="182" t="b">
        <f t="shared" si="263"/>
        <v>1</v>
      </c>
      <c r="T774" s="181" t="b">
        <f>COUNTIF('New Items'!$A$1:$A$175,A774)&gt;0</f>
        <v>0</v>
      </c>
      <c r="U774" s="181" t="b">
        <f>COUNTIF(Discontinued!$A$1:$A$150,A774)&gt;0</f>
        <v>0</v>
      </c>
    </row>
    <row r="775" spans="1:21" s="8" customFormat="1" ht="12" thickBot="1" x14ac:dyDescent="0.25">
      <c r="A775" s="155">
        <v>10114341</v>
      </c>
      <c r="B775" s="81" t="s">
        <v>4045</v>
      </c>
      <c r="C775" s="12" t="s">
        <v>864</v>
      </c>
      <c r="D775" s="11" t="s">
        <v>865</v>
      </c>
      <c r="E775" s="12" t="s">
        <v>769</v>
      </c>
      <c r="F775" s="13">
        <v>3</v>
      </c>
      <c r="G775" s="22">
        <f>Overview!$B$48</f>
        <v>14</v>
      </c>
      <c r="H775" s="114">
        <f t="shared" si="258"/>
        <v>14</v>
      </c>
      <c r="I775" s="114">
        <f>Overview!$E$48</f>
        <v>0</v>
      </c>
      <c r="J775" s="115">
        <f t="shared" si="259"/>
        <v>0</v>
      </c>
      <c r="K775" s="116">
        <f>Overview!$H$48</f>
        <v>0</v>
      </c>
      <c r="L775" s="51" t="e">
        <f t="shared" si="260"/>
        <v>#DIV/0!</v>
      </c>
      <c r="M775" s="179"/>
      <c r="N775" s="179" t="s">
        <v>3167</v>
      </c>
      <c r="O775" s="141">
        <f t="shared" si="261"/>
        <v>0</v>
      </c>
      <c r="P775" s="181" t="b">
        <f>COUNTIF('Facility Data'!$A$1:$A$1500,"*"&amp;A775&amp;"*")&gt;0</f>
        <v>0</v>
      </c>
      <c r="Q775" s="181" t="b">
        <f>COUNTIF('Account Data'!$A$1:$A$1000,"*"&amp;A775&amp;"*")&gt;0</f>
        <v>0</v>
      </c>
      <c r="R775" s="182" t="b">
        <f t="shared" si="262"/>
        <v>0</v>
      </c>
      <c r="S775" s="182" t="b">
        <f t="shared" si="263"/>
        <v>0</v>
      </c>
      <c r="T775" s="181" t="b">
        <f>COUNTIF('New Items'!$A$1:$A$175,A775)&gt;0</f>
        <v>0</v>
      </c>
      <c r="U775" s="181" t="b">
        <f>COUNTIF(Discontinued!$A$1:$A$150,A775)&gt;0</f>
        <v>0</v>
      </c>
    </row>
    <row r="776" spans="1:21" s="8" customFormat="1" ht="13.5" thickBot="1" x14ac:dyDescent="0.25">
      <c r="A776" s="300" t="s">
        <v>3286</v>
      </c>
      <c r="B776" s="301"/>
      <c r="C776" s="301"/>
      <c r="D776" s="301"/>
      <c r="E776" s="301"/>
      <c r="F776" s="301"/>
      <c r="G776" s="301"/>
      <c r="H776" s="301"/>
      <c r="I776" s="301"/>
      <c r="J776" s="301"/>
      <c r="K776" s="301"/>
      <c r="L776" s="302"/>
      <c r="M776" s="179"/>
      <c r="N776" s="179" t="s">
        <v>3168</v>
      </c>
      <c r="O776" s="141">
        <f>AVERAGE(O777:O780)</f>
        <v>0</v>
      </c>
      <c r="P776" s="181" t="b">
        <f>COUNTIF(P777:P780,TRUE)&gt;0</f>
        <v>0</v>
      </c>
      <c r="Q776" s="181" t="b">
        <f>COUNTIF(Q777:Q780,TRUE)&gt;0</f>
        <v>0</v>
      </c>
      <c r="R776" s="181" t="b">
        <f>COUNTIF(R777:R780,TRUE)&gt;0</f>
        <v>0</v>
      </c>
      <c r="S776" s="181" t="b">
        <f>COUNTIF(S777:S780,TRUE)&gt;0</f>
        <v>0</v>
      </c>
      <c r="T776" s="181" t="b">
        <f>COUNTIF(T777:T780,TRUE)&gt;0</f>
        <v>0</v>
      </c>
      <c r="U776" s="249"/>
    </row>
    <row r="777" spans="1:21" s="8" customFormat="1" ht="11.25" x14ac:dyDescent="0.2">
      <c r="A777" s="152">
        <v>10000906</v>
      </c>
      <c r="B777" s="10" t="s">
        <v>1624</v>
      </c>
      <c r="C777" s="12" t="s">
        <v>1625</v>
      </c>
      <c r="D777" s="11" t="s">
        <v>669</v>
      </c>
      <c r="E777" s="12" t="s">
        <v>769</v>
      </c>
      <c r="F777" s="13">
        <v>2</v>
      </c>
      <c r="G777" s="22">
        <f>Overview!$B$49</f>
        <v>14</v>
      </c>
      <c r="H777" s="114">
        <f>G777-I777</f>
        <v>14</v>
      </c>
      <c r="I777" s="114">
        <f>Overview!$E$49</f>
        <v>0</v>
      </c>
      <c r="J777" s="115">
        <f>I777/F777</f>
        <v>0</v>
      </c>
      <c r="K777" s="116">
        <f>Overview!$H$49</f>
        <v>0</v>
      </c>
      <c r="L777" s="51" t="e">
        <f>(K777-J777)/K777</f>
        <v>#DIV/0!</v>
      </c>
      <c r="M777" s="179"/>
      <c r="N777" s="179" t="s">
        <v>3168</v>
      </c>
      <c r="O777" s="141">
        <f>I777</f>
        <v>0</v>
      </c>
      <c r="P777" s="181" t="b">
        <f>COUNTIF('Facility Data'!$A$1:$A$1500,"*"&amp;A777&amp;"*")&gt;0</f>
        <v>0</v>
      </c>
      <c r="Q777" s="181" t="b">
        <f>COUNTIF('Account Data'!$A$1:$A$1000,"*"&amp;A777&amp;"*")&gt;0</f>
        <v>0</v>
      </c>
      <c r="R777" s="182" t="b">
        <f>IF(OR(P777=TRUE,T777=TRUE),TRUE,FALSE)</f>
        <v>0</v>
      </c>
      <c r="S777" s="182" t="b">
        <f>IF(OR(Q777=TRUE,T777=TRUE),TRUE,FALSE)</f>
        <v>0</v>
      </c>
      <c r="T777" s="181" t="b">
        <f>COUNTIF('New Items'!$A$1:$A$175,A777)&gt;0</f>
        <v>0</v>
      </c>
      <c r="U777" s="181" t="b">
        <f>COUNTIF(Discontinued!$A$1:$A$150,A777)&gt;0</f>
        <v>0</v>
      </c>
    </row>
    <row r="778" spans="1:21" s="8" customFormat="1" ht="11.25" x14ac:dyDescent="0.2">
      <c r="A778" s="152">
        <v>10000300</v>
      </c>
      <c r="B778" s="10" t="s">
        <v>1622</v>
      </c>
      <c r="C778" s="12" t="s">
        <v>1623</v>
      </c>
      <c r="D778" s="11" t="s">
        <v>671</v>
      </c>
      <c r="E778" s="12" t="s">
        <v>769</v>
      </c>
      <c r="F778" s="13">
        <v>2</v>
      </c>
      <c r="G778" s="22">
        <f>Overview!$B$49</f>
        <v>14</v>
      </c>
      <c r="H778" s="114">
        <f>G778-I778</f>
        <v>14</v>
      </c>
      <c r="I778" s="114">
        <f>Overview!$E$49</f>
        <v>0</v>
      </c>
      <c r="J778" s="115">
        <f>I778/F778</f>
        <v>0</v>
      </c>
      <c r="K778" s="116">
        <f>Overview!$H$49</f>
        <v>0</v>
      </c>
      <c r="L778" s="51" t="e">
        <f>(K778-J778)/K778</f>
        <v>#DIV/0!</v>
      </c>
      <c r="M778" s="179"/>
      <c r="N778" s="179" t="s">
        <v>3168</v>
      </c>
      <c r="O778" s="141">
        <f>I778</f>
        <v>0</v>
      </c>
      <c r="P778" s="181" t="b">
        <f>COUNTIF('Facility Data'!$A$1:$A$1500,"*"&amp;A778&amp;"*")&gt;0</f>
        <v>0</v>
      </c>
      <c r="Q778" s="181" t="b">
        <f>COUNTIF('Account Data'!$A$1:$A$1000,"*"&amp;A778&amp;"*")&gt;0</f>
        <v>0</v>
      </c>
      <c r="R778" s="182" t="b">
        <f>IF(OR(P778=TRUE,T778=TRUE),TRUE,FALSE)</f>
        <v>0</v>
      </c>
      <c r="S778" s="182" t="b">
        <f>IF(OR(Q778=TRUE,T778=TRUE),TRUE,FALSE)</f>
        <v>0</v>
      </c>
      <c r="T778" s="181" t="b">
        <f>COUNTIF('New Items'!$A$1:$A$175,A778)&gt;0</f>
        <v>0</v>
      </c>
      <c r="U778" s="181" t="b">
        <f>COUNTIF(Discontinued!$A$1:$A$150,A778)&gt;0</f>
        <v>0</v>
      </c>
    </row>
    <row r="779" spans="1:21" s="8" customFormat="1" ht="11.25" x14ac:dyDescent="0.2">
      <c r="A779" s="152">
        <v>10000903</v>
      </c>
      <c r="B779" s="10" t="s">
        <v>1620</v>
      </c>
      <c r="C779" s="12" t="s">
        <v>1621</v>
      </c>
      <c r="D779" s="11" t="s">
        <v>668</v>
      </c>
      <c r="E779" s="12" t="s">
        <v>769</v>
      </c>
      <c r="F779" s="13">
        <v>2</v>
      </c>
      <c r="G779" s="22">
        <f>Overview!$B$49</f>
        <v>14</v>
      </c>
      <c r="H779" s="114">
        <f>G779-I779</f>
        <v>14</v>
      </c>
      <c r="I779" s="114">
        <f>Overview!$E$49</f>
        <v>0</v>
      </c>
      <c r="J779" s="115">
        <f>I779/F779</f>
        <v>0</v>
      </c>
      <c r="K779" s="116">
        <f>Overview!$H$49</f>
        <v>0</v>
      </c>
      <c r="L779" s="51" t="e">
        <f>(K779-J779)/K779</f>
        <v>#DIV/0!</v>
      </c>
      <c r="M779" s="179"/>
      <c r="N779" s="179" t="s">
        <v>3168</v>
      </c>
      <c r="O779" s="141">
        <f>I779</f>
        <v>0</v>
      </c>
      <c r="P779" s="181" t="b">
        <f>COUNTIF('Facility Data'!$A$1:$A$1500,"*"&amp;A779&amp;"*")&gt;0</f>
        <v>0</v>
      </c>
      <c r="Q779" s="181" t="b">
        <f>COUNTIF('Account Data'!$A$1:$A$1000,"*"&amp;A779&amp;"*")&gt;0</f>
        <v>0</v>
      </c>
      <c r="R779" s="182" t="b">
        <f>IF(OR(P779=TRUE,T779=TRUE),TRUE,FALSE)</f>
        <v>0</v>
      </c>
      <c r="S779" s="182" t="b">
        <f>IF(OR(Q779=TRUE,T779=TRUE),TRUE,FALSE)</f>
        <v>0</v>
      </c>
      <c r="T779" s="181" t="b">
        <f>COUNTIF('New Items'!$A$1:$A$175,A779)&gt;0</f>
        <v>0</v>
      </c>
      <c r="U779" s="181" t="b">
        <f>COUNTIF(Discontinued!$A$1:$A$150,A779)&gt;0</f>
        <v>0</v>
      </c>
    </row>
    <row r="780" spans="1:21" s="8" customFormat="1" ht="12" thickBot="1" x14ac:dyDescent="0.25">
      <c r="A780" s="152">
        <v>10006446</v>
      </c>
      <c r="B780" s="10" t="s">
        <v>1626</v>
      </c>
      <c r="C780" s="12" t="s">
        <v>1627</v>
      </c>
      <c r="D780" s="11" t="s">
        <v>674</v>
      </c>
      <c r="E780" s="12" t="s">
        <v>769</v>
      </c>
      <c r="F780" s="13">
        <v>2</v>
      </c>
      <c r="G780" s="22">
        <f>Overview!$B$49</f>
        <v>14</v>
      </c>
      <c r="H780" s="114">
        <f>G780-I780</f>
        <v>14</v>
      </c>
      <c r="I780" s="114">
        <f>Overview!$E$49</f>
        <v>0</v>
      </c>
      <c r="J780" s="115">
        <f>I780/F780</f>
        <v>0</v>
      </c>
      <c r="K780" s="116">
        <f>Overview!$H$49</f>
        <v>0</v>
      </c>
      <c r="L780" s="51" t="e">
        <f>(K780-J780)/K780</f>
        <v>#DIV/0!</v>
      </c>
      <c r="M780" s="179"/>
      <c r="N780" s="179" t="s">
        <v>3168</v>
      </c>
      <c r="O780" s="141">
        <f>I780</f>
        <v>0</v>
      </c>
      <c r="P780" s="181" t="b">
        <f>COUNTIF('Facility Data'!$A$1:$A$1500,"*"&amp;A780&amp;"*")&gt;0</f>
        <v>0</v>
      </c>
      <c r="Q780" s="181" t="b">
        <f>COUNTIF('Account Data'!$A$1:$A$1000,"*"&amp;A780&amp;"*")&gt;0</f>
        <v>0</v>
      </c>
      <c r="R780" s="182" t="b">
        <f>IF(OR(P780=TRUE,T780=TRUE),TRUE,FALSE)</f>
        <v>0</v>
      </c>
      <c r="S780" s="182" t="b">
        <f>IF(OR(Q780=TRUE,T780=TRUE),TRUE,FALSE)</f>
        <v>0</v>
      </c>
      <c r="T780" s="181" t="b">
        <f>COUNTIF('New Items'!$A$1:$A$175,A780)&gt;0</f>
        <v>0</v>
      </c>
      <c r="U780" s="181" t="b">
        <f>COUNTIF(Discontinued!$A$1:$A$150,A780)&gt;0</f>
        <v>0</v>
      </c>
    </row>
    <row r="781" spans="1:21" s="8" customFormat="1" ht="13.5" thickBot="1" x14ac:dyDescent="0.25">
      <c r="A781" s="300" t="s">
        <v>348</v>
      </c>
      <c r="B781" s="301"/>
      <c r="C781" s="301"/>
      <c r="D781" s="301"/>
      <c r="E781" s="301"/>
      <c r="F781" s="301"/>
      <c r="G781" s="301"/>
      <c r="H781" s="301"/>
      <c r="I781" s="301"/>
      <c r="J781" s="301"/>
      <c r="K781" s="301"/>
      <c r="L781" s="302"/>
      <c r="M781" s="179"/>
      <c r="N781" s="179" t="s">
        <v>3169</v>
      </c>
      <c r="O781" s="141">
        <f>AVERAGE(O782:O786)</f>
        <v>0</v>
      </c>
      <c r="P781" s="181" t="b">
        <f>COUNTIF(P782:P786,TRUE)&gt;0</f>
        <v>0</v>
      </c>
      <c r="Q781" s="181" t="b">
        <f>COUNTIF(Q782:Q786,TRUE)&gt;0</f>
        <v>0</v>
      </c>
      <c r="R781" s="181" t="b">
        <f>COUNTIF(R782:R786,TRUE)&gt;0</f>
        <v>0</v>
      </c>
      <c r="S781" s="181" t="b">
        <f>COUNTIF(S782:S786,TRUE)&gt;0</f>
        <v>0</v>
      </c>
      <c r="T781" s="181" t="b">
        <f>COUNTIF(T782:T786,TRUE)&gt;0</f>
        <v>0</v>
      </c>
      <c r="U781" s="249"/>
    </row>
    <row r="782" spans="1:21" s="8" customFormat="1" ht="11.25" x14ac:dyDescent="0.2">
      <c r="A782" s="152">
        <v>10000020</v>
      </c>
      <c r="B782" s="10" t="s">
        <v>1325</v>
      </c>
      <c r="C782" s="12" t="s">
        <v>351</v>
      </c>
      <c r="D782" s="11" t="s">
        <v>669</v>
      </c>
      <c r="E782" s="12" t="s">
        <v>774</v>
      </c>
      <c r="F782" s="13">
        <v>4</v>
      </c>
      <c r="G782" s="22">
        <f>Overview!$B$50</f>
        <v>24</v>
      </c>
      <c r="H782" s="23">
        <f>G782-I782</f>
        <v>24</v>
      </c>
      <c r="I782" s="114">
        <f>Overview!$E$50</f>
        <v>0</v>
      </c>
      <c r="J782" s="24">
        <f>I782/F782</f>
        <v>0</v>
      </c>
      <c r="K782" s="116">
        <f>Overview!$H$50</f>
        <v>0</v>
      </c>
      <c r="L782" s="51" t="e">
        <f>(K782-J782)/K782</f>
        <v>#DIV/0!</v>
      </c>
      <c r="M782" s="179"/>
      <c r="N782" s="179" t="s">
        <v>3169</v>
      </c>
      <c r="O782" s="141">
        <f>I782</f>
        <v>0</v>
      </c>
      <c r="P782" s="181" t="b">
        <f>COUNTIF('Facility Data'!$A$1:$A$1500,"*"&amp;A782&amp;"*")&gt;0</f>
        <v>0</v>
      </c>
      <c r="Q782" s="181" t="b">
        <f>COUNTIF('Account Data'!$A$1:$A$1000,"*"&amp;A782&amp;"*")&gt;0</f>
        <v>0</v>
      </c>
      <c r="R782" s="182" t="b">
        <f>IF(OR(P782=TRUE,T782=TRUE),TRUE,FALSE)</f>
        <v>0</v>
      </c>
      <c r="S782" s="182" t="b">
        <f>IF(OR(Q782=TRUE,T782=TRUE),TRUE,FALSE)</f>
        <v>0</v>
      </c>
      <c r="T782" s="181" t="b">
        <f>COUNTIF('New Items'!$A$1:$A$175,A782)&gt;0</f>
        <v>0</v>
      </c>
      <c r="U782" s="181" t="b">
        <f>COUNTIF(Discontinued!$A$1:$A$150,A782)&gt;0</f>
        <v>0</v>
      </c>
    </row>
    <row r="783" spans="1:21" s="8" customFormat="1" ht="11.25" x14ac:dyDescent="0.2">
      <c r="A783" s="152">
        <v>10000019</v>
      </c>
      <c r="B783" s="10" t="s">
        <v>4031</v>
      </c>
      <c r="C783" s="12" t="s">
        <v>353</v>
      </c>
      <c r="D783" s="11" t="s">
        <v>671</v>
      </c>
      <c r="E783" s="12" t="s">
        <v>774</v>
      </c>
      <c r="F783" s="13">
        <v>4</v>
      </c>
      <c r="G783" s="22">
        <f>Overview!$B$50</f>
        <v>24</v>
      </c>
      <c r="H783" s="23">
        <f>G783-I783</f>
        <v>24</v>
      </c>
      <c r="I783" s="114">
        <f>Overview!$E$50</f>
        <v>0</v>
      </c>
      <c r="J783" s="24">
        <f>I783/F783</f>
        <v>0</v>
      </c>
      <c r="K783" s="116">
        <f>Overview!$H$50</f>
        <v>0</v>
      </c>
      <c r="L783" s="51" t="e">
        <f>(K783-J783)/K783</f>
        <v>#DIV/0!</v>
      </c>
      <c r="M783" s="179"/>
      <c r="N783" s="179" t="s">
        <v>3169</v>
      </c>
      <c r="O783" s="141">
        <f>I783</f>
        <v>0</v>
      </c>
      <c r="P783" s="181" t="b">
        <f>COUNTIF('Facility Data'!$A$1:$A$1500,"*"&amp;A783&amp;"*")&gt;0</f>
        <v>0</v>
      </c>
      <c r="Q783" s="181" t="b">
        <f>COUNTIF('Account Data'!$A$1:$A$1000,"*"&amp;A783&amp;"*")&gt;0</f>
        <v>0</v>
      </c>
      <c r="R783" s="182" t="b">
        <f>IF(OR(P783=TRUE,T783=TRUE),TRUE,FALSE)</f>
        <v>0</v>
      </c>
      <c r="S783" s="182" t="b">
        <f>IF(OR(Q783=TRUE,T783=TRUE),TRUE,FALSE)</f>
        <v>0</v>
      </c>
      <c r="T783" s="181" t="b">
        <f>COUNTIF('New Items'!$A$1:$A$175,A783)&gt;0</f>
        <v>0</v>
      </c>
      <c r="U783" s="181" t="b">
        <f>COUNTIF(Discontinued!$A$1:$A$150,A783)&gt;0</f>
        <v>0</v>
      </c>
    </row>
    <row r="784" spans="1:21" s="8" customFormat="1" ht="11.25" x14ac:dyDescent="0.2">
      <c r="A784" s="152">
        <v>10000018</v>
      </c>
      <c r="B784" s="10" t="s">
        <v>4030</v>
      </c>
      <c r="C784" s="12" t="s">
        <v>349</v>
      </c>
      <c r="D784" s="11" t="s">
        <v>668</v>
      </c>
      <c r="E784" s="12" t="s">
        <v>774</v>
      </c>
      <c r="F784" s="13">
        <v>4</v>
      </c>
      <c r="G784" s="22">
        <f>Overview!$B$50</f>
        <v>24</v>
      </c>
      <c r="H784" s="114">
        <f>G784-I784</f>
        <v>24</v>
      </c>
      <c r="I784" s="114">
        <f>Overview!$E$50</f>
        <v>0</v>
      </c>
      <c r="J784" s="115">
        <f>I784/F784</f>
        <v>0</v>
      </c>
      <c r="K784" s="116">
        <f>Overview!$H$50</f>
        <v>0</v>
      </c>
      <c r="L784" s="51" t="e">
        <f>(K784-J784)/K784</f>
        <v>#DIV/0!</v>
      </c>
      <c r="M784" s="179"/>
      <c r="N784" s="179" t="s">
        <v>3169</v>
      </c>
      <c r="O784" s="141">
        <f>I784</f>
        <v>0</v>
      </c>
      <c r="P784" s="181" t="b">
        <f>COUNTIF('Facility Data'!$A$1:$A$1500,"*"&amp;A784&amp;"*")&gt;0</f>
        <v>0</v>
      </c>
      <c r="Q784" s="181" t="b">
        <f>COUNTIF('Account Data'!$A$1:$A$1000,"*"&amp;A784&amp;"*")&gt;0</f>
        <v>0</v>
      </c>
      <c r="R784" s="182" t="b">
        <f>IF(OR(P784=TRUE,T784=TRUE),TRUE,FALSE)</f>
        <v>0</v>
      </c>
      <c r="S784" s="182" t="b">
        <f>IF(OR(Q784=TRUE,T784=TRUE),TRUE,FALSE)</f>
        <v>0</v>
      </c>
      <c r="T784" s="181" t="b">
        <f>COUNTIF('New Items'!$A$1:$A$175,A784)&gt;0</f>
        <v>0</v>
      </c>
      <c r="U784" s="181" t="b">
        <f>COUNTIF(Discontinued!$A$1:$A$150,A784)&gt;0</f>
        <v>0</v>
      </c>
    </row>
    <row r="785" spans="1:21" s="8" customFormat="1" ht="11.25" x14ac:dyDescent="0.2">
      <c r="A785" s="152">
        <v>10000021</v>
      </c>
      <c r="B785" s="10" t="s">
        <v>4032</v>
      </c>
      <c r="C785" s="12" t="s">
        <v>350</v>
      </c>
      <c r="D785" s="11" t="s">
        <v>670</v>
      </c>
      <c r="E785" s="12" t="s">
        <v>774</v>
      </c>
      <c r="F785" s="13">
        <v>4</v>
      </c>
      <c r="G785" s="22">
        <f>Overview!$B$50</f>
        <v>24</v>
      </c>
      <c r="H785" s="23">
        <f>G785-I785</f>
        <v>24</v>
      </c>
      <c r="I785" s="114">
        <f>Overview!$E$50</f>
        <v>0</v>
      </c>
      <c r="J785" s="24">
        <f>I785/F785</f>
        <v>0</v>
      </c>
      <c r="K785" s="116">
        <f>Overview!$H$50</f>
        <v>0</v>
      </c>
      <c r="L785" s="51" t="e">
        <f>(K785-J785)/K785</f>
        <v>#DIV/0!</v>
      </c>
      <c r="M785" s="179"/>
      <c r="N785" s="179" t="s">
        <v>3169</v>
      </c>
      <c r="O785" s="141">
        <f>I785</f>
        <v>0</v>
      </c>
      <c r="P785" s="181" t="b">
        <f>COUNTIF('Facility Data'!$A$1:$A$1500,"*"&amp;A785&amp;"*")&gt;0</f>
        <v>0</v>
      </c>
      <c r="Q785" s="181" t="b">
        <f>COUNTIF('Account Data'!$A$1:$A$1000,"*"&amp;A785&amp;"*")&gt;0</f>
        <v>0</v>
      </c>
      <c r="R785" s="182" t="b">
        <f>IF(OR(P785=TRUE,T785=TRUE),TRUE,FALSE)</f>
        <v>0</v>
      </c>
      <c r="S785" s="182" t="b">
        <f>IF(OR(Q785=TRUE,T785=TRUE),TRUE,FALSE)</f>
        <v>0</v>
      </c>
      <c r="T785" s="181" t="b">
        <f>COUNTIF('New Items'!$A$1:$A$175,A785)&gt;0</f>
        <v>0</v>
      </c>
      <c r="U785" s="181" t="b">
        <f>COUNTIF(Discontinued!$A$1:$A$150,A785)&gt;0</f>
        <v>0</v>
      </c>
    </row>
    <row r="786" spans="1:21" s="8" customFormat="1" ht="12" thickBot="1" x14ac:dyDescent="0.25">
      <c r="A786" s="152">
        <v>10060240</v>
      </c>
      <c r="B786" s="10" t="s">
        <v>4033</v>
      </c>
      <c r="C786" s="12" t="s">
        <v>352</v>
      </c>
      <c r="D786" s="11" t="s">
        <v>672</v>
      </c>
      <c r="E786" s="12" t="s">
        <v>774</v>
      </c>
      <c r="F786" s="13">
        <v>4</v>
      </c>
      <c r="G786" s="22">
        <f>Overview!$B$50</f>
        <v>24</v>
      </c>
      <c r="H786" s="23">
        <f>G786-I786</f>
        <v>24</v>
      </c>
      <c r="I786" s="114">
        <f>Overview!$E$50</f>
        <v>0</v>
      </c>
      <c r="J786" s="24">
        <f>I786/F786</f>
        <v>0</v>
      </c>
      <c r="K786" s="116">
        <f>Overview!$H$50</f>
        <v>0</v>
      </c>
      <c r="L786" s="51" t="e">
        <f>(K786-J786)/K786</f>
        <v>#DIV/0!</v>
      </c>
      <c r="M786" s="179"/>
      <c r="N786" s="179" t="s">
        <v>3169</v>
      </c>
      <c r="O786" s="141">
        <f>I786</f>
        <v>0</v>
      </c>
      <c r="P786" s="181" t="b">
        <f>COUNTIF('Facility Data'!$A$1:$A$1500,"*"&amp;A786&amp;"*")&gt;0</f>
        <v>0</v>
      </c>
      <c r="Q786" s="181" t="b">
        <f>COUNTIF('Account Data'!$A$1:$A$1000,"*"&amp;A786&amp;"*")&gt;0</f>
        <v>0</v>
      </c>
      <c r="R786" s="182" t="b">
        <f>IF(OR(P786=TRUE,T786=TRUE),TRUE,FALSE)</f>
        <v>0</v>
      </c>
      <c r="S786" s="182" t="b">
        <f>IF(OR(Q786=TRUE,T786=TRUE),TRUE,FALSE)</f>
        <v>0</v>
      </c>
      <c r="T786" s="181" t="b">
        <f>COUNTIF('New Items'!$A$1:$A$175,A786)&gt;0</f>
        <v>0</v>
      </c>
      <c r="U786" s="181" t="b">
        <f>COUNTIF(Discontinued!$A$1:$A$150,A786)&gt;0</f>
        <v>0</v>
      </c>
    </row>
    <row r="787" spans="1:21" s="8" customFormat="1" ht="13.5" thickBot="1" x14ac:dyDescent="0.25">
      <c r="A787" s="300" t="s">
        <v>3846</v>
      </c>
      <c r="B787" s="301"/>
      <c r="C787" s="301"/>
      <c r="D787" s="301"/>
      <c r="E787" s="301"/>
      <c r="F787" s="301"/>
      <c r="G787" s="301"/>
      <c r="H787" s="301"/>
      <c r="I787" s="301"/>
      <c r="J787" s="301"/>
      <c r="K787" s="301"/>
      <c r="L787" s="302"/>
      <c r="M787" s="179"/>
      <c r="N787" s="179" t="s">
        <v>3845</v>
      </c>
      <c r="O787" s="141">
        <f>AVERAGE(O788:O790)</f>
        <v>0</v>
      </c>
      <c r="P787" s="181" t="b">
        <f>COUNTIF(P788:P790,TRUE)&gt;0</f>
        <v>0</v>
      </c>
      <c r="Q787" s="181" t="b">
        <f>COUNTIF(Q788:Q790,TRUE)&gt;0</f>
        <v>0</v>
      </c>
      <c r="R787" s="181" t="b">
        <f>COUNTIF(R788:R790,TRUE)&gt;0</f>
        <v>0</v>
      </c>
      <c r="S787" s="181" t="b">
        <f>COUNTIF(S788:S790,TRUE)&gt;0</f>
        <v>0</v>
      </c>
      <c r="T787" s="181" t="b">
        <f>COUNTIF(T788:T790,TRUE)&gt;0</f>
        <v>0</v>
      </c>
      <c r="U787" s="181"/>
    </row>
    <row r="788" spans="1:21" s="8" customFormat="1" ht="11.25" x14ac:dyDescent="0.2">
      <c r="A788" s="152">
        <v>10079290</v>
      </c>
      <c r="B788" s="10" t="s">
        <v>3847</v>
      </c>
      <c r="C788" s="12" t="s">
        <v>3848</v>
      </c>
      <c r="D788" s="11" t="s">
        <v>669</v>
      </c>
      <c r="E788" s="12" t="s">
        <v>757</v>
      </c>
      <c r="F788" s="13">
        <v>24</v>
      </c>
      <c r="G788" s="22">
        <f>Overview!$B$51</f>
        <v>36</v>
      </c>
      <c r="H788" s="23">
        <f>G788-I788</f>
        <v>36</v>
      </c>
      <c r="I788" s="114">
        <f>Overview!$E$51</f>
        <v>0</v>
      </c>
      <c r="J788" s="24">
        <f>I788/F788</f>
        <v>0</v>
      </c>
      <c r="K788" s="116">
        <f>Overview!$H$51</f>
        <v>0</v>
      </c>
      <c r="L788" s="51" t="e">
        <f>(K788-J788)/K788</f>
        <v>#DIV/0!</v>
      </c>
      <c r="M788" s="179"/>
      <c r="N788" s="179" t="s">
        <v>3845</v>
      </c>
      <c r="O788" s="141">
        <f>I788</f>
        <v>0</v>
      </c>
      <c r="P788" s="181" t="b">
        <f>COUNTIF('Facility Data'!$A$1:$A$1500,"*"&amp;A788&amp;"*")&gt;0</f>
        <v>0</v>
      </c>
      <c r="Q788" s="181" t="b">
        <f>COUNTIF('Account Data'!$A$1:$A$1000,"*"&amp;A788&amp;"*")&gt;0</f>
        <v>0</v>
      </c>
      <c r="R788" s="182" t="b">
        <f>IF(OR(P788=TRUE,T788=TRUE),TRUE,FALSE)</f>
        <v>0</v>
      </c>
      <c r="S788" s="182" t="b">
        <f>IF(OR(Q788=TRUE,T788=TRUE),TRUE,FALSE)</f>
        <v>0</v>
      </c>
      <c r="T788" s="181" t="b">
        <f>COUNTIF('New Items'!$A$1:$A$175,A788)&gt;0</f>
        <v>0</v>
      </c>
      <c r="U788" s="181" t="b">
        <f>COUNTIF(Discontinued!$A$1:$A$150,A788)&gt;0</f>
        <v>0</v>
      </c>
    </row>
    <row r="789" spans="1:21" s="8" customFormat="1" ht="11.25" x14ac:dyDescent="0.2">
      <c r="A789" s="160">
        <v>10004675</v>
      </c>
      <c r="B789" s="231" t="s">
        <v>2446</v>
      </c>
      <c r="C789" s="118" t="s">
        <v>2702</v>
      </c>
      <c r="D789" s="119" t="s">
        <v>668</v>
      </c>
      <c r="E789" s="12" t="s">
        <v>757</v>
      </c>
      <c r="F789" s="13">
        <v>24</v>
      </c>
      <c r="G789" s="22">
        <f>Overview!$B$51</f>
        <v>36</v>
      </c>
      <c r="H789" s="23">
        <f>G789-I789</f>
        <v>36</v>
      </c>
      <c r="I789" s="114">
        <f>Overview!$E$51</f>
        <v>0</v>
      </c>
      <c r="J789" s="24">
        <f>I789/F789</f>
        <v>0</v>
      </c>
      <c r="K789" s="116">
        <f>Overview!$H$51</f>
        <v>0</v>
      </c>
      <c r="L789" s="51" t="e">
        <f>(K789-J789)/K789</f>
        <v>#DIV/0!</v>
      </c>
      <c r="M789" s="179"/>
      <c r="N789" s="179" t="s">
        <v>3845</v>
      </c>
      <c r="O789" s="141">
        <f>I789</f>
        <v>0</v>
      </c>
      <c r="P789" s="181" t="b">
        <f>COUNTIF('Facility Data'!$A$1:$A$1500,"*"&amp;A789&amp;"*")&gt;0</f>
        <v>0</v>
      </c>
      <c r="Q789" s="181" t="b">
        <f>COUNTIF('Account Data'!$A$1:$A$1000,"*"&amp;A789&amp;"*")&gt;0</f>
        <v>0</v>
      </c>
      <c r="R789" s="182" t="b">
        <f>IF(OR(P789=TRUE,T789=TRUE),TRUE,FALSE)</f>
        <v>0</v>
      </c>
      <c r="S789" s="182" t="b">
        <f>IF(OR(Q789=TRUE,T789=TRUE),TRUE,FALSE)</f>
        <v>0</v>
      </c>
      <c r="T789" s="181" t="b">
        <f>COUNTIF('New Items'!$A$1:$A$175,A789)&gt;0</f>
        <v>0</v>
      </c>
      <c r="U789" s="181" t="b">
        <f>COUNTIF(Discontinued!$A$1:$A$150,A789)&gt;0</f>
        <v>0</v>
      </c>
    </row>
    <row r="790" spans="1:21" s="8" customFormat="1" ht="12" thickBot="1" x14ac:dyDescent="0.25">
      <c r="A790" s="152">
        <v>10079293</v>
      </c>
      <c r="B790" s="10" t="s">
        <v>3849</v>
      </c>
      <c r="C790" s="12" t="s">
        <v>3850</v>
      </c>
      <c r="D790" s="11" t="s">
        <v>674</v>
      </c>
      <c r="E790" s="12" t="s">
        <v>757</v>
      </c>
      <c r="F790" s="13">
        <v>24</v>
      </c>
      <c r="G790" s="22">
        <f>Overview!$B$51</f>
        <v>36</v>
      </c>
      <c r="H790" s="23">
        <f>G790-I790</f>
        <v>36</v>
      </c>
      <c r="I790" s="114">
        <f>Overview!$E$51</f>
        <v>0</v>
      </c>
      <c r="J790" s="24">
        <f>I790/F790</f>
        <v>0</v>
      </c>
      <c r="K790" s="116">
        <f>Overview!$H$51</f>
        <v>0</v>
      </c>
      <c r="L790" s="51" t="e">
        <f>(K790-J790)/K790</f>
        <v>#DIV/0!</v>
      </c>
      <c r="M790" s="179"/>
      <c r="N790" s="179" t="s">
        <v>3845</v>
      </c>
      <c r="O790" s="141">
        <f>I790</f>
        <v>0</v>
      </c>
      <c r="P790" s="181" t="b">
        <f>COUNTIF('Facility Data'!$A$1:$A$1500,"*"&amp;A790&amp;"*")&gt;0</f>
        <v>0</v>
      </c>
      <c r="Q790" s="181" t="b">
        <f>COUNTIF('Account Data'!$A$1:$A$1000,"*"&amp;A790&amp;"*")&gt;0</f>
        <v>0</v>
      </c>
      <c r="R790" s="182" t="b">
        <f>IF(OR(P790=TRUE,T790=TRUE),TRUE,FALSE)</f>
        <v>0</v>
      </c>
      <c r="S790" s="182" t="b">
        <f>IF(OR(Q790=TRUE,T790=TRUE),TRUE,FALSE)</f>
        <v>0</v>
      </c>
      <c r="T790" s="181" t="b">
        <f>COUNTIF('New Items'!$A$1:$A$175,A790)&gt;0</f>
        <v>0</v>
      </c>
      <c r="U790" s="181" t="b">
        <f>COUNTIF(Discontinued!$A$1:$A$150,A790)&gt;0</f>
        <v>0</v>
      </c>
    </row>
    <row r="791" spans="1:21" s="8" customFormat="1" ht="13.5" thickBot="1" x14ac:dyDescent="0.25">
      <c r="A791" s="300" t="s">
        <v>3165</v>
      </c>
      <c r="B791" s="301"/>
      <c r="C791" s="301"/>
      <c r="D791" s="301"/>
      <c r="E791" s="301"/>
      <c r="F791" s="301"/>
      <c r="G791" s="301"/>
      <c r="H791" s="301"/>
      <c r="I791" s="301"/>
      <c r="J791" s="301"/>
      <c r="K791" s="301"/>
      <c r="L791" s="302"/>
      <c r="M791" s="179"/>
      <c r="N791" s="179" t="s">
        <v>3170</v>
      </c>
      <c r="O791" s="141">
        <f>AVERAGE(O792:O795)</f>
        <v>0</v>
      </c>
      <c r="P791" s="181" t="b">
        <f>COUNTIF(P792:P795,TRUE)&gt;0</f>
        <v>0</v>
      </c>
      <c r="Q791" s="181" t="b">
        <f>COUNTIF(Q792:Q795,TRUE)&gt;0</f>
        <v>0</v>
      </c>
      <c r="R791" s="181" t="b">
        <f>COUNTIF(R792:R795,TRUE)&gt;0</f>
        <v>0</v>
      </c>
      <c r="S791" s="181" t="b">
        <f>COUNTIF(S792:S795,TRUE)&gt;0</f>
        <v>0</v>
      </c>
      <c r="T791" s="181" t="b">
        <f>COUNTIF(T792:T795,TRUE)&gt;0</f>
        <v>0</v>
      </c>
      <c r="U791" s="249"/>
    </row>
    <row r="792" spans="1:21" s="8" customFormat="1" ht="11.25" x14ac:dyDescent="0.2">
      <c r="A792" s="152">
        <v>10003031</v>
      </c>
      <c r="B792" s="10" t="s">
        <v>2943</v>
      </c>
      <c r="C792" s="12" t="s">
        <v>2944</v>
      </c>
      <c r="D792" s="11" t="s">
        <v>669</v>
      </c>
      <c r="E792" s="12" t="s">
        <v>761</v>
      </c>
      <c r="F792" s="13">
        <v>12</v>
      </c>
      <c r="G792" s="22">
        <f>Overview!$B$52</f>
        <v>18</v>
      </c>
      <c r="H792" s="23">
        <f>G792-I792</f>
        <v>18</v>
      </c>
      <c r="I792" s="114">
        <f>Overview!$E$52</f>
        <v>0</v>
      </c>
      <c r="J792" s="24">
        <f>I792/F792</f>
        <v>0</v>
      </c>
      <c r="K792" s="116">
        <f>Overview!$H$52</f>
        <v>0</v>
      </c>
      <c r="L792" s="51" t="e">
        <f>(K792-J792)/K792</f>
        <v>#DIV/0!</v>
      </c>
      <c r="M792" s="179"/>
      <c r="N792" s="179" t="s">
        <v>3170</v>
      </c>
      <c r="O792" s="141">
        <f>I792</f>
        <v>0</v>
      </c>
      <c r="P792" s="181" t="b">
        <f>COUNTIF('Facility Data'!$A$1:$A$1500,"*"&amp;A792&amp;"*")&gt;0</f>
        <v>0</v>
      </c>
      <c r="Q792" s="181" t="b">
        <f>COUNTIF('Account Data'!$A$1:$A$1000,"*"&amp;A792&amp;"*")&gt;0</f>
        <v>0</v>
      </c>
      <c r="R792" s="182" t="b">
        <f>IF(OR(P792=TRUE,T792=TRUE),TRUE,FALSE)</f>
        <v>0</v>
      </c>
      <c r="S792" s="182" t="b">
        <f>IF(OR(Q792=TRUE,T792=TRUE),TRUE,FALSE)</f>
        <v>0</v>
      </c>
      <c r="T792" s="181" t="b">
        <f>COUNTIF('New Items'!$A$1:$A$175,A792)&gt;0</f>
        <v>0</v>
      </c>
      <c r="U792" s="181" t="b">
        <f>COUNTIF(Discontinued!$A$1:$A$150,A792)&gt;0</f>
        <v>0</v>
      </c>
    </row>
    <row r="793" spans="1:21" s="8" customFormat="1" ht="11.25" x14ac:dyDescent="0.2">
      <c r="A793" s="152">
        <v>10003032</v>
      </c>
      <c r="B793" s="10" t="s">
        <v>2947</v>
      </c>
      <c r="C793" s="12" t="s">
        <v>2948</v>
      </c>
      <c r="D793" s="11" t="s">
        <v>671</v>
      </c>
      <c r="E793" s="12" t="s">
        <v>761</v>
      </c>
      <c r="F793" s="13">
        <v>12</v>
      </c>
      <c r="G793" s="22">
        <f>Overview!$B$52</f>
        <v>18</v>
      </c>
      <c r="H793" s="23">
        <f>G793-I793</f>
        <v>18</v>
      </c>
      <c r="I793" s="114">
        <f>Overview!$E$52</f>
        <v>0</v>
      </c>
      <c r="J793" s="24">
        <f>I793/F793</f>
        <v>0</v>
      </c>
      <c r="K793" s="116">
        <f>Overview!$H$52</f>
        <v>0</v>
      </c>
      <c r="L793" s="51" t="e">
        <f>(K793-J793)/K793</f>
        <v>#DIV/0!</v>
      </c>
      <c r="M793" s="179"/>
      <c r="N793" s="179" t="s">
        <v>3170</v>
      </c>
      <c r="O793" s="141">
        <f>I793</f>
        <v>0</v>
      </c>
      <c r="P793" s="181" t="b">
        <f>COUNTIF('Facility Data'!$A$1:$A$1500,"*"&amp;A793&amp;"*")&gt;0</f>
        <v>0</v>
      </c>
      <c r="Q793" s="181" t="b">
        <f>COUNTIF('Account Data'!$A$1:$A$1000,"*"&amp;A793&amp;"*")&gt;0</f>
        <v>0</v>
      </c>
      <c r="R793" s="182" t="b">
        <f>IF(OR(P793=TRUE,T793=TRUE),TRUE,FALSE)</f>
        <v>0</v>
      </c>
      <c r="S793" s="182" t="b">
        <f>IF(OR(Q793=TRUE,T793=TRUE),TRUE,FALSE)</f>
        <v>0</v>
      </c>
      <c r="T793" s="181" t="b">
        <f>COUNTIF('New Items'!$A$1:$A$175,A793)&gt;0</f>
        <v>0</v>
      </c>
      <c r="U793" s="181" t="b">
        <f>COUNTIF(Discontinued!$A$1:$A$150,A793)&gt;0</f>
        <v>0</v>
      </c>
    </row>
    <row r="794" spans="1:21" s="8" customFormat="1" ht="11.25" x14ac:dyDescent="0.2">
      <c r="A794" s="152">
        <v>10003033</v>
      </c>
      <c r="B794" s="10" t="s">
        <v>2941</v>
      </c>
      <c r="C794" s="12" t="s">
        <v>2942</v>
      </c>
      <c r="D794" s="11" t="s">
        <v>668</v>
      </c>
      <c r="E794" s="12" t="s">
        <v>761</v>
      </c>
      <c r="F794" s="13">
        <v>12</v>
      </c>
      <c r="G794" s="22">
        <f>Overview!$B$52</f>
        <v>18</v>
      </c>
      <c r="H794" s="23">
        <f>G794-I794</f>
        <v>18</v>
      </c>
      <c r="I794" s="114">
        <f>Overview!$E$52</f>
        <v>0</v>
      </c>
      <c r="J794" s="24">
        <f>I794/F794</f>
        <v>0</v>
      </c>
      <c r="K794" s="116">
        <f>Overview!$H$52</f>
        <v>0</v>
      </c>
      <c r="L794" s="51" t="e">
        <f>(K794-J794)/K794</f>
        <v>#DIV/0!</v>
      </c>
      <c r="M794" s="179"/>
      <c r="N794" s="179" t="s">
        <v>3170</v>
      </c>
      <c r="O794" s="141">
        <f>I794</f>
        <v>0</v>
      </c>
      <c r="P794" s="181" t="b">
        <f>COUNTIF('Facility Data'!$A$1:$A$1500,"*"&amp;A794&amp;"*")&gt;0</f>
        <v>0</v>
      </c>
      <c r="Q794" s="181" t="b">
        <f>COUNTIF('Account Data'!$A$1:$A$1000,"*"&amp;A794&amp;"*")&gt;0</f>
        <v>0</v>
      </c>
      <c r="R794" s="182" t="b">
        <f>IF(OR(P794=TRUE,T794=TRUE),TRUE,FALSE)</f>
        <v>0</v>
      </c>
      <c r="S794" s="182" t="b">
        <f>IF(OR(Q794=TRUE,T794=TRUE),TRUE,FALSE)</f>
        <v>0</v>
      </c>
      <c r="T794" s="181" t="b">
        <f>COUNTIF('New Items'!$A$1:$A$175,A794)&gt;0</f>
        <v>0</v>
      </c>
      <c r="U794" s="181" t="b">
        <f>COUNTIF(Discontinued!$A$1:$A$150,A794)&gt;0</f>
        <v>0</v>
      </c>
    </row>
    <row r="795" spans="1:21" s="8" customFormat="1" ht="12" thickBot="1" x14ac:dyDescent="0.25">
      <c r="A795" s="152">
        <v>10003034</v>
      </c>
      <c r="B795" s="10" t="s">
        <v>2945</v>
      </c>
      <c r="C795" s="12" t="s">
        <v>2946</v>
      </c>
      <c r="D795" s="11" t="s">
        <v>670</v>
      </c>
      <c r="E795" s="12" t="s">
        <v>761</v>
      </c>
      <c r="F795" s="13">
        <v>12</v>
      </c>
      <c r="G795" s="22">
        <f>Overview!$B$52</f>
        <v>18</v>
      </c>
      <c r="H795" s="23">
        <f>G795-I795</f>
        <v>18</v>
      </c>
      <c r="I795" s="114">
        <f>Overview!$E$52</f>
        <v>0</v>
      </c>
      <c r="J795" s="24">
        <f>I795/F795</f>
        <v>0</v>
      </c>
      <c r="K795" s="116">
        <f>Overview!$H$52</f>
        <v>0</v>
      </c>
      <c r="L795" s="51" t="e">
        <f>(K795-J795)/K795</f>
        <v>#DIV/0!</v>
      </c>
      <c r="M795" s="179"/>
      <c r="N795" s="179" t="s">
        <v>3170</v>
      </c>
      <c r="O795" s="141">
        <f>I795</f>
        <v>0</v>
      </c>
      <c r="P795" s="181" t="b">
        <f>COUNTIF('Facility Data'!$A$1:$A$1500,"*"&amp;A795&amp;"*")&gt;0</f>
        <v>0</v>
      </c>
      <c r="Q795" s="181" t="b">
        <f>COUNTIF('Account Data'!$A$1:$A$1000,"*"&amp;A795&amp;"*")&gt;0</f>
        <v>0</v>
      </c>
      <c r="R795" s="182" t="b">
        <f>IF(OR(P795=TRUE,T795=TRUE),TRUE,FALSE)</f>
        <v>0</v>
      </c>
      <c r="S795" s="182" t="b">
        <f>IF(OR(Q795=TRUE,T795=TRUE),TRUE,FALSE)</f>
        <v>0</v>
      </c>
      <c r="T795" s="181" t="b">
        <f>COUNTIF('New Items'!$A$1:$A$175,A795)&gt;0</f>
        <v>0</v>
      </c>
      <c r="U795" s="181" t="b">
        <f>COUNTIF(Discontinued!$A$1:$A$150,A795)&gt;0</f>
        <v>0</v>
      </c>
    </row>
    <row r="796" spans="1:21" s="8" customFormat="1" ht="13.5" thickBot="1" x14ac:dyDescent="0.25">
      <c r="A796" s="300" t="s">
        <v>3287</v>
      </c>
      <c r="B796" s="301"/>
      <c r="C796" s="301"/>
      <c r="D796" s="301"/>
      <c r="E796" s="301"/>
      <c r="F796" s="301"/>
      <c r="G796" s="301"/>
      <c r="H796" s="301"/>
      <c r="I796" s="301"/>
      <c r="J796" s="301"/>
      <c r="K796" s="301"/>
      <c r="L796" s="302"/>
      <c r="M796" s="179"/>
      <c r="N796" s="179" t="s">
        <v>3171</v>
      </c>
      <c r="O796" s="141">
        <f>AVERAGE(O797:O801)</f>
        <v>0</v>
      </c>
      <c r="P796" s="181" t="b">
        <f>COUNTIF(P797:P801,TRUE)&gt;0</f>
        <v>0</v>
      </c>
      <c r="Q796" s="181" t="b">
        <f>COUNTIF(Q797:Q801,TRUE)&gt;0</f>
        <v>0</v>
      </c>
      <c r="R796" s="181" t="b">
        <f>COUNTIF(R797:R801,TRUE)&gt;0</f>
        <v>0</v>
      </c>
      <c r="S796" s="181" t="b">
        <f>COUNTIF(S797:S801,TRUE)&gt;0</f>
        <v>0</v>
      </c>
      <c r="T796" s="181" t="b">
        <f>COUNTIF(T797:T801,TRUE)&gt;0</f>
        <v>0</v>
      </c>
      <c r="U796" s="249"/>
    </row>
    <row r="797" spans="1:21" s="8" customFormat="1" ht="11.25" x14ac:dyDescent="0.2">
      <c r="A797" s="152">
        <v>10000109</v>
      </c>
      <c r="B797" s="10" t="s">
        <v>2838</v>
      </c>
      <c r="C797" s="12" t="s">
        <v>2839</v>
      </c>
      <c r="D797" s="11" t="s">
        <v>2842</v>
      </c>
      <c r="E797" s="12" t="s">
        <v>773</v>
      </c>
      <c r="F797" s="13">
        <v>8</v>
      </c>
      <c r="G797" s="22">
        <f>Overview!$B$53</f>
        <v>16</v>
      </c>
      <c r="H797" s="23">
        <f>G797-I797</f>
        <v>16</v>
      </c>
      <c r="I797" s="114">
        <f>Overview!$E$53</f>
        <v>0</v>
      </c>
      <c r="J797" s="52">
        <f>I797/F797</f>
        <v>0</v>
      </c>
      <c r="K797" s="116">
        <f>Overview!$H$53</f>
        <v>0</v>
      </c>
      <c r="L797" s="51" t="e">
        <f>(K797-J797)/K797</f>
        <v>#DIV/0!</v>
      </c>
      <c r="M797" s="179"/>
      <c r="N797" s="179" t="s">
        <v>3171</v>
      </c>
      <c r="O797" s="141">
        <f>I797</f>
        <v>0</v>
      </c>
      <c r="P797" s="181" t="b">
        <f>COUNTIF('Facility Data'!$A$1:$A$1500,"*"&amp;A797&amp;"*")&gt;0</f>
        <v>0</v>
      </c>
      <c r="Q797" s="181" t="b">
        <f>COUNTIF('Account Data'!$A$1:$A$1000,"*"&amp;A797&amp;"*")&gt;0</f>
        <v>0</v>
      </c>
      <c r="R797" s="182" t="b">
        <f>IF(OR(P797=TRUE,T797=TRUE),TRUE,FALSE)</f>
        <v>0</v>
      </c>
      <c r="S797" s="182" t="b">
        <f>IF(OR(Q797=TRUE,T797=TRUE),TRUE,FALSE)</f>
        <v>0</v>
      </c>
      <c r="T797" s="181" t="b">
        <f>COUNTIF('New Items'!$A$1:$A$175,A797)&gt;0</f>
        <v>0</v>
      </c>
      <c r="U797" s="181" t="b">
        <f>COUNTIF(Discontinued!$A$1:$A$150,A797)&gt;0</f>
        <v>0</v>
      </c>
    </row>
    <row r="798" spans="1:21" s="8" customFormat="1" ht="11.25" x14ac:dyDescent="0.2">
      <c r="A798" s="152">
        <v>10001489</v>
      </c>
      <c r="B798" s="10" t="s">
        <v>2834</v>
      </c>
      <c r="C798" s="12" t="s">
        <v>2835</v>
      </c>
      <c r="D798" s="11" t="s">
        <v>669</v>
      </c>
      <c r="E798" s="12" t="s">
        <v>773</v>
      </c>
      <c r="F798" s="13">
        <v>8</v>
      </c>
      <c r="G798" s="22">
        <f>Overview!$B$53</f>
        <v>16</v>
      </c>
      <c r="H798" s="23">
        <f>G798-I798</f>
        <v>16</v>
      </c>
      <c r="I798" s="114">
        <f>Overview!$E$53</f>
        <v>0</v>
      </c>
      <c r="J798" s="52">
        <f>I798/F798</f>
        <v>0</v>
      </c>
      <c r="K798" s="116">
        <f>Overview!$H$53</f>
        <v>0</v>
      </c>
      <c r="L798" s="51" t="e">
        <f>(K798-J798)/K798</f>
        <v>#DIV/0!</v>
      </c>
      <c r="M798" s="179"/>
      <c r="N798" s="179" t="s">
        <v>3171</v>
      </c>
      <c r="O798" s="141">
        <f>I798</f>
        <v>0</v>
      </c>
      <c r="P798" s="181" t="b">
        <f>COUNTIF('Facility Data'!$A$1:$A$1500,"*"&amp;A798&amp;"*")&gt;0</f>
        <v>0</v>
      </c>
      <c r="Q798" s="181" t="b">
        <f>COUNTIF('Account Data'!$A$1:$A$1000,"*"&amp;A798&amp;"*")&gt;0</f>
        <v>0</v>
      </c>
      <c r="R798" s="182" t="b">
        <f>IF(OR(P798=TRUE,T798=TRUE),TRUE,FALSE)</f>
        <v>0</v>
      </c>
      <c r="S798" s="182" t="b">
        <f>IF(OR(Q798=TRUE,T798=TRUE),TRUE,FALSE)</f>
        <v>0</v>
      </c>
      <c r="T798" s="181" t="b">
        <f>COUNTIF('New Items'!$A$1:$A$175,A798)&gt;0</f>
        <v>0</v>
      </c>
      <c r="U798" s="181" t="b">
        <f>COUNTIF(Discontinued!$A$1:$A$150,A798)&gt;0</f>
        <v>0</v>
      </c>
    </row>
    <row r="799" spans="1:21" s="8" customFormat="1" ht="11.25" x14ac:dyDescent="0.2">
      <c r="A799" s="152">
        <v>10001766</v>
      </c>
      <c r="B799" s="10" t="s">
        <v>2836</v>
      </c>
      <c r="C799" s="12" t="s">
        <v>2837</v>
      </c>
      <c r="D799" s="11" t="s">
        <v>671</v>
      </c>
      <c r="E799" s="12" t="s">
        <v>773</v>
      </c>
      <c r="F799" s="13">
        <v>8</v>
      </c>
      <c r="G799" s="22">
        <f>Overview!$B$53</f>
        <v>16</v>
      </c>
      <c r="H799" s="23">
        <f>G799-I799</f>
        <v>16</v>
      </c>
      <c r="I799" s="114">
        <f>Overview!$E$53</f>
        <v>0</v>
      </c>
      <c r="J799" s="52">
        <f>I799/F799</f>
        <v>0</v>
      </c>
      <c r="K799" s="116">
        <f>Overview!$H$53</f>
        <v>0</v>
      </c>
      <c r="L799" s="51" t="e">
        <f>(K799-J799)/K799</f>
        <v>#DIV/0!</v>
      </c>
      <c r="M799" s="179"/>
      <c r="N799" s="179" t="s">
        <v>3171</v>
      </c>
      <c r="O799" s="141">
        <f>I799</f>
        <v>0</v>
      </c>
      <c r="P799" s="181" t="b">
        <f>COUNTIF('Facility Data'!$A$1:$A$1500,"*"&amp;A799&amp;"*")&gt;0</f>
        <v>0</v>
      </c>
      <c r="Q799" s="181" t="b">
        <f>COUNTIF('Account Data'!$A$1:$A$1000,"*"&amp;A799&amp;"*")&gt;0</f>
        <v>0</v>
      </c>
      <c r="R799" s="182" t="b">
        <f>IF(OR(P799=TRUE,T799=TRUE),TRUE,FALSE)</f>
        <v>0</v>
      </c>
      <c r="S799" s="182" t="b">
        <f>IF(OR(Q799=TRUE,T799=TRUE),TRUE,FALSE)</f>
        <v>0</v>
      </c>
      <c r="T799" s="181" t="b">
        <f>COUNTIF('New Items'!$A$1:$A$175,A799)&gt;0</f>
        <v>0</v>
      </c>
      <c r="U799" s="181" t="b">
        <f>COUNTIF(Discontinued!$A$1:$A$150,A799)&gt;0</f>
        <v>0</v>
      </c>
    </row>
    <row r="800" spans="1:21" s="8" customFormat="1" ht="11.25" x14ac:dyDescent="0.2">
      <c r="A800" s="152">
        <v>10001486</v>
      </c>
      <c r="B800" s="10" t="s">
        <v>2832</v>
      </c>
      <c r="C800" s="12" t="s">
        <v>2833</v>
      </c>
      <c r="D800" s="11" t="s">
        <v>668</v>
      </c>
      <c r="E800" s="12" t="s">
        <v>773</v>
      </c>
      <c r="F800" s="13">
        <v>8</v>
      </c>
      <c r="G800" s="22">
        <f>Overview!$B$53</f>
        <v>16</v>
      </c>
      <c r="H800" s="23">
        <f>G800-I800</f>
        <v>16</v>
      </c>
      <c r="I800" s="114">
        <f>Overview!$E$53</f>
        <v>0</v>
      </c>
      <c r="J800" s="24">
        <f>I800/F800</f>
        <v>0</v>
      </c>
      <c r="K800" s="116">
        <f>Overview!$H$53</f>
        <v>0</v>
      </c>
      <c r="L800" s="51" t="e">
        <f>(K800-J800)/K800</f>
        <v>#DIV/0!</v>
      </c>
      <c r="M800" s="179"/>
      <c r="N800" s="179" t="s">
        <v>3171</v>
      </c>
      <c r="O800" s="141">
        <f>I800</f>
        <v>0</v>
      </c>
      <c r="P800" s="181" t="b">
        <f>COUNTIF('Facility Data'!$A$1:$A$1500,"*"&amp;A800&amp;"*")&gt;0</f>
        <v>0</v>
      </c>
      <c r="Q800" s="181" t="b">
        <f>COUNTIF('Account Data'!$A$1:$A$1000,"*"&amp;A800&amp;"*")&gt;0</f>
        <v>0</v>
      </c>
      <c r="R800" s="182" t="b">
        <f>IF(OR(P800=TRUE,T800=TRUE),TRUE,FALSE)</f>
        <v>0</v>
      </c>
      <c r="S800" s="182" t="b">
        <f>IF(OR(Q800=TRUE,T800=TRUE),TRUE,FALSE)</f>
        <v>0</v>
      </c>
      <c r="T800" s="181" t="b">
        <f>COUNTIF('New Items'!$A$1:$A$175,A800)&gt;0</f>
        <v>0</v>
      </c>
      <c r="U800" s="181" t="b">
        <f>COUNTIF(Discontinued!$A$1:$A$150,A800)&gt;0</f>
        <v>0</v>
      </c>
    </row>
    <row r="801" spans="1:21" s="8" customFormat="1" ht="12" thickBot="1" x14ac:dyDescent="0.25">
      <c r="A801" s="152">
        <v>10001490</v>
      </c>
      <c r="B801" s="10" t="s">
        <v>2840</v>
      </c>
      <c r="C801" s="12" t="s">
        <v>2841</v>
      </c>
      <c r="D801" s="11" t="s">
        <v>670</v>
      </c>
      <c r="E801" s="12" t="s">
        <v>773</v>
      </c>
      <c r="F801" s="13">
        <v>8</v>
      </c>
      <c r="G801" s="22">
        <f>Overview!$B$53</f>
        <v>16</v>
      </c>
      <c r="H801" s="23">
        <f>G801-I801</f>
        <v>16</v>
      </c>
      <c r="I801" s="114">
        <f>Overview!$E$53</f>
        <v>0</v>
      </c>
      <c r="J801" s="52">
        <f>I801/F801</f>
        <v>0</v>
      </c>
      <c r="K801" s="116">
        <f>Overview!$H$53</f>
        <v>0</v>
      </c>
      <c r="L801" s="51" t="e">
        <f>(K801-J801)/K801</f>
        <v>#DIV/0!</v>
      </c>
      <c r="M801" s="179"/>
      <c r="N801" s="179" t="s">
        <v>3171</v>
      </c>
      <c r="O801" s="141">
        <f>I801</f>
        <v>0</v>
      </c>
      <c r="P801" s="181" t="b">
        <f>COUNTIF('Facility Data'!$A$1:$A$1500,"*"&amp;A801&amp;"*")&gt;0</f>
        <v>0</v>
      </c>
      <c r="Q801" s="181" t="b">
        <f>COUNTIF('Account Data'!$A$1:$A$1000,"*"&amp;A801&amp;"*")&gt;0</f>
        <v>0</v>
      </c>
      <c r="R801" s="182" t="b">
        <f>IF(OR(P801=TRUE,T801=TRUE),TRUE,FALSE)</f>
        <v>0</v>
      </c>
      <c r="S801" s="182" t="b">
        <f>IF(OR(Q801=TRUE,T801=TRUE),TRUE,FALSE)</f>
        <v>0</v>
      </c>
      <c r="T801" s="181" t="b">
        <f>COUNTIF('New Items'!$A$1:$A$175,A801)&gt;0</f>
        <v>0</v>
      </c>
      <c r="U801" s="181" t="b">
        <f>COUNTIF(Discontinued!$A$1:$A$150,A801)&gt;0</f>
        <v>0</v>
      </c>
    </row>
    <row r="802" spans="1:21" s="8" customFormat="1" ht="13.5" thickBot="1" x14ac:dyDescent="0.25">
      <c r="A802" s="300" t="s">
        <v>4151</v>
      </c>
      <c r="B802" s="301"/>
      <c r="C802" s="301"/>
      <c r="D802" s="301"/>
      <c r="E802" s="301"/>
      <c r="F802" s="301"/>
      <c r="G802" s="301"/>
      <c r="H802" s="301"/>
      <c r="I802" s="301"/>
      <c r="J802" s="301"/>
      <c r="K802" s="301"/>
      <c r="L802" s="302"/>
      <c r="M802" s="179"/>
      <c r="N802" s="179" t="s">
        <v>4152</v>
      </c>
      <c r="O802" s="141">
        <f>AVERAGE(O803:O805)</f>
        <v>0</v>
      </c>
      <c r="P802" s="181" t="b">
        <f>COUNTIF(P803:P805,TRUE)&gt;0</f>
        <v>0</v>
      </c>
      <c r="Q802" s="181" t="b">
        <f>COUNTIF(Q803:Q805,TRUE)&gt;0</f>
        <v>0</v>
      </c>
      <c r="R802" s="181" t="b">
        <f>COUNTIF(R803:R805,TRUE)&gt;0</f>
        <v>0</v>
      </c>
      <c r="S802" s="181" t="b">
        <f>COUNTIF(S803:S805,TRUE)&gt;0</f>
        <v>0</v>
      </c>
      <c r="T802" s="181" t="b">
        <f>COUNTIF(T803:T805,TRUE)&gt;0</f>
        <v>0</v>
      </c>
      <c r="U802" s="249"/>
    </row>
    <row r="803" spans="1:21" s="8" customFormat="1" ht="11.25" x14ac:dyDescent="0.2">
      <c r="A803" s="152">
        <v>20004219</v>
      </c>
      <c r="B803" s="10" t="s">
        <v>2854</v>
      </c>
      <c r="C803" s="12" t="s">
        <v>2835</v>
      </c>
      <c r="D803" s="11" t="s">
        <v>669</v>
      </c>
      <c r="E803" s="12" t="s">
        <v>773</v>
      </c>
      <c r="F803" s="13">
        <v>6</v>
      </c>
      <c r="G803" s="22">
        <f>Overview!$B$54</f>
        <v>16</v>
      </c>
      <c r="H803" s="23">
        <f>G803-I803</f>
        <v>16</v>
      </c>
      <c r="I803" s="114">
        <f>Overview!$E$54</f>
        <v>0</v>
      </c>
      <c r="J803" s="52">
        <f>I803/F803</f>
        <v>0</v>
      </c>
      <c r="K803" s="116">
        <f>Overview!$H$54</f>
        <v>0</v>
      </c>
      <c r="L803" s="51" t="e">
        <f>(K803-J803)/K803</f>
        <v>#DIV/0!</v>
      </c>
      <c r="M803" s="179"/>
      <c r="N803" s="179" t="s">
        <v>4152</v>
      </c>
      <c r="O803" s="141">
        <f>I803</f>
        <v>0</v>
      </c>
      <c r="P803" s="181" t="b">
        <f>COUNTIF('Facility Data'!$A$1:$A$1500,"*"&amp;A803&amp;"*")&gt;0</f>
        <v>0</v>
      </c>
      <c r="Q803" s="181" t="b">
        <f>COUNTIF('Account Data'!$A$1:$A$1000,"*"&amp;A803&amp;"*")&gt;0</f>
        <v>0</v>
      </c>
      <c r="R803" s="182" t="b">
        <f>IF(OR(P803=TRUE,T803=TRUE),TRUE,FALSE)</f>
        <v>0</v>
      </c>
      <c r="S803" s="182" t="b">
        <f>IF(OR(Q803=TRUE,T803=TRUE),TRUE,FALSE)</f>
        <v>0</v>
      </c>
      <c r="T803" s="181" t="b">
        <f>COUNTIF('New Items'!$A$1:$A$175,A803)&gt;0</f>
        <v>0</v>
      </c>
      <c r="U803" s="181" t="b">
        <f>COUNTIF(Discontinued!$A$1:$A$150,A803)&gt;0</f>
        <v>0</v>
      </c>
    </row>
    <row r="804" spans="1:21" s="8" customFormat="1" ht="11.25" x14ac:dyDescent="0.2">
      <c r="A804" s="152">
        <v>20004216</v>
      </c>
      <c r="B804" s="10" t="s">
        <v>2855</v>
      </c>
      <c r="C804" s="12" t="s">
        <v>2837</v>
      </c>
      <c r="D804" s="11" t="s">
        <v>671</v>
      </c>
      <c r="E804" s="12" t="s">
        <v>773</v>
      </c>
      <c r="F804" s="13">
        <v>6</v>
      </c>
      <c r="G804" s="22">
        <f>Overview!$B$54</f>
        <v>16</v>
      </c>
      <c r="H804" s="23">
        <f>G804-I804</f>
        <v>16</v>
      </c>
      <c r="I804" s="114">
        <f>Overview!$E$54</f>
        <v>0</v>
      </c>
      <c r="J804" s="52">
        <f>I804/F804</f>
        <v>0</v>
      </c>
      <c r="K804" s="116">
        <f>Overview!$H$54</f>
        <v>0</v>
      </c>
      <c r="L804" s="51" t="e">
        <f>(K804-J804)/K804</f>
        <v>#DIV/0!</v>
      </c>
      <c r="M804" s="179"/>
      <c r="N804" s="179" t="s">
        <v>4152</v>
      </c>
      <c r="O804" s="141">
        <f>I804</f>
        <v>0</v>
      </c>
      <c r="P804" s="181" t="b">
        <f>COUNTIF('Facility Data'!$A$1:$A$1500,"*"&amp;A804&amp;"*")&gt;0</f>
        <v>0</v>
      </c>
      <c r="Q804" s="181" t="b">
        <f>COUNTIF('Account Data'!$A$1:$A$1000,"*"&amp;A804&amp;"*")&gt;0</f>
        <v>0</v>
      </c>
      <c r="R804" s="182" t="b">
        <f>IF(OR(P804=TRUE,T804=TRUE),TRUE,FALSE)</f>
        <v>0</v>
      </c>
      <c r="S804" s="182" t="b">
        <f>IF(OR(Q804=TRUE,T804=TRUE),TRUE,FALSE)</f>
        <v>0</v>
      </c>
      <c r="T804" s="181" t="b">
        <f>COUNTIF('New Items'!$A$1:$A$175,A804)&gt;0</f>
        <v>0</v>
      </c>
      <c r="U804" s="181" t="b">
        <f>COUNTIF(Discontinued!$A$1:$A$150,A804)&gt;0</f>
        <v>0</v>
      </c>
    </row>
    <row r="805" spans="1:21" s="8" customFormat="1" ht="12" thickBot="1" x14ac:dyDescent="0.25">
      <c r="A805" s="152">
        <v>20004217</v>
      </c>
      <c r="B805" s="10" t="s">
        <v>2853</v>
      </c>
      <c r="C805" s="12" t="s">
        <v>2833</v>
      </c>
      <c r="D805" s="11" t="s">
        <v>668</v>
      </c>
      <c r="E805" s="12" t="s">
        <v>773</v>
      </c>
      <c r="F805" s="13">
        <v>6</v>
      </c>
      <c r="G805" s="22">
        <f>Overview!$B$54</f>
        <v>16</v>
      </c>
      <c r="H805" s="23">
        <f>G805-I805</f>
        <v>16</v>
      </c>
      <c r="I805" s="114">
        <f>Overview!$E$54</f>
        <v>0</v>
      </c>
      <c r="J805" s="52">
        <f>I805/F805</f>
        <v>0</v>
      </c>
      <c r="K805" s="116">
        <f>Overview!$H$54</f>
        <v>0</v>
      </c>
      <c r="L805" s="51" t="e">
        <f>(K805-J805)/K805</f>
        <v>#DIV/0!</v>
      </c>
      <c r="M805" s="179"/>
      <c r="N805" s="179" t="s">
        <v>4152</v>
      </c>
      <c r="O805" s="141">
        <f>I805</f>
        <v>0</v>
      </c>
      <c r="P805" s="181" t="b">
        <f>COUNTIF('Facility Data'!$A$1:$A$1500,"*"&amp;A805&amp;"*")&gt;0</f>
        <v>0</v>
      </c>
      <c r="Q805" s="181" t="b">
        <f>COUNTIF('Account Data'!$A$1:$A$1000,"*"&amp;A805&amp;"*")&gt;0</f>
        <v>0</v>
      </c>
      <c r="R805" s="182" t="b">
        <f>IF(OR(P805=TRUE,T805=TRUE),TRUE,FALSE)</f>
        <v>0</v>
      </c>
      <c r="S805" s="182" t="b">
        <f>IF(OR(Q805=TRUE,T805=TRUE),TRUE,FALSE)</f>
        <v>0</v>
      </c>
      <c r="T805" s="181" t="b">
        <f>COUNTIF('New Items'!$A$1:$A$175,A805)&gt;0</f>
        <v>0</v>
      </c>
      <c r="U805" s="181" t="b">
        <f>COUNTIF(Discontinued!$A$1:$A$150,A805)&gt;0</f>
        <v>0</v>
      </c>
    </row>
    <row r="806" spans="1:21" s="8" customFormat="1" ht="13.5" thickBot="1" x14ac:dyDescent="0.25">
      <c r="A806" s="300" t="s">
        <v>4130</v>
      </c>
      <c r="B806" s="301"/>
      <c r="C806" s="301"/>
      <c r="D806" s="301"/>
      <c r="E806" s="301"/>
      <c r="F806" s="301"/>
      <c r="G806" s="301"/>
      <c r="H806" s="301"/>
      <c r="I806" s="301"/>
      <c r="J806" s="301"/>
      <c r="K806" s="301"/>
      <c r="L806" s="302"/>
      <c r="M806" s="179" t="s">
        <v>4148</v>
      </c>
      <c r="N806" s="179" t="s">
        <v>4132</v>
      </c>
      <c r="O806" s="141">
        <f>AVERAGE(O807:O809)</f>
        <v>0</v>
      </c>
      <c r="P806" s="181" t="b">
        <f>COUNTIF(P807:P809,TRUE)&gt;0</f>
        <v>0</v>
      </c>
      <c r="Q806" s="181" t="b">
        <f>COUNTIF(Q807:Q809,TRUE)&gt;0</f>
        <v>0</v>
      </c>
      <c r="R806" s="181" t="b">
        <f>COUNTIF(R807:R809,TRUE)&gt;0</f>
        <v>0</v>
      </c>
      <c r="S806" s="181" t="b">
        <f>COUNTIF(S807:S809,TRUE)&gt;0</f>
        <v>0</v>
      </c>
      <c r="T806" s="181" t="b">
        <f>COUNTIF(T807:T809,TRUE)&gt;0</f>
        <v>0</v>
      </c>
      <c r="U806" s="249"/>
    </row>
    <row r="807" spans="1:21" s="8" customFormat="1" ht="11.25" x14ac:dyDescent="0.2">
      <c r="A807" s="152">
        <v>10000870</v>
      </c>
      <c r="B807" s="10" t="s">
        <v>1666</v>
      </c>
      <c r="C807" s="12" t="s">
        <v>1671</v>
      </c>
      <c r="D807" s="11" t="s">
        <v>1673</v>
      </c>
      <c r="E807" s="12" t="s">
        <v>769</v>
      </c>
      <c r="F807" s="13">
        <v>2</v>
      </c>
      <c r="G807" s="22">
        <f>Overview!$B$59</f>
        <v>14</v>
      </c>
      <c r="H807" s="114">
        <f>G807-I807</f>
        <v>14</v>
      </c>
      <c r="I807" s="114">
        <f>Overview!$E$59</f>
        <v>0</v>
      </c>
      <c r="J807" s="175">
        <f>I807/F807</f>
        <v>0</v>
      </c>
      <c r="K807" s="174">
        <f>Overview!$H$59</f>
        <v>0</v>
      </c>
      <c r="L807" s="176" t="e">
        <f>(K807-J807)/K807</f>
        <v>#DIV/0!</v>
      </c>
      <c r="M807" s="179" t="s">
        <v>4148</v>
      </c>
      <c r="N807" s="179" t="s">
        <v>4132</v>
      </c>
      <c r="O807" s="141">
        <f>I807</f>
        <v>0</v>
      </c>
      <c r="P807" s="181" t="b">
        <f>COUNTIF('Facility Data'!$A$1:$A$1500,"*"&amp;A807&amp;"*")&gt;0</f>
        <v>0</v>
      </c>
      <c r="Q807" s="181" t="b">
        <f>COUNTIF('Account Data'!$A$1:$A$1000,"*"&amp;A807&amp;"*")&gt;0</f>
        <v>0</v>
      </c>
      <c r="R807" s="182" t="b">
        <f>IF(OR(P807=TRUE,T807=TRUE),TRUE,FALSE)</f>
        <v>0</v>
      </c>
      <c r="S807" s="182" t="b">
        <f>IF(OR(Q807=TRUE,T807=TRUE),TRUE,FALSE)</f>
        <v>0</v>
      </c>
      <c r="T807" s="181" t="b">
        <f>COUNTIF('New Items'!$A$1:$A$175,A807)&gt;0</f>
        <v>0</v>
      </c>
      <c r="U807" s="181" t="b">
        <f>COUNTIF(Discontinued!$A$1:$A$150,A807)&gt;0</f>
        <v>0</v>
      </c>
    </row>
    <row r="808" spans="1:21" s="8" customFormat="1" ht="11.25" x14ac:dyDescent="0.2">
      <c r="A808" s="152">
        <v>10000869</v>
      </c>
      <c r="B808" s="10" t="s">
        <v>1667</v>
      </c>
      <c r="C808" s="12" t="s">
        <v>1668</v>
      </c>
      <c r="D808" s="11" t="s">
        <v>1674</v>
      </c>
      <c r="E808" s="12" t="s">
        <v>769</v>
      </c>
      <c r="F808" s="13">
        <v>2</v>
      </c>
      <c r="G808" s="22">
        <f>Overview!$B$59</f>
        <v>14</v>
      </c>
      <c r="H808" s="114">
        <f>G808-I808</f>
        <v>14</v>
      </c>
      <c r="I808" s="114">
        <f>Overview!$E$59</f>
        <v>0</v>
      </c>
      <c r="J808" s="175">
        <f>I808/F808</f>
        <v>0</v>
      </c>
      <c r="K808" s="174">
        <f>Overview!$H$59</f>
        <v>0</v>
      </c>
      <c r="L808" s="176" t="e">
        <f>(K808-J808)/K808</f>
        <v>#DIV/0!</v>
      </c>
      <c r="M808" s="179" t="s">
        <v>4148</v>
      </c>
      <c r="N808" s="179" t="s">
        <v>4132</v>
      </c>
      <c r="O808" s="141">
        <f>I808</f>
        <v>0</v>
      </c>
      <c r="P808" s="181" t="b">
        <f>COUNTIF('Facility Data'!$A$1:$A$1500,"*"&amp;A808&amp;"*")&gt;0</f>
        <v>0</v>
      </c>
      <c r="Q808" s="181" t="b">
        <f>COUNTIF('Account Data'!$A$1:$A$1000,"*"&amp;A808&amp;"*")&gt;0</f>
        <v>0</v>
      </c>
      <c r="R808" s="182" t="b">
        <f>IF(OR(P808=TRUE,T808=TRUE),TRUE,FALSE)</f>
        <v>0</v>
      </c>
      <c r="S808" s="182" t="b">
        <f>IF(OR(Q808=TRUE,T808=TRUE),TRUE,FALSE)</f>
        <v>0</v>
      </c>
      <c r="T808" s="181" t="b">
        <f>COUNTIF('New Items'!$A$1:$A$175,A808)&gt;0</f>
        <v>0</v>
      </c>
      <c r="U808" s="181" t="b">
        <f>COUNTIF(Discontinued!$A$1:$A$150,A808)&gt;0</f>
        <v>0</v>
      </c>
    </row>
    <row r="809" spans="1:21" s="8" customFormat="1" ht="12" thickBot="1" x14ac:dyDescent="0.25">
      <c r="A809" s="152">
        <v>10000868</v>
      </c>
      <c r="B809" s="10" t="s">
        <v>1664</v>
      </c>
      <c r="C809" s="12" t="s">
        <v>1665</v>
      </c>
      <c r="D809" s="11" t="s">
        <v>1672</v>
      </c>
      <c r="E809" s="12" t="s">
        <v>769</v>
      </c>
      <c r="F809" s="13">
        <v>2</v>
      </c>
      <c r="G809" s="22">
        <f>Overview!$B$59</f>
        <v>14</v>
      </c>
      <c r="H809" s="114">
        <f>G809-I809</f>
        <v>14</v>
      </c>
      <c r="I809" s="114">
        <f>Overview!$E$59</f>
        <v>0</v>
      </c>
      <c r="J809" s="175">
        <f>I809/F809</f>
        <v>0</v>
      </c>
      <c r="K809" s="174">
        <f>Overview!$H$59</f>
        <v>0</v>
      </c>
      <c r="L809" s="176" t="e">
        <f>(K809-J809)/K809</f>
        <v>#DIV/0!</v>
      </c>
      <c r="M809" s="179" t="s">
        <v>4148</v>
      </c>
      <c r="N809" s="179" t="s">
        <v>4132</v>
      </c>
      <c r="O809" s="141">
        <f>I809</f>
        <v>0</v>
      </c>
      <c r="P809" s="181" t="b">
        <f>COUNTIF('Facility Data'!$A$1:$A$1500,"*"&amp;A809&amp;"*")&gt;0</f>
        <v>0</v>
      </c>
      <c r="Q809" s="181" t="b">
        <f>COUNTIF('Account Data'!$A$1:$A$1000,"*"&amp;A809&amp;"*")&gt;0</f>
        <v>0</v>
      </c>
      <c r="R809" s="182" t="b">
        <f>IF(OR(P809=TRUE,T809=TRUE),TRUE,FALSE)</f>
        <v>0</v>
      </c>
      <c r="S809" s="182" t="b">
        <f>IF(OR(Q809=TRUE,T809=TRUE),TRUE,FALSE)</f>
        <v>0</v>
      </c>
      <c r="T809" s="181" t="b">
        <f>COUNTIF('New Items'!$A$1:$A$175,A809)&gt;0</f>
        <v>0</v>
      </c>
      <c r="U809" s="181" t="b">
        <f>COUNTIF(Discontinued!$A$1:$A$150,A809)&gt;0</f>
        <v>0</v>
      </c>
    </row>
    <row r="810" spans="1:21" s="8" customFormat="1" ht="13.5" thickBot="1" x14ac:dyDescent="0.25">
      <c r="A810" s="300" t="s">
        <v>4129</v>
      </c>
      <c r="B810" s="301"/>
      <c r="C810" s="301"/>
      <c r="D810" s="301"/>
      <c r="E810" s="301"/>
      <c r="F810" s="301"/>
      <c r="G810" s="301"/>
      <c r="H810" s="301"/>
      <c r="I810" s="301"/>
      <c r="J810" s="301"/>
      <c r="K810" s="301"/>
      <c r="L810" s="302"/>
      <c r="M810" s="179" t="s">
        <v>4148</v>
      </c>
      <c r="N810" s="179" t="s">
        <v>4133</v>
      </c>
      <c r="O810" s="141">
        <f>AVERAGE(O811:O813)</f>
        <v>0</v>
      </c>
      <c r="P810" s="181" t="b">
        <f>COUNTIF(P811:P813,TRUE)&gt;0</f>
        <v>0</v>
      </c>
      <c r="Q810" s="181" t="b">
        <f>COUNTIF(Q811:Q813,TRUE)&gt;0</f>
        <v>0</v>
      </c>
      <c r="R810" s="181" t="b">
        <f>COUNTIF(R811:R813,TRUE)&gt;0</f>
        <v>0</v>
      </c>
      <c r="S810" s="181" t="b">
        <f>COUNTIF(S811:S813,TRUE)&gt;0</f>
        <v>0</v>
      </c>
      <c r="T810" s="181" t="b">
        <f>COUNTIF(T811:T813,TRUE)&gt;0</f>
        <v>0</v>
      </c>
      <c r="U810" s="249"/>
    </row>
    <row r="811" spans="1:21" s="8" customFormat="1" ht="11.25" x14ac:dyDescent="0.2">
      <c r="A811" s="152">
        <v>10001260</v>
      </c>
      <c r="B811" s="10" t="s">
        <v>1728</v>
      </c>
      <c r="C811" s="12" t="s">
        <v>1729</v>
      </c>
      <c r="D811" s="11" t="s">
        <v>1673</v>
      </c>
      <c r="E811" s="12" t="s">
        <v>774</v>
      </c>
      <c r="F811" s="13">
        <v>4</v>
      </c>
      <c r="G811" s="121">
        <f>Overview!$B$60</f>
        <v>24</v>
      </c>
      <c r="H811" s="114">
        <f>G811-I811</f>
        <v>24</v>
      </c>
      <c r="I811" s="114">
        <f>Overview!$E$60</f>
        <v>0</v>
      </c>
      <c r="J811" s="115">
        <f>I811/F811</f>
        <v>0</v>
      </c>
      <c r="K811" s="116">
        <f>Overview!$H$60</f>
        <v>0</v>
      </c>
      <c r="L811" s="117" t="e">
        <f>(K811-J811)/K811</f>
        <v>#DIV/0!</v>
      </c>
      <c r="M811" s="179" t="s">
        <v>4148</v>
      </c>
      <c r="N811" s="179" t="s">
        <v>4133</v>
      </c>
      <c r="O811" s="141">
        <f>I811</f>
        <v>0</v>
      </c>
      <c r="P811" s="181" t="b">
        <f>COUNTIF('Facility Data'!$A$1:$A$1500,"*"&amp;A811&amp;"*")&gt;0</f>
        <v>0</v>
      </c>
      <c r="Q811" s="181" t="b">
        <f>COUNTIF('Account Data'!$A$1:$A$1000,"*"&amp;A811&amp;"*")&gt;0</f>
        <v>0</v>
      </c>
      <c r="R811" s="182" t="b">
        <f>IF(OR(P811=TRUE,T811=TRUE),TRUE,FALSE)</f>
        <v>0</v>
      </c>
      <c r="S811" s="182" t="b">
        <f>IF(OR(Q811=TRUE,T811=TRUE),TRUE,FALSE)</f>
        <v>0</v>
      </c>
      <c r="T811" s="181" t="b">
        <f>COUNTIF('New Items'!$A$1:$A$175,A811)&gt;0</f>
        <v>0</v>
      </c>
      <c r="U811" s="181" t="b">
        <f>COUNTIF(Discontinued!$A$1:$A$150,A811)&gt;0</f>
        <v>0</v>
      </c>
    </row>
    <row r="812" spans="1:21" s="8" customFormat="1" ht="11.25" x14ac:dyDescent="0.2">
      <c r="A812" s="152">
        <v>10001259</v>
      </c>
      <c r="B812" s="10" t="s">
        <v>1730</v>
      </c>
      <c r="C812" s="12" t="s">
        <v>1731</v>
      </c>
      <c r="D812" s="11" t="s">
        <v>1674</v>
      </c>
      <c r="E812" s="12" t="s">
        <v>774</v>
      </c>
      <c r="F812" s="13">
        <v>4</v>
      </c>
      <c r="G812" s="121">
        <f>Overview!$B$60</f>
        <v>24</v>
      </c>
      <c r="H812" s="114">
        <f>G812-I812</f>
        <v>24</v>
      </c>
      <c r="I812" s="114">
        <f>Overview!$E$60</f>
        <v>0</v>
      </c>
      <c r="J812" s="115">
        <f>I812/F812</f>
        <v>0</v>
      </c>
      <c r="K812" s="116">
        <f>Overview!$H$60</f>
        <v>0</v>
      </c>
      <c r="L812" s="117" t="e">
        <f>(K812-J812)/K812</f>
        <v>#DIV/0!</v>
      </c>
      <c r="M812" s="179" t="s">
        <v>4148</v>
      </c>
      <c r="N812" s="179" t="s">
        <v>4133</v>
      </c>
      <c r="O812" s="141">
        <f>I812</f>
        <v>0</v>
      </c>
      <c r="P812" s="181" t="b">
        <f>COUNTIF('Facility Data'!$A$1:$A$1500,"*"&amp;A812&amp;"*")&gt;0</f>
        <v>0</v>
      </c>
      <c r="Q812" s="181" t="b">
        <f>COUNTIF('Account Data'!$A$1:$A$1000,"*"&amp;A812&amp;"*")&gt;0</f>
        <v>0</v>
      </c>
      <c r="R812" s="182" t="b">
        <f>IF(OR(P812=TRUE,T812=TRUE),TRUE,FALSE)</f>
        <v>0</v>
      </c>
      <c r="S812" s="182" t="b">
        <f>IF(OR(Q812=TRUE,T812=TRUE),TRUE,FALSE)</f>
        <v>0</v>
      </c>
      <c r="T812" s="181" t="b">
        <f>COUNTIF('New Items'!$A$1:$A$175,A812)&gt;0</f>
        <v>0</v>
      </c>
      <c r="U812" s="181" t="b">
        <f>COUNTIF(Discontinued!$A$1:$A$150,A812)&gt;0</f>
        <v>0</v>
      </c>
    </row>
    <row r="813" spans="1:21" s="8" customFormat="1" ht="12" thickBot="1" x14ac:dyDescent="0.25">
      <c r="A813" s="152">
        <v>10001258</v>
      </c>
      <c r="B813" s="10" t="s">
        <v>1726</v>
      </c>
      <c r="C813" s="12" t="s">
        <v>1727</v>
      </c>
      <c r="D813" s="11" t="s">
        <v>1672</v>
      </c>
      <c r="E813" s="12" t="s">
        <v>774</v>
      </c>
      <c r="F813" s="13">
        <v>4</v>
      </c>
      <c r="G813" s="121">
        <f>Overview!$B$60</f>
        <v>24</v>
      </c>
      <c r="H813" s="114">
        <f>G813-I813</f>
        <v>24</v>
      </c>
      <c r="I813" s="114">
        <f>Overview!$E$60</f>
        <v>0</v>
      </c>
      <c r="J813" s="115">
        <f>I813/F813</f>
        <v>0</v>
      </c>
      <c r="K813" s="116">
        <f>Overview!$H$60</f>
        <v>0</v>
      </c>
      <c r="L813" s="117" t="e">
        <f>(K813-J813)/K813</f>
        <v>#DIV/0!</v>
      </c>
      <c r="M813" s="179" t="s">
        <v>4148</v>
      </c>
      <c r="N813" s="179" t="s">
        <v>4133</v>
      </c>
      <c r="O813" s="141">
        <f>I813</f>
        <v>0</v>
      </c>
      <c r="P813" s="181" t="b">
        <f>COUNTIF('Facility Data'!$A$1:$A$1500,"*"&amp;A813&amp;"*")&gt;0</f>
        <v>0</v>
      </c>
      <c r="Q813" s="181" t="b">
        <f>COUNTIF('Account Data'!$A$1:$A$1000,"*"&amp;A813&amp;"*")&gt;0</f>
        <v>0</v>
      </c>
      <c r="R813" s="182" t="b">
        <f>IF(OR(P813=TRUE,T813=TRUE),TRUE,FALSE)</f>
        <v>0</v>
      </c>
      <c r="S813" s="182" t="b">
        <f>IF(OR(Q813=TRUE,T813=TRUE),TRUE,FALSE)</f>
        <v>0</v>
      </c>
      <c r="T813" s="181" t="b">
        <f>COUNTIF('New Items'!$A$1:$A$175,A813)&gt;0</f>
        <v>0</v>
      </c>
      <c r="U813" s="181" t="b">
        <f>COUNTIF(Discontinued!$A$1:$A$150,A813)&gt;0</f>
        <v>0</v>
      </c>
    </row>
    <row r="814" spans="1:21" s="8" customFormat="1" ht="13.5" thickBot="1" x14ac:dyDescent="0.25">
      <c r="A814" s="300" t="s">
        <v>4131</v>
      </c>
      <c r="B814" s="301"/>
      <c r="C814" s="301"/>
      <c r="D814" s="301"/>
      <c r="E814" s="301"/>
      <c r="F814" s="301"/>
      <c r="G814" s="301"/>
      <c r="H814" s="301"/>
      <c r="I814" s="301"/>
      <c r="J814" s="301"/>
      <c r="K814" s="301"/>
      <c r="L814" s="302"/>
      <c r="M814" s="179" t="s">
        <v>4148</v>
      </c>
      <c r="N814" s="179" t="s">
        <v>4134</v>
      </c>
      <c r="O814" s="141">
        <f>AVERAGE(O815:O817)</f>
        <v>0</v>
      </c>
      <c r="P814" s="181" t="b">
        <f>COUNTIF(P815:P817,TRUE)&gt;0</f>
        <v>0</v>
      </c>
      <c r="Q814" s="181" t="b">
        <f>COUNTIF(Q815:Q817,TRUE)&gt;0</f>
        <v>0</v>
      </c>
      <c r="R814" s="181" t="b">
        <f>COUNTIF(R815:R817,TRUE)&gt;0</f>
        <v>0</v>
      </c>
      <c r="S814" s="181" t="b">
        <f>COUNTIF(S815:S817,TRUE)&gt;0</f>
        <v>0</v>
      </c>
      <c r="T814" s="181" t="b">
        <f>COUNTIF(T815:T817,TRUE)&gt;0</f>
        <v>0</v>
      </c>
      <c r="U814" s="249"/>
    </row>
    <row r="815" spans="1:21" s="8" customFormat="1" ht="11.25" x14ac:dyDescent="0.2">
      <c r="A815" s="152">
        <v>10001460</v>
      </c>
      <c r="B815" s="10" t="s">
        <v>2450</v>
      </c>
      <c r="C815" s="12" t="s">
        <v>2451</v>
      </c>
      <c r="D815" s="11" t="s">
        <v>1673</v>
      </c>
      <c r="E815" s="12" t="s">
        <v>773</v>
      </c>
      <c r="F815" s="13">
        <v>8</v>
      </c>
      <c r="G815" s="22">
        <f>Overview!$B$61</f>
        <v>16</v>
      </c>
      <c r="H815" s="114">
        <f>G815-I815</f>
        <v>16</v>
      </c>
      <c r="I815" s="114">
        <f>Overview!$E$61</f>
        <v>0</v>
      </c>
      <c r="J815" s="115">
        <f>I815/F815</f>
        <v>0</v>
      </c>
      <c r="K815" s="116">
        <f>Overview!$H$61</f>
        <v>0</v>
      </c>
      <c r="L815" s="117" t="e">
        <f>(K815-J815)/K815</f>
        <v>#DIV/0!</v>
      </c>
      <c r="M815" s="179" t="s">
        <v>4148</v>
      </c>
      <c r="N815" s="179" t="s">
        <v>4134</v>
      </c>
      <c r="O815" s="141">
        <f>I815</f>
        <v>0</v>
      </c>
      <c r="P815" s="181" t="b">
        <f>COUNTIF('Facility Data'!$A$1:$A$1500,"*"&amp;A815&amp;"*")&gt;0</f>
        <v>0</v>
      </c>
      <c r="Q815" s="181" t="b">
        <f>COUNTIF('Account Data'!$A$1:$A$1000,"*"&amp;A815&amp;"*")&gt;0</f>
        <v>0</v>
      </c>
      <c r="R815" s="182" t="b">
        <f>IF(OR(P815=TRUE,T815=TRUE),TRUE,FALSE)</f>
        <v>0</v>
      </c>
      <c r="S815" s="182" t="b">
        <f>IF(OR(Q815=TRUE,T815=TRUE),TRUE,FALSE)</f>
        <v>0</v>
      </c>
      <c r="T815" s="181" t="b">
        <f>COUNTIF('New Items'!$A$1:$A$175,A815)&gt;0</f>
        <v>0</v>
      </c>
      <c r="U815" s="181" t="b">
        <f>COUNTIF(Discontinued!$A$1:$A$150,A815)&gt;0</f>
        <v>0</v>
      </c>
    </row>
    <row r="816" spans="1:21" s="8" customFormat="1" ht="11.25" x14ac:dyDescent="0.2">
      <c r="A816" s="152">
        <v>10001459</v>
      </c>
      <c r="B816" s="10" t="s">
        <v>2452</v>
      </c>
      <c r="C816" s="12" t="s">
        <v>2453</v>
      </c>
      <c r="D816" s="11" t="s">
        <v>1674</v>
      </c>
      <c r="E816" s="12" t="s">
        <v>773</v>
      </c>
      <c r="F816" s="13">
        <v>8</v>
      </c>
      <c r="G816" s="22">
        <f>Overview!$B$61</f>
        <v>16</v>
      </c>
      <c r="H816" s="114">
        <f>G816-I816</f>
        <v>16</v>
      </c>
      <c r="I816" s="114">
        <f>Overview!$E$61</f>
        <v>0</v>
      </c>
      <c r="J816" s="115">
        <f>I816/F816</f>
        <v>0</v>
      </c>
      <c r="K816" s="116">
        <f>Overview!$H$61</f>
        <v>0</v>
      </c>
      <c r="L816" s="117" t="e">
        <f>(K816-J816)/K816</f>
        <v>#DIV/0!</v>
      </c>
      <c r="M816" s="179" t="s">
        <v>4148</v>
      </c>
      <c r="N816" s="179" t="s">
        <v>4134</v>
      </c>
      <c r="O816" s="141">
        <f>I816</f>
        <v>0</v>
      </c>
      <c r="P816" s="181" t="b">
        <f>COUNTIF('Facility Data'!$A$1:$A$1500,"*"&amp;A816&amp;"*")&gt;0</f>
        <v>0</v>
      </c>
      <c r="Q816" s="181" t="b">
        <f>COUNTIF('Account Data'!$A$1:$A$1000,"*"&amp;A816&amp;"*")&gt;0</f>
        <v>0</v>
      </c>
      <c r="R816" s="182" t="b">
        <f>IF(OR(P816=TRUE,T816=TRUE),TRUE,FALSE)</f>
        <v>0</v>
      </c>
      <c r="S816" s="182" t="b">
        <f>IF(OR(Q816=TRUE,T816=TRUE),TRUE,FALSE)</f>
        <v>0</v>
      </c>
      <c r="T816" s="181" t="b">
        <f>COUNTIF('New Items'!$A$1:$A$175,A816)&gt;0</f>
        <v>0</v>
      </c>
      <c r="U816" s="181" t="b">
        <f>COUNTIF(Discontinued!$A$1:$A$150,A816)&gt;0</f>
        <v>0</v>
      </c>
    </row>
    <row r="817" spans="1:21" s="8" customFormat="1" ht="12" thickBot="1" x14ac:dyDescent="0.25">
      <c r="A817" s="152">
        <v>10001458</v>
      </c>
      <c r="B817" s="10" t="s">
        <v>2448</v>
      </c>
      <c r="C817" s="12" t="s">
        <v>2449</v>
      </c>
      <c r="D817" s="11" t="s">
        <v>1672</v>
      </c>
      <c r="E817" s="12" t="s">
        <v>773</v>
      </c>
      <c r="F817" s="13">
        <v>8</v>
      </c>
      <c r="G817" s="22">
        <f>Overview!$B$61</f>
        <v>16</v>
      </c>
      <c r="H817" s="114">
        <f>G817-I817</f>
        <v>16</v>
      </c>
      <c r="I817" s="114">
        <f>Overview!$E$61</f>
        <v>0</v>
      </c>
      <c r="J817" s="115">
        <f>I817/F817</f>
        <v>0</v>
      </c>
      <c r="K817" s="116">
        <f>Overview!$H$61</f>
        <v>0</v>
      </c>
      <c r="L817" s="117" t="e">
        <f>(K817-J817)/K817</f>
        <v>#DIV/0!</v>
      </c>
      <c r="M817" s="179" t="s">
        <v>4148</v>
      </c>
      <c r="N817" s="179" t="s">
        <v>4134</v>
      </c>
      <c r="O817" s="141">
        <f>I817</f>
        <v>0</v>
      </c>
      <c r="P817" s="181" t="b">
        <f>COUNTIF('Facility Data'!$A$1:$A$1500,"*"&amp;A817&amp;"*")&gt;0</f>
        <v>0</v>
      </c>
      <c r="Q817" s="181" t="b">
        <f>COUNTIF('Account Data'!$A$1:$A$1000,"*"&amp;A817&amp;"*")&gt;0</f>
        <v>0</v>
      </c>
      <c r="R817" s="182" t="b">
        <f>IF(OR(P817=TRUE,T817=TRUE),TRUE,FALSE)</f>
        <v>0</v>
      </c>
      <c r="S817" s="182" t="b">
        <f>IF(OR(Q817=TRUE,T817=TRUE),TRUE,FALSE)</f>
        <v>0</v>
      </c>
      <c r="T817" s="181" t="b">
        <f>COUNTIF('New Items'!$A$1:$A$175,A817)&gt;0</f>
        <v>0</v>
      </c>
      <c r="U817" s="181" t="b">
        <f>COUNTIF(Discontinued!$A$1:$A$150,A817)&gt;0</f>
        <v>0</v>
      </c>
    </row>
    <row r="818" spans="1:21" s="8" customFormat="1" ht="13.5" thickBot="1" x14ac:dyDescent="0.25">
      <c r="A818" s="300" t="s">
        <v>485</v>
      </c>
      <c r="B818" s="301"/>
      <c r="C818" s="301"/>
      <c r="D818" s="301"/>
      <c r="E818" s="301"/>
      <c r="F818" s="301"/>
      <c r="G818" s="301"/>
      <c r="H818" s="301"/>
      <c r="I818" s="301"/>
      <c r="J818" s="301"/>
      <c r="K818" s="301"/>
      <c r="L818" s="302"/>
      <c r="M818" s="179"/>
      <c r="N818" s="179" t="s">
        <v>485</v>
      </c>
      <c r="O818" s="141">
        <f>AVERAGE(O819:O834)</f>
        <v>0</v>
      </c>
      <c r="P818" s="181" t="b">
        <f>COUNTIF(P819:P834,TRUE)&gt;0</f>
        <v>1</v>
      </c>
      <c r="Q818" s="181" t="b">
        <f>COUNTIF(Q819:Q834,TRUE)&gt;0</f>
        <v>1</v>
      </c>
      <c r="R818" s="181" t="b">
        <f>COUNTIF(R819:R834,TRUE)&gt;0</f>
        <v>1</v>
      </c>
      <c r="S818" s="181" t="b">
        <f>COUNTIF(S819:S834,TRUE)&gt;0</f>
        <v>1</v>
      </c>
      <c r="T818" s="181" t="b">
        <f>COUNTIF(T819:T834,TRUE)&gt;0</f>
        <v>0</v>
      </c>
      <c r="U818" s="249"/>
    </row>
    <row r="819" spans="1:21" s="8" customFormat="1" ht="11.25" x14ac:dyDescent="0.2">
      <c r="A819" s="152">
        <v>10001695</v>
      </c>
      <c r="B819" s="10" t="s">
        <v>531</v>
      </c>
      <c r="C819" s="15" t="s">
        <v>495</v>
      </c>
      <c r="D819" s="11" t="s">
        <v>768</v>
      </c>
      <c r="E819" s="15" t="s">
        <v>783</v>
      </c>
      <c r="F819" s="13">
        <v>4</v>
      </c>
      <c r="G819" s="22">
        <f>Overview!$B$112</f>
        <v>13</v>
      </c>
      <c r="H819" s="23">
        <f>G819-I819</f>
        <v>13</v>
      </c>
      <c r="I819" s="114">
        <f>Overview!$E$112</f>
        <v>0</v>
      </c>
      <c r="J819" s="52">
        <f>I819/F819</f>
        <v>0</v>
      </c>
      <c r="K819" s="174">
        <f>Overview!$H$112</f>
        <v>0</v>
      </c>
      <c r="L819" s="54" t="e">
        <f>(K819-J819)/K819</f>
        <v>#DIV/0!</v>
      </c>
      <c r="M819" s="179"/>
      <c r="N819" s="179" t="s">
        <v>485</v>
      </c>
      <c r="O819" s="141">
        <f t="shared" ref="O819:O825" si="264">I819</f>
        <v>0</v>
      </c>
      <c r="P819" s="181" t="b">
        <f>COUNTIF('Facility Data'!$A$1:$A$1500,"*"&amp;A819&amp;"*")&gt;0</f>
        <v>0</v>
      </c>
      <c r="Q819" s="181" t="b">
        <f>COUNTIF('Account Data'!$A$1:$A$1000,"*"&amp;A819&amp;"*")&gt;0</f>
        <v>0</v>
      </c>
      <c r="R819" s="182" t="b">
        <f t="shared" ref="R819:R834" si="265">IF(OR(P819=TRUE,T819=TRUE),TRUE,FALSE)</f>
        <v>0</v>
      </c>
      <c r="S819" s="182" t="b">
        <f t="shared" ref="S819:S834" si="266">IF(OR(Q819=TRUE,T819=TRUE),TRUE,FALSE)</f>
        <v>0</v>
      </c>
      <c r="T819" s="181" t="b">
        <f>COUNTIF('New Items'!$A$1:$A$175,A819)&gt;0</f>
        <v>0</v>
      </c>
      <c r="U819" s="181" t="b">
        <f>COUNTIF(Discontinued!$A$1:$A$150,A819)&gt;0</f>
        <v>0</v>
      </c>
    </row>
    <row r="820" spans="1:21" s="8" customFormat="1" ht="11.25" x14ac:dyDescent="0.2">
      <c r="A820" s="152">
        <v>10097277</v>
      </c>
      <c r="B820" s="10" t="s">
        <v>532</v>
      </c>
      <c r="C820" s="15" t="s">
        <v>493</v>
      </c>
      <c r="D820" s="11" t="s">
        <v>766</v>
      </c>
      <c r="E820" s="15" t="s">
        <v>769</v>
      </c>
      <c r="F820" s="13">
        <v>12</v>
      </c>
      <c r="G820" s="22">
        <f>Overview!$B$113</f>
        <v>20</v>
      </c>
      <c r="H820" s="23">
        <f>G820-I820</f>
        <v>20</v>
      </c>
      <c r="I820" s="114">
        <f>Overview!$E$113</f>
        <v>0</v>
      </c>
      <c r="J820" s="24">
        <f>I820/F820</f>
        <v>0</v>
      </c>
      <c r="K820" s="116">
        <f>Overview!$H$113</f>
        <v>0</v>
      </c>
      <c r="L820" s="51" t="e">
        <f>(K820-J820)/K820</f>
        <v>#DIV/0!</v>
      </c>
      <c r="M820" s="179"/>
      <c r="N820" s="179" t="s">
        <v>485</v>
      </c>
      <c r="O820" s="141">
        <f t="shared" si="264"/>
        <v>0</v>
      </c>
      <c r="P820" s="181" t="b">
        <f>COUNTIF('Facility Data'!$A$1:$A$1500,"*"&amp;A820&amp;"*")&gt;0</f>
        <v>0</v>
      </c>
      <c r="Q820" s="181" t="b">
        <f>COUNTIF('Account Data'!$A$1:$A$1000,"*"&amp;A820&amp;"*")&gt;0</f>
        <v>1</v>
      </c>
      <c r="R820" s="182" t="b">
        <f t="shared" si="265"/>
        <v>0</v>
      </c>
      <c r="S820" s="182" t="b">
        <f t="shared" si="266"/>
        <v>1</v>
      </c>
      <c r="T820" s="181" t="b">
        <f>COUNTIF('New Items'!$A$1:$A$175,A820)&gt;0</f>
        <v>0</v>
      </c>
      <c r="U820" s="181" t="b">
        <f>COUNTIF(Discontinued!$A$1:$A$150,A820)&gt;0</f>
        <v>0</v>
      </c>
    </row>
    <row r="821" spans="1:21" s="8" customFormat="1" ht="11.25" x14ac:dyDescent="0.2">
      <c r="A821" s="152">
        <v>10097278</v>
      </c>
      <c r="B821" s="10" t="s">
        <v>533</v>
      </c>
      <c r="C821" s="15" t="s">
        <v>494</v>
      </c>
      <c r="D821" s="11" t="s">
        <v>767</v>
      </c>
      <c r="E821" s="15" t="s">
        <v>769</v>
      </c>
      <c r="F821" s="13">
        <v>12</v>
      </c>
      <c r="G821" s="22">
        <f>Overview!$B$113</f>
        <v>20</v>
      </c>
      <c r="H821" s="23">
        <f t="shared" ref="H821:H834" si="267">G821-I821</f>
        <v>20</v>
      </c>
      <c r="I821" s="114">
        <f>Overview!$E$113</f>
        <v>0</v>
      </c>
      <c r="J821" s="24">
        <f t="shared" ref="J821:J834" si="268">I821/F821</f>
        <v>0</v>
      </c>
      <c r="K821" s="116">
        <f>Overview!$H$113</f>
        <v>0</v>
      </c>
      <c r="L821" s="51" t="e">
        <f t="shared" ref="L821:L834" si="269">(K821-J821)/K821</f>
        <v>#DIV/0!</v>
      </c>
      <c r="M821" s="179"/>
      <c r="N821" s="179" t="s">
        <v>485</v>
      </c>
      <c r="O821" s="141">
        <f t="shared" si="264"/>
        <v>0</v>
      </c>
      <c r="P821" s="181" t="b">
        <f>COUNTIF('Facility Data'!$A$1:$A$1500,"*"&amp;A821&amp;"*")&gt;0</f>
        <v>0</v>
      </c>
      <c r="Q821" s="181" t="b">
        <f>COUNTIF('Account Data'!$A$1:$A$1000,"*"&amp;A821&amp;"*")&gt;0</f>
        <v>1</v>
      </c>
      <c r="R821" s="182" t="b">
        <f t="shared" si="265"/>
        <v>0</v>
      </c>
      <c r="S821" s="182" t="b">
        <f t="shared" si="266"/>
        <v>1</v>
      </c>
      <c r="T821" s="181" t="b">
        <f>COUNTIF('New Items'!$A$1:$A$175,A821)&gt;0</f>
        <v>0</v>
      </c>
      <c r="U821" s="181" t="b">
        <f>COUNTIF(Discontinued!$A$1:$A$150,A821)&gt;0</f>
        <v>0</v>
      </c>
    </row>
    <row r="822" spans="1:21" s="8" customFormat="1" ht="11.25" x14ac:dyDescent="0.2">
      <c r="A822" s="152">
        <v>10130565</v>
      </c>
      <c r="B822" s="10" t="s">
        <v>3980</v>
      </c>
      <c r="C822" s="12" t="s">
        <v>3981</v>
      </c>
      <c r="D822" s="11" t="s">
        <v>3977</v>
      </c>
      <c r="E822" s="12" t="s">
        <v>772</v>
      </c>
      <c r="F822" s="13">
        <v>12</v>
      </c>
      <c r="G822" s="22">
        <f>Overview!$B$114</f>
        <v>20</v>
      </c>
      <c r="H822" s="23">
        <f>G822-I822</f>
        <v>20</v>
      </c>
      <c r="I822" s="114">
        <f>Overview!$E$114</f>
        <v>0</v>
      </c>
      <c r="J822" s="24">
        <f>I822/F822</f>
        <v>0</v>
      </c>
      <c r="K822" s="116">
        <f>Overview!$H$114</f>
        <v>0</v>
      </c>
      <c r="L822" s="51" t="e">
        <f>(K822-J822)/K822</f>
        <v>#DIV/0!</v>
      </c>
      <c r="M822" s="179"/>
      <c r="N822" s="179" t="s">
        <v>485</v>
      </c>
      <c r="O822" s="141">
        <f t="shared" si="264"/>
        <v>0</v>
      </c>
      <c r="P822" s="181" t="b">
        <f>COUNTIF('Facility Data'!$A$1:$A$1500,"*"&amp;A822&amp;"*")&gt;0</f>
        <v>0</v>
      </c>
      <c r="Q822" s="181" t="b">
        <f>COUNTIF('Account Data'!$A$1:$A$1000,"*"&amp;A822&amp;"*")&gt;0</f>
        <v>0</v>
      </c>
      <c r="R822" s="182" t="b">
        <f t="shared" si="265"/>
        <v>0</v>
      </c>
      <c r="S822" s="182" t="b">
        <f>IF(OR(Q822=TRUE,T822=TRUE),TRUE,FALSE)</f>
        <v>0</v>
      </c>
      <c r="T822" s="181" t="b">
        <f>COUNTIF('New Items'!$A$1:$A$175,A822)&gt;0</f>
        <v>0</v>
      </c>
      <c r="U822" s="181" t="b">
        <f>COUNTIF(Discontinued!$A$1:$A$150,A822)&gt;0</f>
        <v>0</v>
      </c>
    </row>
    <row r="823" spans="1:21" s="8" customFormat="1" ht="11.25" x14ac:dyDescent="0.2">
      <c r="A823" s="152">
        <v>10130568</v>
      </c>
      <c r="B823" s="10" t="s">
        <v>3982</v>
      </c>
      <c r="C823" s="12" t="s">
        <v>3983</v>
      </c>
      <c r="D823" s="11" t="s">
        <v>3978</v>
      </c>
      <c r="E823" s="12" t="s">
        <v>772</v>
      </c>
      <c r="F823" s="13">
        <v>12</v>
      </c>
      <c r="G823" s="22">
        <f>Overview!$B$114</f>
        <v>20</v>
      </c>
      <c r="H823" s="23">
        <f>G823-I823</f>
        <v>20</v>
      </c>
      <c r="I823" s="114">
        <f>Overview!$E$114</f>
        <v>0</v>
      </c>
      <c r="J823" s="52">
        <f>I823/F823</f>
        <v>0</v>
      </c>
      <c r="K823" s="174">
        <f>Overview!$H$114</f>
        <v>0</v>
      </c>
      <c r="L823" s="54" t="e">
        <f>(K823-J823)/K823</f>
        <v>#DIV/0!</v>
      </c>
      <c r="M823" s="179"/>
      <c r="N823" s="179" t="s">
        <v>485</v>
      </c>
      <c r="O823" s="141">
        <f t="shared" si="264"/>
        <v>0</v>
      </c>
      <c r="P823" s="181" t="b">
        <f>COUNTIF('Facility Data'!$A$1:$A$1500,"*"&amp;A823&amp;"*")&gt;0</f>
        <v>0</v>
      </c>
      <c r="Q823" s="181" t="b">
        <f>COUNTIF('Account Data'!$A$1:$A$1000,"*"&amp;A823&amp;"*")&gt;0</f>
        <v>0</v>
      </c>
      <c r="R823" s="182" t="b">
        <f t="shared" si="265"/>
        <v>0</v>
      </c>
      <c r="S823" s="182" t="b">
        <f>IF(OR(Q823=TRUE,T823=TRUE),TRUE,FALSE)</f>
        <v>0</v>
      </c>
      <c r="T823" s="181" t="b">
        <f>COUNTIF('New Items'!$A$1:$A$175,A823)&gt;0</f>
        <v>0</v>
      </c>
      <c r="U823" s="181" t="b">
        <f>COUNTIF(Discontinued!$A$1:$A$150,A823)&gt;0</f>
        <v>0</v>
      </c>
    </row>
    <row r="824" spans="1:21" s="8" customFormat="1" ht="11.25" x14ac:dyDescent="0.2">
      <c r="A824" s="152">
        <v>10130567</v>
      </c>
      <c r="B824" s="10" t="s">
        <v>3984</v>
      </c>
      <c r="C824" s="12" t="s">
        <v>4028</v>
      </c>
      <c r="D824" s="11" t="s">
        <v>3979</v>
      </c>
      <c r="E824" s="12" t="s">
        <v>772</v>
      </c>
      <c r="F824" s="13">
        <v>12</v>
      </c>
      <c r="G824" s="22">
        <f>Overview!$B$114</f>
        <v>20</v>
      </c>
      <c r="H824" s="23">
        <f>G824-I824</f>
        <v>20</v>
      </c>
      <c r="I824" s="114">
        <f>Overview!$E$114</f>
        <v>0</v>
      </c>
      <c r="J824" s="52">
        <f>I824/F824</f>
        <v>0</v>
      </c>
      <c r="K824" s="174">
        <f>Overview!$H$114</f>
        <v>0</v>
      </c>
      <c r="L824" s="54" t="e">
        <f>(K824-J824)/K824</f>
        <v>#DIV/0!</v>
      </c>
      <c r="M824" s="179"/>
      <c r="N824" s="179" t="s">
        <v>485</v>
      </c>
      <c r="O824" s="141">
        <f t="shared" si="264"/>
        <v>0</v>
      </c>
      <c r="P824" s="181" t="b">
        <f>COUNTIF('Facility Data'!$A$1:$A$1500,"*"&amp;A824&amp;"*")&gt;0</f>
        <v>0</v>
      </c>
      <c r="Q824" s="181" t="b">
        <f>COUNTIF('Account Data'!$A$1:$A$1000,"*"&amp;A824&amp;"*")&gt;0</f>
        <v>0</v>
      </c>
      <c r="R824" s="182" t="b">
        <f t="shared" si="265"/>
        <v>0</v>
      </c>
      <c r="S824" s="182" t="b">
        <f>IF(OR(Q824=TRUE,T824=TRUE),TRUE,FALSE)</f>
        <v>0</v>
      </c>
      <c r="T824" s="181" t="b">
        <f>COUNTIF('New Items'!$A$1:$A$175,A824)&gt;0</f>
        <v>0</v>
      </c>
      <c r="U824" s="181" t="b">
        <f>COUNTIF(Discontinued!$A$1:$A$150,A824)&gt;0</f>
        <v>0</v>
      </c>
    </row>
    <row r="825" spans="1:21" s="8" customFormat="1" ht="11.25" x14ac:dyDescent="0.2">
      <c r="A825" s="152">
        <v>10011917</v>
      </c>
      <c r="B825" s="10" t="s">
        <v>491</v>
      </c>
      <c r="C825" s="12" t="s">
        <v>492</v>
      </c>
      <c r="D825" s="11" t="s">
        <v>3151</v>
      </c>
      <c r="E825" s="12" t="s">
        <v>772</v>
      </c>
      <c r="F825" s="13">
        <v>12</v>
      </c>
      <c r="G825" s="22">
        <f>Overview!$B$114</f>
        <v>20</v>
      </c>
      <c r="H825" s="23">
        <f t="shared" si="267"/>
        <v>20</v>
      </c>
      <c r="I825" s="114">
        <f>Overview!$E$114</f>
        <v>0</v>
      </c>
      <c r="J825" s="24">
        <f t="shared" si="268"/>
        <v>0</v>
      </c>
      <c r="K825" s="116">
        <f>Overview!$H$114</f>
        <v>0</v>
      </c>
      <c r="L825" s="51" t="e">
        <f t="shared" si="269"/>
        <v>#DIV/0!</v>
      </c>
      <c r="M825" s="179"/>
      <c r="N825" s="179" t="s">
        <v>485</v>
      </c>
      <c r="O825" s="141">
        <f t="shared" si="264"/>
        <v>0</v>
      </c>
      <c r="P825" s="181" t="b">
        <f>COUNTIF('Facility Data'!$A$1:$A$1500,"*"&amp;A825&amp;"*")&gt;0</f>
        <v>1</v>
      </c>
      <c r="Q825" s="181" t="b">
        <f>COUNTIF('Account Data'!$A$1:$A$1000,"*"&amp;A825&amp;"*")&gt;0</f>
        <v>0</v>
      </c>
      <c r="R825" s="182" t="b">
        <f t="shared" si="265"/>
        <v>1</v>
      </c>
      <c r="S825" s="182" t="b">
        <f t="shared" si="266"/>
        <v>0</v>
      </c>
      <c r="T825" s="181" t="b">
        <f>COUNTIF('New Items'!$A$1:$A$175,A825)&gt;0</f>
        <v>0</v>
      </c>
      <c r="U825" s="181" t="b">
        <f>COUNTIF(Discontinued!$A$1:$A$150,A825)&gt;0</f>
        <v>0</v>
      </c>
    </row>
    <row r="826" spans="1:21" s="8" customFormat="1" ht="11.25" x14ac:dyDescent="0.2">
      <c r="A826" s="152">
        <v>10011916</v>
      </c>
      <c r="B826" s="10" t="s">
        <v>1345</v>
      </c>
      <c r="C826" s="12" t="s">
        <v>1346</v>
      </c>
      <c r="D826" s="11" t="s">
        <v>3152</v>
      </c>
      <c r="E826" s="12" t="s">
        <v>772</v>
      </c>
      <c r="F826" s="13">
        <v>12</v>
      </c>
      <c r="G826" s="22">
        <f>Overview!$B$114</f>
        <v>20</v>
      </c>
      <c r="H826" s="23">
        <f t="shared" si="267"/>
        <v>20</v>
      </c>
      <c r="I826" s="114">
        <f>Overview!$E$114</f>
        <v>0</v>
      </c>
      <c r="J826" s="52">
        <f t="shared" si="268"/>
        <v>0</v>
      </c>
      <c r="K826" s="174">
        <f>Overview!$H$114</f>
        <v>0</v>
      </c>
      <c r="L826" s="54" t="e">
        <f t="shared" si="269"/>
        <v>#DIV/0!</v>
      </c>
      <c r="M826" s="179"/>
      <c r="N826" s="179" t="s">
        <v>485</v>
      </c>
      <c r="O826" s="141">
        <f t="shared" ref="O826:O834" si="270">I826</f>
        <v>0</v>
      </c>
      <c r="P826" s="181" t="b">
        <f>COUNTIF('Facility Data'!$A$1:$A$1500,"*"&amp;A826&amp;"*")&gt;0</f>
        <v>1</v>
      </c>
      <c r="Q826" s="181" t="b">
        <f>COUNTIF('Account Data'!$A$1:$A$1000,"*"&amp;A826&amp;"*")&gt;0</f>
        <v>0</v>
      </c>
      <c r="R826" s="182" t="b">
        <f t="shared" si="265"/>
        <v>1</v>
      </c>
      <c r="S826" s="182" t="b">
        <f t="shared" si="266"/>
        <v>0</v>
      </c>
      <c r="T826" s="181" t="b">
        <f>COUNTIF('New Items'!$A$1:$A$175,A826)&gt;0</f>
        <v>0</v>
      </c>
      <c r="U826" s="181" t="b">
        <f>COUNTIF(Discontinued!$A$1:$A$150,A826)&gt;0</f>
        <v>0</v>
      </c>
    </row>
    <row r="827" spans="1:21" s="8" customFormat="1" ht="11.25" x14ac:dyDescent="0.2">
      <c r="A827" s="152">
        <v>10078678</v>
      </c>
      <c r="B827" s="10" t="s">
        <v>1347</v>
      </c>
      <c r="C827" s="12" t="s">
        <v>1348</v>
      </c>
      <c r="D827" s="11" t="s">
        <v>3153</v>
      </c>
      <c r="E827" s="12" t="s">
        <v>772</v>
      </c>
      <c r="F827" s="13">
        <v>12</v>
      </c>
      <c r="G827" s="22">
        <f>Overview!$B$114</f>
        <v>20</v>
      </c>
      <c r="H827" s="23">
        <f t="shared" si="267"/>
        <v>20</v>
      </c>
      <c r="I827" s="114">
        <f>Overview!$E$114</f>
        <v>0</v>
      </c>
      <c r="J827" s="52">
        <f t="shared" si="268"/>
        <v>0</v>
      </c>
      <c r="K827" s="174">
        <f>Overview!$H$114</f>
        <v>0</v>
      </c>
      <c r="L827" s="54" t="e">
        <f t="shared" si="269"/>
        <v>#DIV/0!</v>
      </c>
      <c r="M827" s="179"/>
      <c r="N827" s="179" t="s">
        <v>485</v>
      </c>
      <c r="O827" s="141">
        <f t="shared" si="270"/>
        <v>0</v>
      </c>
      <c r="P827" s="181" t="b">
        <f>COUNTIF('Facility Data'!$A$1:$A$1500,"*"&amp;A827&amp;"*")&gt;0</f>
        <v>0</v>
      </c>
      <c r="Q827" s="181" t="b">
        <f>COUNTIF('Account Data'!$A$1:$A$1000,"*"&amp;A827&amp;"*")&gt;0</f>
        <v>0</v>
      </c>
      <c r="R827" s="182" t="b">
        <f t="shared" si="265"/>
        <v>0</v>
      </c>
      <c r="S827" s="182" t="b">
        <f t="shared" si="266"/>
        <v>0</v>
      </c>
      <c r="T827" s="181" t="b">
        <f>COUNTIF('New Items'!$A$1:$A$175,A827)&gt;0</f>
        <v>0</v>
      </c>
      <c r="U827" s="181" t="b">
        <f>COUNTIF(Discontinued!$A$1:$A$150,A827)&gt;0</f>
        <v>0</v>
      </c>
    </row>
    <row r="828" spans="1:21" s="8" customFormat="1" ht="11.25" x14ac:dyDescent="0.2">
      <c r="A828" s="152">
        <v>10011920</v>
      </c>
      <c r="B828" s="10" t="s">
        <v>1354</v>
      </c>
      <c r="C828" s="12" t="s">
        <v>1355</v>
      </c>
      <c r="D828" s="11" t="s">
        <v>1349</v>
      </c>
      <c r="E828" s="12" t="s">
        <v>778</v>
      </c>
      <c r="F828" s="13">
        <v>12</v>
      </c>
      <c r="G828" s="22">
        <f>Overview!$B$115</f>
        <v>25.65</v>
      </c>
      <c r="H828" s="23">
        <f t="shared" si="267"/>
        <v>25.65</v>
      </c>
      <c r="I828" s="114">
        <f>Overview!$E$115</f>
        <v>0</v>
      </c>
      <c r="J828" s="52">
        <f t="shared" si="268"/>
        <v>0</v>
      </c>
      <c r="K828" s="174">
        <f>Overview!$H$115</f>
        <v>0</v>
      </c>
      <c r="L828" s="54" t="e">
        <f t="shared" si="269"/>
        <v>#DIV/0!</v>
      </c>
      <c r="M828" s="179"/>
      <c r="N828" s="179" t="s">
        <v>485</v>
      </c>
      <c r="O828" s="141">
        <f t="shared" si="270"/>
        <v>0</v>
      </c>
      <c r="P828" s="181" t="b">
        <f>COUNTIF('Facility Data'!$A$1:$A$1500,"*"&amp;A828&amp;"*")&gt;0</f>
        <v>1</v>
      </c>
      <c r="Q828" s="181" t="b">
        <f>COUNTIF('Account Data'!$A$1:$A$1000,"*"&amp;A828&amp;"*")&gt;0</f>
        <v>0</v>
      </c>
      <c r="R828" s="182" t="b">
        <f t="shared" si="265"/>
        <v>1</v>
      </c>
      <c r="S828" s="182" t="b">
        <f t="shared" si="266"/>
        <v>0</v>
      </c>
      <c r="T828" s="181" t="b">
        <f>COUNTIF('New Items'!$A$1:$A$175,A828)&gt;0</f>
        <v>0</v>
      </c>
      <c r="U828" s="181" t="b">
        <f>COUNTIF(Discontinued!$A$1:$A$150,A828)&gt;0</f>
        <v>0</v>
      </c>
    </row>
    <row r="829" spans="1:21" s="8" customFormat="1" ht="11.25" x14ac:dyDescent="0.2">
      <c r="A829" s="152">
        <v>10011923</v>
      </c>
      <c r="B829" s="10" t="s">
        <v>1356</v>
      </c>
      <c r="C829" s="12" t="s">
        <v>1357</v>
      </c>
      <c r="D829" s="11" t="s">
        <v>1350</v>
      </c>
      <c r="E829" s="12" t="s">
        <v>778</v>
      </c>
      <c r="F829" s="13">
        <v>12</v>
      </c>
      <c r="G829" s="22">
        <f>Overview!$B$115</f>
        <v>25.65</v>
      </c>
      <c r="H829" s="23">
        <f t="shared" si="267"/>
        <v>25.65</v>
      </c>
      <c r="I829" s="114">
        <f>Overview!$E$115</f>
        <v>0</v>
      </c>
      <c r="J829" s="52">
        <f t="shared" si="268"/>
        <v>0</v>
      </c>
      <c r="K829" s="174">
        <f>Overview!$H$115</f>
        <v>0</v>
      </c>
      <c r="L829" s="54" t="e">
        <f t="shared" si="269"/>
        <v>#DIV/0!</v>
      </c>
      <c r="M829" s="179"/>
      <c r="N829" s="179" t="s">
        <v>485</v>
      </c>
      <c r="O829" s="141">
        <f t="shared" si="270"/>
        <v>0</v>
      </c>
      <c r="P829" s="181" t="b">
        <f>COUNTIF('Facility Data'!$A$1:$A$1500,"*"&amp;A829&amp;"*")&gt;0</f>
        <v>1</v>
      </c>
      <c r="Q829" s="181" t="b">
        <f>COUNTIF('Account Data'!$A$1:$A$1000,"*"&amp;A829&amp;"*")&gt;0</f>
        <v>0</v>
      </c>
      <c r="R829" s="182" t="b">
        <f t="shared" si="265"/>
        <v>1</v>
      </c>
      <c r="S829" s="182" t="b">
        <f t="shared" si="266"/>
        <v>0</v>
      </c>
      <c r="T829" s="181" t="b">
        <f>COUNTIF('New Items'!$A$1:$A$175,A829)&gt;0</f>
        <v>0</v>
      </c>
      <c r="U829" s="181" t="b">
        <f>COUNTIF(Discontinued!$A$1:$A$150,A829)&gt;0</f>
        <v>0</v>
      </c>
    </row>
    <row r="830" spans="1:21" s="8" customFormat="1" ht="11.25" x14ac:dyDescent="0.2">
      <c r="A830" s="152">
        <v>10074478</v>
      </c>
      <c r="B830" s="10" t="s">
        <v>1564</v>
      </c>
      <c r="C830" s="12" t="s">
        <v>1565</v>
      </c>
      <c r="D830" s="11" t="s">
        <v>1563</v>
      </c>
      <c r="E830" s="12" t="s">
        <v>778</v>
      </c>
      <c r="F830" s="13">
        <v>12</v>
      </c>
      <c r="G830" s="22">
        <f>Overview!$B$115</f>
        <v>25.65</v>
      </c>
      <c r="H830" s="23">
        <f>G830-I830</f>
        <v>25.65</v>
      </c>
      <c r="I830" s="114">
        <f>Overview!$E$115</f>
        <v>0</v>
      </c>
      <c r="J830" s="52">
        <f>I830/F830</f>
        <v>0</v>
      </c>
      <c r="K830" s="174">
        <f>Overview!$H$115</f>
        <v>0</v>
      </c>
      <c r="L830" s="54" t="e">
        <f>(K830-J830)/K830</f>
        <v>#DIV/0!</v>
      </c>
      <c r="M830" s="179"/>
      <c r="N830" s="179" t="s">
        <v>485</v>
      </c>
      <c r="O830" s="141">
        <f>I830</f>
        <v>0</v>
      </c>
      <c r="P830" s="181" t="b">
        <f>COUNTIF('Facility Data'!$A$1:$A$1500,"*"&amp;A830&amp;"*")&gt;0</f>
        <v>0</v>
      </c>
      <c r="Q830" s="181" t="b">
        <f>COUNTIF('Account Data'!$A$1:$A$1000,"*"&amp;A830&amp;"*")&gt;0</f>
        <v>0</v>
      </c>
      <c r="R830" s="182" t="b">
        <f t="shared" si="265"/>
        <v>0</v>
      </c>
      <c r="S830" s="182" t="b">
        <f>IF(OR(Q830=TRUE,T830=TRUE),TRUE,FALSE)</f>
        <v>0</v>
      </c>
      <c r="T830" s="181" t="b">
        <f>COUNTIF('New Items'!$A$1:$A$175,A830)&gt;0</f>
        <v>0</v>
      </c>
      <c r="U830" s="181" t="b">
        <f>COUNTIF(Discontinued!$A$1:$A$150,A830)&gt;0</f>
        <v>0</v>
      </c>
    </row>
    <row r="831" spans="1:21" s="8" customFormat="1" ht="11.25" x14ac:dyDescent="0.2">
      <c r="A831" s="152">
        <v>10117353</v>
      </c>
      <c r="B831" s="10" t="s">
        <v>3661</v>
      </c>
      <c r="C831" s="12" t="s">
        <v>3662</v>
      </c>
      <c r="D831" s="11" t="s">
        <v>3663</v>
      </c>
      <c r="E831" s="12" t="s">
        <v>778</v>
      </c>
      <c r="F831" s="13">
        <v>12</v>
      </c>
      <c r="G831" s="22">
        <f>Overview!$B$115</f>
        <v>25.65</v>
      </c>
      <c r="H831" s="23">
        <f t="shared" si="267"/>
        <v>25.65</v>
      </c>
      <c r="I831" s="114">
        <f>Overview!$E$115</f>
        <v>0</v>
      </c>
      <c r="J831" s="52">
        <f t="shared" si="268"/>
        <v>0</v>
      </c>
      <c r="K831" s="174">
        <f>Overview!$H$115</f>
        <v>0</v>
      </c>
      <c r="L831" s="54" t="e">
        <f t="shared" si="269"/>
        <v>#DIV/0!</v>
      </c>
      <c r="M831" s="179"/>
      <c r="N831" s="179" t="s">
        <v>485</v>
      </c>
      <c r="O831" s="141">
        <f t="shared" si="270"/>
        <v>0</v>
      </c>
      <c r="P831" s="181" t="b">
        <f>COUNTIF('Facility Data'!$A$1:$A$1500,"*"&amp;A831&amp;"*")&gt;0</f>
        <v>0</v>
      </c>
      <c r="Q831" s="181" t="b">
        <f>COUNTIF('Account Data'!$A$1:$A$1000,"*"&amp;A831&amp;"*")&gt;0</f>
        <v>0</v>
      </c>
      <c r="R831" s="182" t="b">
        <f t="shared" si="265"/>
        <v>0</v>
      </c>
      <c r="S831" s="182" t="b">
        <f t="shared" si="266"/>
        <v>0</v>
      </c>
      <c r="T831" s="181" t="b">
        <f>COUNTIF('New Items'!$A$1:$A$175,A831)&gt;0</f>
        <v>0</v>
      </c>
      <c r="U831" s="181" t="b">
        <f>COUNTIF(Discontinued!$A$1:$A$150,A831)&gt;0</f>
        <v>0</v>
      </c>
    </row>
    <row r="832" spans="1:21" s="8" customFormat="1" ht="11.25" x14ac:dyDescent="0.2">
      <c r="A832" s="152">
        <v>10078679</v>
      </c>
      <c r="B832" s="10" t="s">
        <v>1362</v>
      </c>
      <c r="C832" s="12" t="s">
        <v>1363</v>
      </c>
      <c r="D832" s="11" t="s">
        <v>1353</v>
      </c>
      <c r="E832" s="12" t="s">
        <v>780</v>
      </c>
      <c r="F832" s="13">
        <v>8</v>
      </c>
      <c r="G832" s="22">
        <f>Overview!$B$116</f>
        <v>40</v>
      </c>
      <c r="H832" s="23">
        <f t="shared" si="267"/>
        <v>40</v>
      </c>
      <c r="I832" s="114">
        <f>Overview!$E$116</f>
        <v>0</v>
      </c>
      <c r="J832" s="52">
        <f>I832/F832</f>
        <v>0</v>
      </c>
      <c r="K832" s="174">
        <f>Overview!$H$116</f>
        <v>0</v>
      </c>
      <c r="L832" s="54" t="e">
        <f>(K832-J832)/K832</f>
        <v>#DIV/0!</v>
      </c>
      <c r="M832" s="179"/>
      <c r="N832" s="179" t="s">
        <v>485</v>
      </c>
      <c r="O832" s="141">
        <f>I832</f>
        <v>0</v>
      </c>
      <c r="P832" s="181" t="b">
        <f>COUNTIF('Facility Data'!$A$1:$A$1500,"*"&amp;A832&amp;"*")&gt;0</f>
        <v>0</v>
      </c>
      <c r="Q832" s="181" t="b">
        <f>COUNTIF('Account Data'!$A$1:$A$1000,"*"&amp;A832&amp;"*")&gt;0</f>
        <v>0</v>
      </c>
      <c r="R832" s="182" t="b">
        <f t="shared" si="265"/>
        <v>0</v>
      </c>
      <c r="S832" s="182" t="b">
        <f t="shared" si="266"/>
        <v>0</v>
      </c>
      <c r="T832" s="181" t="b">
        <f>COUNTIF('New Items'!$A$1:$A$175,A832)&gt;0</f>
        <v>0</v>
      </c>
      <c r="U832" s="181" t="b">
        <f>COUNTIF(Discontinued!$A$1:$A$150,A832)&gt;0</f>
        <v>0</v>
      </c>
    </row>
    <row r="833" spans="1:21" s="8" customFormat="1" ht="11.25" x14ac:dyDescent="0.2">
      <c r="A833" s="152">
        <v>10011921</v>
      </c>
      <c r="B833" s="10" t="s">
        <v>1358</v>
      </c>
      <c r="C833" s="12" t="s">
        <v>1359</v>
      </c>
      <c r="D833" s="11" t="s">
        <v>1351</v>
      </c>
      <c r="E833" s="12" t="s">
        <v>780</v>
      </c>
      <c r="F833" s="13">
        <v>8</v>
      </c>
      <c r="G833" s="22">
        <f>Overview!$B$116</f>
        <v>40</v>
      </c>
      <c r="H833" s="23">
        <f t="shared" si="267"/>
        <v>40</v>
      </c>
      <c r="I833" s="114">
        <f>Overview!$E$116</f>
        <v>0</v>
      </c>
      <c r="J833" s="52">
        <f t="shared" si="268"/>
        <v>0</v>
      </c>
      <c r="K833" s="174">
        <f>Overview!$H$116</f>
        <v>0</v>
      </c>
      <c r="L833" s="54" t="e">
        <f t="shared" si="269"/>
        <v>#DIV/0!</v>
      </c>
      <c r="M833" s="179"/>
      <c r="N833" s="179" t="s">
        <v>485</v>
      </c>
      <c r="O833" s="141">
        <f t="shared" si="270"/>
        <v>0</v>
      </c>
      <c r="P833" s="181" t="b">
        <f>COUNTIF('Facility Data'!$A$1:$A$1500,"*"&amp;A833&amp;"*")&gt;0</f>
        <v>0</v>
      </c>
      <c r="Q833" s="181" t="b">
        <f>COUNTIF('Account Data'!$A$1:$A$1000,"*"&amp;A833&amp;"*")&gt;0</f>
        <v>0</v>
      </c>
      <c r="R833" s="182" t="b">
        <f t="shared" si="265"/>
        <v>0</v>
      </c>
      <c r="S833" s="182" t="b">
        <f t="shared" si="266"/>
        <v>0</v>
      </c>
      <c r="T833" s="181" t="b">
        <f>COUNTIF('New Items'!$A$1:$A$175,A833)&gt;0</f>
        <v>0</v>
      </c>
      <c r="U833" s="181" t="b">
        <f>COUNTIF(Discontinued!$A$1:$A$150,A833)&gt;0</f>
        <v>0</v>
      </c>
    </row>
    <row r="834" spans="1:21" s="8" customFormat="1" ht="12" thickBot="1" x14ac:dyDescent="0.25">
      <c r="A834" s="152">
        <v>10011922</v>
      </c>
      <c r="B834" s="10" t="s">
        <v>1360</v>
      </c>
      <c r="C834" s="12" t="s">
        <v>1361</v>
      </c>
      <c r="D834" s="11" t="s">
        <v>1352</v>
      </c>
      <c r="E834" s="12" t="s">
        <v>780</v>
      </c>
      <c r="F834" s="13">
        <v>8</v>
      </c>
      <c r="G834" s="22">
        <f>Overview!$B$116</f>
        <v>40</v>
      </c>
      <c r="H834" s="23">
        <f t="shared" si="267"/>
        <v>40</v>
      </c>
      <c r="I834" s="114">
        <f>Overview!$E$116</f>
        <v>0</v>
      </c>
      <c r="J834" s="52">
        <f t="shared" si="268"/>
        <v>0</v>
      </c>
      <c r="K834" s="174">
        <f>Overview!$H$116</f>
        <v>0</v>
      </c>
      <c r="L834" s="54" t="e">
        <f t="shared" si="269"/>
        <v>#DIV/0!</v>
      </c>
      <c r="M834" s="179"/>
      <c r="N834" s="179" t="s">
        <v>485</v>
      </c>
      <c r="O834" s="141">
        <f t="shared" si="270"/>
        <v>0</v>
      </c>
      <c r="P834" s="181" t="b">
        <f>COUNTIF('Facility Data'!$A$1:$A$1500,"*"&amp;A834&amp;"*")&gt;0</f>
        <v>0</v>
      </c>
      <c r="Q834" s="181" t="b">
        <f>COUNTIF('Account Data'!$A$1:$A$1000,"*"&amp;A834&amp;"*")&gt;0</f>
        <v>0</v>
      </c>
      <c r="R834" s="182" t="b">
        <f t="shared" si="265"/>
        <v>0</v>
      </c>
      <c r="S834" s="182" t="b">
        <f t="shared" si="266"/>
        <v>0</v>
      </c>
      <c r="T834" s="181" t="b">
        <f>COUNTIF('New Items'!$A$1:$A$175,A834)&gt;0</f>
        <v>0</v>
      </c>
      <c r="U834" s="181" t="b">
        <f>COUNTIF(Discontinued!$A$1:$A$150,A834)&gt;0</f>
        <v>0</v>
      </c>
    </row>
    <row r="835" spans="1:21" s="8" customFormat="1" ht="13.5" thickBot="1" x14ac:dyDescent="0.25">
      <c r="A835" s="300" t="s">
        <v>597</v>
      </c>
      <c r="B835" s="301"/>
      <c r="C835" s="301"/>
      <c r="D835" s="301"/>
      <c r="E835" s="301"/>
      <c r="F835" s="301"/>
      <c r="G835" s="301"/>
      <c r="H835" s="301"/>
      <c r="I835" s="301"/>
      <c r="J835" s="301"/>
      <c r="K835" s="301"/>
      <c r="L835" s="302"/>
      <c r="M835" s="179"/>
      <c r="N835" s="179" t="s">
        <v>597</v>
      </c>
      <c r="O835" s="141">
        <f>AVERAGE(O836:O841)</f>
        <v>0</v>
      </c>
      <c r="P835" s="181" t="b">
        <f>COUNTIF(P836:P841,TRUE)&gt;0</f>
        <v>1</v>
      </c>
      <c r="Q835" s="181" t="b">
        <f>COUNTIF(Q836:Q841,TRUE)&gt;0</f>
        <v>0</v>
      </c>
      <c r="R835" s="181" t="b">
        <f>COUNTIF(R836:R841,TRUE)&gt;0</f>
        <v>1</v>
      </c>
      <c r="S835" s="181" t="b">
        <f>COUNTIF(S836:S841,TRUE)&gt;0</f>
        <v>0</v>
      </c>
      <c r="T835" s="181" t="b">
        <f>COUNTIF(T836:T841,TRUE)&gt;0</f>
        <v>0</v>
      </c>
      <c r="U835" s="249"/>
    </row>
    <row r="836" spans="1:21" s="8" customFormat="1" ht="11.25" x14ac:dyDescent="0.2">
      <c r="A836" s="152">
        <v>10123486</v>
      </c>
      <c r="B836" s="9" t="s">
        <v>598</v>
      </c>
      <c r="C836" s="14" t="s">
        <v>608</v>
      </c>
      <c r="D836" s="11" t="s">
        <v>757</v>
      </c>
      <c r="E836" s="14" t="s">
        <v>757</v>
      </c>
      <c r="F836" s="13">
        <v>24</v>
      </c>
      <c r="G836" s="121">
        <f>Overview!$B$162</f>
        <v>36</v>
      </c>
      <c r="H836" s="23">
        <f t="shared" ref="H836:H841" si="271">G836-I836</f>
        <v>36</v>
      </c>
      <c r="I836" s="114">
        <f>Overview!$E$162</f>
        <v>0</v>
      </c>
      <c r="J836" s="24">
        <f t="shared" ref="J836:J841" si="272">I836/F836</f>
        <v>0</v>
      </c>
      <c r="K836" s="116">
        <f>Overview!$H$162</f>
        <v>0</v>
      </c>
      <c r="L836" s="51" t="e">
        <f t="shared" ref="L836:L841" si="273">(K836-J836)/K836</f>
        <v>#DIV/0!</v>
      </c>
      <c r="M836" s="179"/>
      <c r="N836" s="179" t="s">
        <v>597</v>
      </c>
      <c r="O836" s="141">
        <f t="shared" ref="O836:O841" si="274">I836</f>
        <v>0</v>
      </c>
      <c r="P836" s="181" t="b">
        <f>COUNTIF('Facility Data'!$A$1:$A$1500,"*"&amp;A836&amp;"*")&gt;0</f>
        <v>1</v>
      </c>
      <c r="Q836" s="181" t="b">
        <f>COUNTIF('Account Data'!$A$1:$A$1000,"*"&amp;A836&amp;"*")&gt;0</f>
        <v>0</v>
      </c>
      <c r="R836" s="182" t="b">
        <f t="shared" ref="R836:R841" si="275">IF(OR(P836=TRUE,T836=TRUE),TRUE,FALSE)</f>
        <v>1</v>
      </c>
      <c r="S836" s="182" t="b">
        <f t="shared" ref="S836:S841" si="276">IF(OR(Q836=TRUE,T836=TRUE),TRUE,FALSE)</f>
        <v>0</v>
      </c>
      <c r="T836" s="181" t="b">
        <f>COUNTIF('New Items'!$A$1:$A$175,A836)&gt;0</f>
        <v>0</v>
      </c>
      <c r="U836" s="181" t="b">
        <f>COUNTIF(Discontinued!$A$1:$A$150,A836)&gt;0</f>
        <v>0</v>
      </c>
    </row>
    <row r="837" spans="1:21" s="8" customFormat="1" ht="11.25" x14ac:dyDescent="0.2">
      <c r="A837" s="152">
        <v>10123484</v>
      </c>
      <c r="B837" s="9" t="s">
        <v>599</v>
      </c>
      <c r="C837" s="14" t="s">
        <v>618</v>
      </c>
      <c r="D837" s="11" t="s">
        <v>950</v>
      </c>
      <c r="E837" s="14" t="s">
        <v>791</v>
      </c>
      <c r="F837" s="13">
        <v>24</v>
      </c>
      <c r="G837" s="121">
        <f>Overview!$B$163</f>
        <v>40</v>
      </c>
      <c r="H837" s="23">
        <f t="shared" si="271"/>
        <v>40</v>
      </c>
      <c r="I837" s="114">
        <f>Overview!$E$163</f>
        <v>0</v>
      </c>
      <c r="J837" s="24">
        <f t="shared" si="272"/>
        <v>0</v>
      </c>
      <c r="K837" s="116">
        <f>Overview!$H$163</f>
        <v>0</v>
      </c>
      <c r="L837" s="51" t="e">
        <f t="shared" si="273"/>
        <v>#DIV/0!</v>
      </c>
      <c r="M837" s="179"/>
      <c r="N837" s="179" t="s">
        <v>597</v>
      </c>
      <c r="O837" s="141">
        <f t="shared" si="274"/>
        <v>0</v>
      </c>
      <c r="P837" s="181" t="b">
        <f>COUNTIF('Facility Data'!$A$1:$A$1500,"*"&amp;A837&amp;"*")&gt;0</f>
        <v>1</v>
      </c>
      <c r="Q837" s="181" t="b">
        <f>COUNTIF('Account Data'!$A$1:$A$1000,"*"&amp;A837&amp;"*")&gt;0</f>
        <v>0</v>
      </c>
      <c r="R837" s="182" t="b">
        <f t="shared" si="275"/>
        <v>1</v>
      </c>
      <c r="S837" s="182" t="b">
        <f t="shared" si="276"/>
        <v>0</v>
      </c>
      <c r="T837" s="181" t="b">
        <f>COUNTIF('New Items'!$A$1:$A$175,A837)&gt;0</f>
        <v>0</v>
      </c>
      <c r="U837" s="181" t="b">
        <f>COUNTIF(Discontinued!$A$1:$A$150,A837)&gt;0</f>
        <v>0</v>
      </c>
    </row>
    <row r="838" spans="1:21" s="8" customFormat="1" ht="11.25" x14ac:dyDescent="0.2">
      <c r="A838" s="152">
        <v>10123487</v>
      </c>
      <c r="B838" s="9" t="s">
        <v>4061</v>
      </c>
      <c r="C838" s="14" t="s">
        <v>619</v>
      </c>
      <c r="D838" s="11" t="s">
        <v>758</v>
      </c>
      <c r="E838" s="14" t="s">
        <v>758</v>
      </c>
      <c r="F838" s="13">
        <v>12</v>
      </c>
      <c r="G838" s="121">
        <f>Overview!$B$164</f>
        <v>24</v>
      </c>
      <c r="H838" s="23">
        <f t="shared" si="271"/>
        <v>24</v>
      </c>
      <c r="I838" s="114">
        <f>Overview!$E$164</f>
        <v>0</v>
      </c>
      <c r="J838" s="24">
        <f t="shared" si="272"/>
        <v>0</v>
      </c>
      <c r="K838" s="116">
        <f>Overview!$H$164</f>
        <v>0</v>
      </c>
      <c r="L838" s="51" t="e">
        <f t="shared" si="273"/>
        <v>#DIV/0!</v>
      </c>
      <c r="M838" s="179"/>
      <c r="N838" s="179" t="s">
        <v>597</v>
      </c>
      <c r="O838" s="141">
        <f t="shared" si="274"/>
        <v>0</v>
      </c>
      <c r="P838" s="181" t="b">
        <f>COUNTIF('Facility Data'!$A$1:$A$1500,"*"&amp;A838&amp;"*")&gt;0</f>
        <v>1</v>
      </c>
      <c r="Q838" s="181" t="b">
        <f>COUNTIF('Account Data'!$A$1:$A$1000,"*"&amp;A838&amp;"*")&gt;0</f>
        <v>0</v>
      </c>
      <c r="R838" s="182" t="b">
        <f t="shared" si="275"/>
        <v>1</v>
      </c>
      <c r="S838" s="182" t="b">
        <f t="shared" si="276"/>
        <v>0</v>
      </c>
      <c r="T838" s="181" t="b">
        <f>COUNTIF('New Items'!$A$1:$A$175,A838)&gt;0</f>
        <v>0</v>
      </c>
      <c r="U838" s="181" t="b">
        <f>COUNTIF(Discontinued!$A$1:$A$150,A838)&gt;0</f>
        <v>0</v>
      </c>
    </row>
    <row r="839" spans="1:21" s="8" customFormat="1" ht="11.25" x14ac:dyDescent="0.2">
      <c r="A839" s="152">
        <v>10123488</v>
      </c>
      <c r="B839" s="9" t="s">
        <v>600</v>
      </c>
      <c r="C839" s="14" t="s">
        <v>603</v>
      </c>
      <c r="D839" s="11" t="s">
        <v>759</v>
      </c>
      <c r="E839" s="14" t="s">
        <v>759</v>
      </c>
      <c r="F839" s="13">
        <v>12</v>
      </c>
      <c r="G839" s="121">
        <f>Overview!$B$165</f>
        <v>24</v>
      </c>
      <c r="H839" s="23">
        <f t="shared" si="271"/>
        <v>24</v>
      </c>
      <c r="I839" s="114">
        <f>Overview!$E$165</f>
        <v>0</v>
      </c>
      <c r="J839" s="24">
        <f t="shared" si="272"/>
        <v>0</v>
      </c>
      <c r="K839" s="116">
        <f>Overview!$H$165</f>
        <v>0</v>
      </c>
      <c r="L839" s="51" t="e">
        <f t="shared" si="273"/>
        <v>#DIV/0!</v>
      </c>
      <c r="M839" s="179"/>
      <c r="N839" s="179" t="s">
        <v>597</v>
      </c>
      <c r="O839" s="141">
        <f t="shared" si="274"/>
        <v>0</v>
      </c>
      <c r="P839" s="181" t="b">
        <f>COUNTIF('Facility Data'!$A$1:$A$1500,"*"&amp;A839&amp;"*")&gt;0</f>
        <v>1</v>
      </c>
      <c r="Q839" s="181" t="b">
        <f>COUNTIF('Account Data'!$A$1:$A$1000,"*"&amp;A839&amp;"*")&gt;0</f>
        <v>0</v>
      </c>
      <c r="R839" s="182" t="b">
        <f t="shared" si="275"/>
        <v>1</v>
      </c>
      <c r="S839" s="182" t="b">
        <f t="shared" si="276"/>
        <v>0</v>
      </c>
      <c r="T839" s="181" t="b">
        <f>COUNTIF('New Items'!$A$1:$A$175,A839)&gt;0</f>
        <v>0</v>
      </c>
      <c r="U839" s="181" t="b">
        <f>COUNTIF(Discontinued!$A$1:$A$150,A839)&gt;0</f>
        <v>0</v>
      </c>
    </row>
    <row r="840" spans="1:21" s="8" customFormat="1" ht="11.25" x14ac:dyDescent="0.2">
      <c r="A840" s="152">
        <v>10123483</v>
      </c>
      <c r="B840" s="9" t="s">
        <v>601</v>
      </c>
      <c r="C840" s="15" t="s">
        <v>620</v>
      </c>
      <c r="D840" s="11" t="s">
        <v>760</v>
      </c>
      <c r="E840" s="15" t="s">
        <v>792</v>
      </c>
      <c r="F840" s="13">
        <v>4</v>
      </c>
      <c r="G840" s="121">
        <f>Overview!$B$166</f>
        <v>24</v>
      </c>
      <c r="H840" s="23">
        <f t="shared" si="271"/>
        <v>24</v>
      </c>
      <c r="I840" s="114">
        <f>Overview!$E$166</f>
        <v>0</v>
      </c>
      <c r="J840" s="24">
        <f t="shared" si="272"/>
        <v>0</v>
      </c>
      <c r="K840" s="116">
        <f>Overview!$H$166</f>
        <v>0</v>
      </c>
      <c r="L840" s="51" t="e">
        <f t="shared" si="273"/>
        <v>#DIV/0!</v>
      </c>
      <c r="M840" s="179"/>
      <c r="N840" s="179" t="s">
        <v>597</v>
      </c>
      <c r="O840" s="141">
        <f t="shared" si="274"/>
        <v>0</v>
      </c>
      <c r="P840" s="181" t="b">
        <f>COUNTIF('Facility Data'!$A$1:$A$1500,"*"&amp;A840&amp;"*")&gt;0</f>
        <v>1</v>
      </c>
      <c r="Q840" s="181" t="b">
        <f>COUNTIF('Account Data'!$A$1:$A$1000,"*"&amp;A840&amp;"*")&gt;0</f>
        <v>0</v>
      </c>
      <c r="R840" s="182" t="b">
        <f t="shared" si="275"/>
        <v>1</v>
      </c>
      <c r="S840" s="182" t="b">
        <f t="shared" si="276"/>
        <v>0</v>
      </c>
      <c r="T840" s="181" t="b">
        <f>COUNTIF('New Items'!$A$1:$A$175,A840)&gt;0</f>
        <v>0</v>
      </c>
      <c r="U840" s="181" t="b">
        <f>COUNTIF(Discontinued!$A$1:$A$150,A840)&gt;0</f>
        <v>0</v>
      </c>
    </row>
    <row r="841" spans="1:21" s="8" customFormat="1" ht="12" thickBot="1" x14ac:dyDescent="0.25">
      <c r="A841" s="154">
        <v>10123485</v>
      </c>
      <c r="B841" s="58" t="s">
        <v>4060</v>
      </c>
      <c r="C841" s="14" t="s">
        <v>3355</v>
      </c>
      <c r="D841" s="11" t="s">
        <v>863</v>
      </c>
      <c r="E841" s="15" t="s">
        <v>758</v>
      </c>
      <c r="F841" s="13">
        <v>2</v>
      </c>
      <c r="G841" s="121">
        <f>Overview!$B$167</f>
        <v>24</v>
      </c>
      <c r="H841" s="23">
        <f t="shared" si="271"/>
        <v>24</v>
      </c>
      <c r="I841" s="114">
        <f>Overview!$E$167</f>
        <v>0</v>
      </c>
      <c r="J841" s="24">
        <f t="shared" si="272"/>
        <v>0</v>
      </c>
      <c r="K841" s="116">
        <f>Overview!$H$167</f>
        <v>0</v>
      </c>
      <c r="L841" s="51" t="e">
        <f t="shared" si="273"/>
        <v>#DIV/0!</v>
      </c>
      <c r="M841" s="179"/>
      <c r="N841" s="179" t="s">
        <v>597</v>
      </c>
      <c r="O841" s="141">
        <f t="shared" si="274"/>
        <v>0</v>
      </c>
      <c r="P841" s="181" t="b">
        <f>COUNTIF('Facility Data'!$A$1:$A$1500,"*"&amp;A841&amp;"*")&gt;0</f>
        <v>1</v>
      </c>
      <c r="Q841" s="181" t="b">
        <f>COUNTIF('Account Data'!$A$1:$A$1000,"*"&amp;A841&amp;"*")&gt;0</f>
        <v>0</v>
      </c>
      <c r="R841" s="182" t="b">
        <f t="shared" si="275"/>
        <v>1</v>
      </c>
      <c r="S841" s="182" t="b">
        <f t="shared" si="276"/>
        <v>0</v>
      </c>
      <c r="T841" s="181" t="b">
        <f>COUNTIF('New Items'!$A$1:$A$175,A841)&gt;0</f>
        <v>0</v>
      </c>
      <c r="U841" s="181" t="b">
        <f>COUNTIF(Discontinued!$A$1:$A$150,A841)&gt;0</f>
        <v>0</v>
      </c>
    </row>
    <row r="842" spans="1:21" s="8" customFormat="1" ht="13.5" thickBot="1" x14ac:dyDescent="0.25">
      <c r="A842" s="300" t="s">
        <v>3860</v>
      </c>
      <c r="B842" s="301"/>
      <c r="C842" s="301"/>
      <c r="D842" s="301"/>
      <c r="E842" s="301"/>
      <c r="F842" s="301"/>
      <c r="G842" s="301"/>
      <c r="H842" s="301"/>
      <c r="I842" s="301"/>
      <c r="J842" s="301"/>
      <c r="K842" s="301"/>
      <c r="L842" s="302"/>
      <c r="M842" s="179"/>
      <c r="N842" s="179" t="s">
        <v>622</v>
      </c>
      <c r="O842" s="141">
        <f>AVERAGE(O843:O848)</f>
        <v>0</v>
      </c>
      <c r="P842" s="181" t="b">
        <f>COUNTIF(P843:P848,TRUE)&gt;0</f>
        <v>1</v>
      </c>
      <c r="Q842" s="181" t="b">
        <f>COUNTIF(Q843:Q848,TRUE)&gt;0</f>
        <v>0</v>
      </c>
      <c r="R842" s="181" t="b">
        <f>COUNTIF(R843:R848,TRUE)&gt;0</f>
        <v>1</v>
      </c>
      <c r="S842" s="181" t="b">
        <f>COUNTIF(S843:S848,TRUE)&gt;0</f>
        <v>0</v>
      </c>
      <c r="T842" s="181" t="b">
        <f>COUNTIF(T843:T848,TRUE)&gt;0</f>
        <v>0</v>
      </c>
      <c r="U842" s="249"/>
    </row>
    <row r="843" spans="1:21" s="8" customFormat="1" ht="11.25" x14ac:dyDescent="0.2">
      <c r="A843" s="152">
        <v>10130147</v>
      </c>
      <c r="B843" s="10" t="s">
        <v>3867</v>
      </c>
      <c r="C843" s="14" t="s">
        <v>3869</v>
      </c>
      <c r="D843" s="11" t="s">
        <v>697</v>
      </c>
      <c r="E843" s="14" t="s">
        <v>792</v>
      </c>
      <c r="F843" s="13">
        <v>12</v>
      </c>
      <c r="G843" s="22">
        <f>Overview!$B$74</f>
        <v>24</v>
      </c>
      <c r="H843" s="23">
        <f t="shared" ref="H843:H848" si="277">G843-I843</f>
        <v>24</v>
      </c>
      <c r="I843" s="114">
        <f>Overview!$E$74</f>
        <v>0</v>
      </c>
      <c r="J843" s="24">
        <f t="shared" ref="J843:J848" si="278">I843/F843</f>
        <v>0</v>
      </c>
      <c r="K843" s="116">
        <f>Overview!$H$74</f>
        <v>0</v>
      </c>
      <c r="L843" s="51" t="e">
        <f t="shared" ref="L843:L848" si="279">(K843-J843)/K843</f>
        <v>#DIV/0!</v>
      </c>
      <c r="M843" s="179"/>
      <c r="N843" s="179" t="s">
        <v>622</v>
      </c>
      <c r="O843" s="141">
        <f t="shared" ref="O843:O848" si="280">I843</f>
        <v>0</v>
      </c>
      <c r="P843" s="181" t="b">
        <f>COUNTIF('Facility Data'!$A$1:$A$1500,"*"&amp;A843&amp;"*")&gt;0</f>
        <v>0</v>
      </c>
      <c r="Q843" s="181" t="b">
        <f>COUNTIF('Account Data'!$A$1:$A$1000,"*"&amp;A843&amp;"*")&gt;0</f>
        <v>0</v>
      </c>
      <c r="R843" s="182" t="b">
        <f t="shared" ref="R843:R848" si="281">IF(OR(P843=TRUE,T843=TRUE),TRUE,FALSE)</f>
        <v>0</v>
      </c>
      <c r="S843" s="182" t="b">
        <f t="shared" ref="S843:S848" si="282">IF(OR(Q843=TRUE,T843=TRUE),TRUE,FALSE)</f>
        <v>0</v>
      </c>
      <c r="T843" s="181" t="b">
        <f>COUNTIF('New Items'!$A$1:$A$175,A843)&gt;0</f>
        <v>0</v>
      </c>
      <c r="U843" s="181" t="b">
        <f>COUNTIF(Discontinued!$A$1:$A$150,A843)&gt;0</f>
        <v>0</v>
      </c>
    </row>
    <row r="844" spans="1:21" s="8" customFormat="1" ht="11.25" x14ac:dyDescent="0.2">
      <c r="A844" s="152">
        <v>10130146</v>
      </c>
      <c r="B844" s="10" t="s">
        <v>3862</v>
      </c>
      <c r="C844" s="14" t="s">
        <v>3868</v>
      </c>
      <c r="D844" s="11" t="s">
        <v>722</v>
      </c>
      <c r="E844" s="14" t="s">
        <v>792</v>
      </c>
      <c r="F844" s="13">
        <v>12</v>
      </c>
      <c r="G844" s="22">
        <f>Overview!$B$74</f>
        <v>24</v>
      </c>
      <c r="H844" s="23">
        <f t="shared" si="277"/>
        <v>24</v>
      </c>
      <c r="I844" s="114">
        <f>Overview!$E$74</f>
        <v>0</v>
      </c>
      <c r="J844" s="24">
        <f t="shared" si="278"/>
        <v>0</v>
      </c>
      <c r="K844" s="116">
        <f>Overview!$H$74</f>
        <v>0</v>
      </c>
      <c r="L844" s="51" t="e">
        <f t="shared" si="279"/>
        <v>#DIV/0!</v>
      </c>
      <c r="M844" s="179"/>
      <c r="N844" s="179" t="s">
        <v>622</v>
      </c>
      <c r="O844" s="141">
        <f t="shared" si="280"/>
        <v>0</v>
      </c>
      <c r="P844" s="181" t="b">
        <f>COUNTIF('Facility Data'!$A$1:$A$1500,"*"&amp;A844&amp;"*")&gt;0</f>
        <v>1</v>
      </c>
      <c r="Q844" s="181" t="b">
        <f>COUNTIF('Account Data'!$A$1:$A$1000,"*"&amp;A844&amp;"*")&gt;0</f>
        <v>0</v>
      </c>
      <c r="R844" s="182" t="b">
        <f t="shared" si="281"/>
        <v>1</v>
      </c>
      <c r="S844" s="182" t="b">
        <f t="shared" si="282"/>
        <v>0</v>
      </c>
      <c r="T844" s="181" t="b">
        <f>COUNTIF('New Items'!$A$1:$A$175,A844)&gt;0</f>
        <v>0</v>
      </c>
      <c r="U844" s="181" t="b">
        <f>COUNTIF(Discontinued!$A$1:$A$150,A844)&gt;0</f>
        <v>0</v>
      </c>
    </row>
    <row r="845" spans="1:21" s="8" customFormat="1" ht="11.25" x14ac:dyDescent="0.2">
      <c r="A845" s="152">
        <v>10130149</v>
      </c>
      <c r="B845" s="10" t="s">
        <v>3866</v>
      </c>
      <c r="C845" s="14" t="s">
        <v>4454</v>
      </c>
      <c r="D845" s="11" t="s">
        <v>724</v>
      </c>
      <c r="E845" s="14" t="s">
        <v>792</v>
      </c>
      <c r="F845" s="13">
        <v>12</v>
      </c>
      <c r="G845" s="22">
        <f>Overview!$B$74</f>
        <v>24</v>
      </c>
      <c r="H845" s="23">
        <f t="shared" si="277"/>
        <v>24</v>
      </c>
      <c r="I845" s="114">
        <f>Overview!$E$74</f>
        <v>0</v>
      </c>
      <c r="J845" s="24">
        <f t="shared" si="278"/>
        <v>0</v>
      </c>
      <c r="K845" s="116">
        <f>Overview!$H$74</f>
        <v>0</v>
      </c>
      <c r="L845" s="51" t="e">
        <f t="shared" si="279"/>
        <v>#DIV/0!</v>
      </c>
      <c r="M845" s="179"/>
      <c r="N845" s="179" t="s">
        <v>622</v>
      </c>
      <c r="O845" s="141">
        <f t="shared" si="280"/>
        <v>0</v>
      </c>
      <c r="P845" s="181" t="b">
        <f>COUNTIF('Facility Data'!$A$1:$A$1500,"*"&amp;A845&amp;"*")&gt;0</f>
        <v>1</v>
      </c>
      <c r="Q845" s="181" t="b">
        <f>COUNTIF('Account Data'!$A$1:$A$1000,"*"&amp;A845&amp;"*")&gt;0</f>
        <v>0</v>
      </c>
      <c r="R845" s="182" t="b">
        <f t="shared" si="281"/>
        <v>1</v>
      </c>
      <c r="S845" s="182" t="b">
        <f t="shared" si="282"/>
        <v>0</v>
      </c>
      <c r="T845" s="181" t="b">
        <f>COUNTIF('New Items'!$A$1:$A$175,A845)&gt;0</f>
        <v>0</v>
      </c>
      <c r="U845" s="181" t="b">
        <f>COUNTIF(Discontinued!$A$1:$A$150,A845)&gt;0</f>
        <v>0</v>
      </c>
    </row>
    <row r="846" spans="1:21" s="8" customFormat="1" ht="11.25" x14ac:dyDescent="0.2">
      <c r="A846" s="152">
        <v>10130148</v>
      </c>
      <c r="B846" s="10" t="s">
        <v>3863</v>
      </c>
      <c r="C846" s="14" t="s">
        <v>4451</v>
      </c>
      <c r="D846" s="11" t="s">
        <v>727</v>
      </c>
      <c r="E846" s="14" t="s">
        <v>792</v>
      </c>
      <c r="F846" s="13">
        <v>12</v>
      </c>
      <c r="G846" s="22">
        <f>Overview!$B$74</f>
        <v>24</v>
      </c>
      <c r="H846" s="23">
        <f t="shared" si="277"/>
        <v>24</v>
      </c>
      <c r="I846" s="114">
        <f>Overview!$E$74</f>
        <v>0</v>
      </c>
      <c r="J846" s="24">
        <f t="shared" si="278"/>
        <v>0</v>
      </c>
      <c r="K846" s="116">
        <f>Overview!$H$74</f>
        <v>0</v>
      </c>
      <c r="L846" s="51" t="e">
        <f t="shared" si="279"/>
        <v>#DIV/0!</v>
      </c>
      <c r="M846" s="179"/>
      <c r="N846" s="179" t="s">
        <v>622</v>
      </c>
      <c r="O846" s="141">
        <f t="shared" si="280"/>
        <v>0</v>
      </c>
      <c r="P846" s="181" t="b">
        <f>COUNTIF('Facility Data'!$A$1:$A$1500,"*"&amp;A846&amp;"*")&gt;0</f>
        <v>1</v>
      </c>
      <c r="Q846" s="181" t="b">
        <f>COUNTIF('Account Data'!$A$1:$A$1000,"*"&amp;A846&amp;"*")&gt;0</f>
        <v>0</v>
      </c>
      <c r="R846" s="182" t="b">
        <f t="shared" si="281"/>
        <v>1</v>
      </c>
      <c r="S846" s="182" t="b">
        <f t="shared" si="282"/>
        <v>0</v>
      </c>
      <c r="T846" s="181" t="b">
        <f>COUNTIF('New Items'!$A$1:$A$175,A846)&gt;0</f>
        <v>0</v>
      </c>
      <c r="U846" s="181" t="b">
        <f>COUNTIF(Discontinued!$A$1:$A$150,A846)&gt;0</f>
        <v>0</v>
      </c>
    </row>
    <row r="847" spans="1:21" s="8" customFormat="1" ht="11.25" x14ac:dyDescent="0.2">
      <c r="A847" s="152">
        <v>10130151</v>
      </c>
      <c r="B847" s="10" t="s">
        <v>3864</v>
      </c>
      <c r="C847" s="14" t="s">
        <v>4452</v>
      </c>
      <c r="D847" s="11" t="s">
        <v>725</v>
      </c>
      <c r="E847" s="14" t="s">
        <v>792</v>
      </c>
      <c r="F847" s="13">
        <v>12</v>
      </c>
      <c r="G847" s="22">
        <f>Overview!$B$74</f>
        <v>24</v>
      </c>
      <c r="H847" s="23">
        <f t="shared" si="277"/>
        <v>24</v>
      </c>
      <c r="I847" s="114">
        <f>Overview!$E$74</f>
        <v>0</v>
      </c>
      <c r="J847" s="24">
        <f t="shared" si="278"/>
        <v>0</v>
      </c>
      <c r="K847" s="116">
        <f>Overview!$H$74</f>
        <v>0</v>
      </c>
      <c r="L847" s="51" t="e">
        <f t="shared" si="279"/>
        <v>#DIV/0!</v>
      </c>
      <c r="M847" s="179"/>
      <c r="N847" s="179" t="s">
        <v>622</v>
      </c>
      <c r="O847" s="141">
        <f t="shared" si="280"/>
        <v>0</v>
      </c>
      <c r="P847" s="181" t="b">
        <f>COUNTIF('Facility Data'!$A$1:$A$1500,"*"&amp;A847&amp;"*")&gt;0</f>
        <v>1</v>
      </c>
      <c r="Q847" s="181" t="b">
        <f>COUNTIF('Account Data'!$A$1:$A$1000,"*"&amp;A847&amp;"*")&gt;0</f>
        <v>0</v>
      </c>
      <c r="R847" s="182" t="b">
        <f t="shared" si="281"/>
        <v>1</v>
      </c>
      <c r="S847" s="182" t="b">
        <f t="shared" si="282"/>
        <v>0</v>
      </c>
      <c r="T847" s="181" t="b">
        <f>COUNTIF('New Items'!$A$1:$A$175,A847)&gt;0</f>
        <v>0</v>
      </c>
      <c r="U847" s="181" t="b">
        <f>COUNTIF(Discontinued!$A$1:$A$150,A847)&gt;0</f>
        <v>0</v>
      </c>
    </row>
    <row r="848" spans="1:21" s="8" customFormat="1" ht="12" thickBot="1" x14ac:dyDescent="0.25">
      <c r="A848" s="152">
        <v>10130150</v>
      </c>
      <c r="B848" s="10" t="s">
        <v>3865</v>
      </c>
      <c r="C848" s="14" t="s">
        <v>4453</v>
      </c>
      <c r="D848" s="11" t="s">
        <v>726</v>
      </c>
      <c r="E848" s="14" t="s">
        <v>792</v>
      </c>
      <c r="F848" s="13">
        <v>12</v>
      </c>
      <c r="G848" s="22">
        <f>Overview!$B$74</f>
        <v>24</v>
      </c>
      <c r="H848" s="23">
        <f t="shared" si="277"/>
        <v>24</v>
      </c>
      <c r="I848" s="114">
        <f>Overview!$E$74</f>
        <v>0</v>
      </c>
      <c r="J848" s="24">
        <f t="shared" si="278"/>
        <v>0</v>
      </c>
      <c r="K848" s="116">
        <f>Overview!$H$74</f>
        <v>0</v>
      </c>
      <c r="L848" s="51" t="e">
        <f t="shared" si="279"/>
        <v>#DIV/0!</v>
      </c>
      <c r="M848" s="179"/>
      <c r="N848" s="179" t="s">
        <v>622</v>
      </c>
      <c r="O848" s="141">
        <f t="shared" si="280"/>
        <v>0</v>
      </c>
      <c r="P848" s="181" t="b">
        <f>COUNTIF('Facility Data'!$A$1:$A$1500,"*"&amp;A848&amp;"*")&gt;0</f>
        <v>1</v>
      </c>
      <c r="Q848" s="181" t="b">
        <f>COUNTIF('Account Data'!$A$1:$A$1000,"*"&amp;A848&amp;"*")&gt;0</f>
        <v>0</v>
      </c>
      <c r="R848" s="182" t="b">
        <f t="shared" si="281"/>
        <v>1</v>
      </c>
      <c r="S848" s="182" t="b">
        <f t="shared" si="282"/>
        <v>0</v>
      </c>
      <c r="T848" s="181" t="b">
        <f>COUNTIF('New Items'!$A$1:$A$175,A848)&gt;0</f>
        <v>0</v>
      </c>
      <c r="U848" s="181" t="b">
        <f>COUNTIF(Discontinued!$A$1:$A$150,A848)&gt;0</f>
        <v>0</v>
      </c>
    </row>
    <row r="849" spans="1:21" s="8" customFormat="1" ht="13.5" thickBot="1" x14ac:dyDescent="0.25">
      <c r="A849" s="300" t="s">
        <v>2880</v>
      </c>
      <c r="B849" s="301"/>
      <c r="C849" s="301"/>
      <c r="D849" s="301"/>
      <c r="E849" s="301"/>
      <c r="F849" s="301"/>
      <c r="G849" s="301"/>
      <c r="H849" s="301"/>
      <c r="I849" s="301"/>
      <c r="J849" s="301"/>
      <c r="K849" s="301"/>
      <c r="L849" s="302"/>
      <c r="M849" s="179"/>
      <c r="N849" s="179" t="s">
        <v>3861</v>
      </c>
      <c r="O849" s="141">
        <f>AVERAGE(O850:O857)</f>
        <v>0</v>
      </c>
      <c r="P849" s="181" t="b">
        <f>COUNTIF(P850:P857,TRUE)&gt;0</f>
        <v>1</v>
      </c>
      <c r="Q849" s="181" t="b">
        <f>COUNTIF(Q850:Q857,TRUE)&gt;0</f>
        <v>0</v>
      </c>
      <c r="R849" s="181" t="b">
        <f>COUNTIF(R850:R857,TRUE)&gt;0</f>
        <v>1</v>
      </c>
      <c r="S849" s="181" t="b">
        <f>COUNTIF(S850:S857,TRUE)&gt;0</f>
        <v>0</v>
      </c>
      <c r="T849" s="181" t="b">
        <f>COUNTIF(T850:T857,TRUE)&gt;0</f>
        <v>0</v>
      </c>
      <c r="U849" s="249"/>
    </row>
    <row r="850" spans="1:21" s="8" customFormat="1" ht="11.25" x14ac:dyDescent="0.2">
      <c r="A850" s="154">
        <v>10123491</v>
      </c>
      <c r="B850" s="10" t="s">
        <v>2391</v>
      </c>
      <c r="C850" s="14" t="s">
        <v>868</v>
      </c>
      <c r="D850" s="11" t="s">
        <v>866</v>
      </c>
      <c r="E850" s="14" t="s">
        <v>782</v>
      </c>
      <c r="F850" s="13">
        <v>12</v>
      </c>
      <c r="G850" s="22">
        <f>Overview!$B$74</f>
        <v>24</v>
      </c>
      <c r="H850" s="23">
        <f t="shared" ref="H850:H857" si="283">G850-I850</f>
        <v>24</v>
      </c>
      <c r="I850" s="114">
        <f>Overview!$E$74</f>
        <v>0</v>
      </c>
      <c r="J850" s="24">
        <f t="shared" ref="J850:J857" si="284">I850/F850</f>
        <v>0</v>
      </c>
      <c r="K850" s="116">
        <f>Overview!$H$74</f>
        <v>0</v>
      </c>
      <c r="L850" s="51" t="e">
        <f t="shared" ref="L850:L857" si="285">(K850-J850)/K850</f>
        <v>#DIV/0!</v>
      </c>
      <c r="M850" s="179"/>
      <c r="N850" s="179" t="s">
        <v>3861</v>
      </c>
      <c r="O850" s="141">
        <f t="shared" ref="O850:O857" si="286">I850</f>
        <v>0</v>
      </c>
      <c r="P850" s="181" t="b">
        <f>COUNTIF('Facility Data'!$A$1:$A$1500,"*"&amp;A850&amp;"*")&gt;0</f>
        <v>1</v>
      </c>
      <c r="Q850" s="181" t="b">
        <f>COUNTIF('Account Data'!$A$1:$A$1000,"*"&amp;A850&amp;"*")&gt;0</f>
        <v>0</v>
      </c>
      <c r="R850" s="182" t="b">
        <f t="shared" ref="R850:R857" si="287">IF(OR(P850=TRUE,T850=TRUE),TRUE,FALSE)</f>
        <v>1</v>
      </c>
      <c r="S850" s="182" t="b">
        <f t="shared" ref="S850:S857" si="288">IF(OR(Q850=TRUE,T850=TRUE),TRUE,FALSE)</f>
        <v>0</v>
      </c>
      <c r="T850" s="181" t="b">
        <f>COUNTIF('New Items'!$A$1:$A$175,A850)&gt;0</f>
        <v>0</v>
      </c>
      <c r="U850" s="181" t="b">
        <f>COUNTIF(Discontinued!$A$1:$A$150,A850)&gt;0</f>
        <v>0</v>
      </c>
    </row>
    <row r="851" spans="1:21" s="8" customFormat="1" ht="11.25" x14ac:dyDescent="0.2">
      <c r="A851" s="154">
        <v>10123494</v>
      </c>
      <c r="B851" s="10" t="s">
        <v>876</v>
      </c>
      <c r="C851" s="14" t="s">
        <v>867</v>
      </c>
      <c r="D851" s="11" t="s">
        <v>697</v>
      </c>
      <c r="E851" s="14" t="s">
        <v>782</v>
      </c>
      <c r="F851" s="13">
        <v>12</v>
      </c>
      <c r="G851" s="22">
        <f>Overview!$B$74</f>
        <v>24</v>
      </c>
      <c r="H851" s="23">
        <f t="shared" si="283"/>
        <v>24</v>
      </c>
      <c r="I851" s="114">
        <f>Overview!$E$74</f>
        <v>0</v>
      </c>
      <c r="J851" s="24">
        <f t="shared" si="284"/>
        <v>0</v>
      </c>
      <c r="K851" s="116">
        <f>Overview!$H$74</f>
        <v>0</v>
      </c>
      <c r="L851" s="51" t="e">
        <f t="shared" si="285"/>
        <v>#DIV/0!</v>
      </c>
      <c r="M851" s="179"/>
      <c r="N851" s="179" t="s">
        <v>3861</v>
      </c>
      <c r="O851" s="141">
        <f t="shared" si="286"/>
        <v>0</v>
      </c>
      <c r="P851" s="181" t="b">
        <f>COUNTIF('Facility Data'!$A$1:$A$1500,"*"&amp;A851&amp;"*")&gt;0</f>
        <v>1</v>
      </c>
      <c r="Q851" s="181" t="b">
        <f>COUNTIF('Account Data'!$A$1:$A$1000,"*"&amp;A851&amp;"*")&gt;0</f>
        <v>0</v>
      </c>
      <c r="R851" s="182" t="b">
        <f t="shared" si="287"/>
        <v>1</v>
      </c>
      <c r="S851" s="182" t="b">
        <f t="shared" si="288"/>
        <v>0</v>
      </c>
      <c r="T851" s="181" t="b">
        <f>COUNTIF('New Items'!$A$1:$A$175,A851)&gt;0</f>
        <v>0</v>
      </c>
      <c r="U851" s="181" t="b">
        <f>COUNTIF(Discontinued!$A$1:$A$150,A851)&gt;0</f>
        <v>0</v>
      </c>
    </row>
    <row r="852" spans="1:21" s="8" customFormat="1" ht="11.25" x14ac:dyDescent="0.2">
      <c r="A852" s="154">
        <v>10123495</v>
      </c>
      <c r="B852" s="10" t="s">
        <v>623</v>
      </c>
      <c r="C852" s="14" t="s">
        <v>809</v>
      </c>
      <c r="D852" s="11" t="s">
        <v>722</v>
      </c>
      <c r="E852" s="14" t="s">
        <v>782</v>
      </c>
      <c r="F852" s="13">
        <v>12</v>
      </c>
      <c r="G852" s="22">
        <f>Overview!$B$74</f>
        <v>24</v>
      </c>
      <c r="H852" s="23">
        <f t="shared" si="283"/>
        <v>24</v>
      </c>
      <c r="I852" s="114">
        <f>Overview!$E$74</f>
        <v>0</v>
      </c>
      <c r="J852" s="24">
        <f t="shared" si="284"/>
        <v>0</v>
      </c>
      <c r="K852" s="116">
        <f>Overview!$H$74</f>
        <v>0</v>
      </c>
      <c r="L852" s="51" t="e">
        <f t="shared" si="285"/>
        <v>#DIV/0!</v>
      </c>
      <c r="M852" s="179"/>
      <c r="N852" s="179" t="s">
        <v>3861</v>
      </c>
      <c r="O852" s="141">
        <f t="shared" si="286"/>
        <v>0</v>
      </c>
      <c r="P852" s="181" t="b">
        <f>COUNTIF('Facility Data'!$A$1:$A$1500,"*"&amp;A852&amp;"*")&gt;0</f>
        <v>1</v>
      </c>
      <c r="Q852" s="181" t="b">
        <f>COUNTIF('Account Data'!$A$1:$A$1000,"*"&amp;A852&amp;"*")&gt;0</f>
        <v>0</v>
      </c>
      <c r="R852" s="182" t="b">
        <f t="shared" si="287"/>
        <v>1</v>
      </c>
      <c r="S852" s="182" t="b">
        <f t="shared" si="288"/>
        <v>0</v>
      </c>
      <c r="T852" s="181" t="b">
        <f>COUNTIF('New Items'!$A$1:$A$175,A852)&gt;0</f>
        <v>0</v>
      </c>
      <c r="U852" s="181" t="b">
        <f>COUNTIF(Discontinued!$A$1:$A$150,A852)&gt;0</f>
        <v>0</v>
      </c>
    </row>
    <row r="853" spans="1:21" s="8" customFormat="1" ht="11.25" x14ac:dyDescent="0.2">
      <c r="A853" s="154">
        <v>10123499</v>
      </c>
      <c r="B853" s="10" t="s">
        <v>625</v>
      </c>
      <c r="C853" s="14" t="s">
        <v>810</v>
      </c>
      <c r="D853" s="11" t="s">
        <v>723</v>
      </c>
      <c r="E853" s="14" t="s">
        <v>782</v>
      </c>
      <c r="F853" s="13">
        <v>12</v>
      </c>
      <c r="G853" s="22">
        <f>Overview!$B$74</f>
        <v>24</v>
      </c>
      <c r="H853" s="23">
        <f t="shared" si="283"/>
        <v>24</v>
      </c>
      <c r="I853" s="114">
        <f>Overview!$E$74</f>
        <v>0</v>
      </c>
      <c r="J853" s="24">
        <f t="shared" si="284"/>
        <v>0</v>
      </c>
      <c r="K853" s="116">
        <f>Overview!$H$74</f>
        <v>0</v>
      </c>
      <c r="L853" s="51" t="e">
        <f t="shared" si="285"/>
        <v>#DIV/0!</v>
      </c>
      <c r="M853" s="179"/>
      <c r="N853" s="179" t="s">
        <v>3861</v>
      </c>
      <c r="O853" s="141">
        <f t="shared" si="286"/>
        <v>0</v>
      </c>
      <c r="P853" s="181" t="b">
        <f>COUNTIF('Facility Data'!$A$1:$A$1500,"*"&amp;A853&amp;"*")&gt;0</f>
        <v>1</v>
      </c>
      <c r="Q853" s="181" t="b">
        <f>COUNTIF('Account Data'!$A$1:$A$1000,"*"&amp;A853&amp;"*")&gt;0</f>
        <v>0</v>
      </c>
      <c r="R853" s="182" t="b">
        <f t="shared" si="287"/>
        <v>1</v>
      </c>
      <c r="S853" s="182" t="b">
        <f t="shared" si="288"/>
        <v>0</v>
      </c>
      <c r="T853" s="181" t="b">
        <f>COUNTIF('New Items'!$A$1:$A$175,A853)&gt;0</f>
        <v>0</v>
      </c>
      <c r="U853" s="181" t="b">
        <f>COUNTIF(Discontinued!$A$1:$A$150,A853)&gt;0</f>
        <v>0</v>
      </c>
    </row>
    <row r="854" spans="1:21" s="8" customFormat="1" ht="11.25" x14ac:dyDescent="0.2">
      <c r="A854" s="154">
        <v>10123492</v>
      </c>
      <c r="B854" s="10" t="s">
        <v>626</v>
      </c>
      <c r="C854" s="14" t="s">
        <v>811</v>
      </c>
      <c r="D854" s="11" t="s">
        <v>724</v>
      </c>
      <c r="E854" s="14" t="s">
        <v>782</v>
      </c>
      <c r="F854" s="13">
        <v>12</v>
      </c>
      <c r="G854" s="22">
        <f>Overview!$B$74</f>
        <v>24</v>
      </c>
      <c r="H854" s="23">
        <f t="shared" si="283"/>
        <v>24</v>
      </c>
      <c r="I854" s="114">
        <f>Overview!$E$74</f>
        <v>0</v>
      </c>
      <c r="J854" s="24">
        <f t="shared" si="284"/>
        <v>0</v>
      </c>
      <c r="K854" s="116">
        <f>Overview!$H$74</f>
        <v>0</v>
      </c>
      <c r="L854" s="51" t="e">
        <f t="shared" si="285"/>
        <v>#DIV/0!</v>
      </c>
      <c r="M854" s="179"/>
      <c r="N854" s="179" t="s">
        <v>3861</v>
      </c>
      <c r="O854" s="141">
        <f t="shared" si="286"/>
        <v>0</v>
      </c>
      <c r="P854" s="181" t="b">
        <f>COUNTIF('Facility Data'!$A$1:$A$1500,"*"&amp;A854&amp;"*")&gt;0</f>
        <v>1</v>
      </c>
      <c r="Q854" s="181" t="b">
        <f>COUNTIF('Account Data'!$A$1:$A$1000,"*"&amp;A854&amp;"*")&gt;0</f>
        <v>0</v>
      </c>
      <c r="R854" s="182" t="b">
        <f t="shared" si="287"/>
        <v>1</v>
      </c>
      <c r="S854" s="182" t="b">
        <f t="shared" si="288"/>
        <v>0</v>
      </c>
      <c r="T854" s="181" t="b">
        <f>COUNTIF('New Items'!$A$1:$A$175,A854)&gt;0</f>
        <v>0</v>
      </c>
      <c r="U854" s="181" t="b">
        <f>COUNTIF(Discontinued!$A$1:$A$150,A854)&gt;0</f>
        <v>0</v>
      </c>
    </row>
    <row r="855" spans="1:21" s="8" customFormat="1" ht="11.25" x14ac:dyDescent="0.2">
      <c r="A855" s="154">
        <v>10123497</v>
      </c>
      <c r="B855" s="10" t="s">
        <v>628</v>
      </c>
      <c r="C855" s="14" t="s">
        <v>812</v>
      </c>
      <c r="D855" s="11" t="s">
        <v>727</v>
      </c>
      <c r="E855" s="14" t="s">
        <v>782</v>
      </c>
      <c r="F855" s="13">
        <v>12</v>
      </c>
      <c r="G855" s="22">
        <f>Overview!$B$74</f>
        <v>24</v>
      </c>
      <c r="H855" s="23">
        <f t="shared" si="283"/>
        <v>24</v>
      </c>
      <c r="I855" s="114">
        <f>Overview!$E$74</f>
        <v>0</v>
      </c>
      <c r="J855" s="24">
        <f t="shared" si="284"/>
        <v>0</v>
      </c>
      <c r="K855" s="116">
        <f>Overview!$H$74</f>
        <v>0</v>
      </c>
      <c r="L855" s="51" t="e">
        <f t="shared" si="285"/>
        <v>#DIV/0!</v>
      </c>
      <c r="M855" s="179"/>
      <c r="N855" s="179" t="s">
        <v>3861</v>
      </c>
      <c r="O855" s="141">
        <f t="shared" si="286"/>
        <v>0</v>
      </c>
      <c r="P855" s="181" t="b">
        <f>COUNTIF('Facility Data'!$A$1:$A$1500,"*"&amp;A855&amp;"*")&gt;0</f>
        <v>1</v>
      </c>
      <c r="Q855" s="181" t="b">
        <f>COUNTIF('Account Data'!$A$1:$A$1000,"*"&amp;A855&amp;"*")&gt;0</f>
        <v>0</v>
      </c>
      <c r="R855" s="182" t="b">
        <f t="shared" si="287"/>
        <v>1</v>
      </c>
      <c r="S855" s="182" t="b">
        <f t="shared" si="288"/>
        <v>0</v>
      </c>
      <c r="T855" s="181" t="b">
        <f>COUNTIF('New Items'!$A$1:$A$175,A855)&gt;0</f>
        <v>0</v>
      </c>
      <c r="U855" s="181" t="b">
        <f>COUNTIF(Discontinued!$A$1:$A$150,A855)&gt;0</f>
        <v>0</v>
      </c>
    </row>
    <row r="856" spans="1:21" s="8" customFormat="1" ht="11.25" x14ac:dyDescent="0.2">
      <c r="A856" s="154">
        <v>10123496</v>
      </c>
      <c r="B856" s="10" t="s">
        <v>624</v>
      </c>
      <c r="C856" s="14" t="s">
        <v>814</v>
      </c>
      <c r="D856" s="11" t="s">
        <v>725</v>
      </c>
      <c r="E856" s="14" t="s">
        <v>782</v>
      </c>
      <c r="F856" s="13">
        <v>12</v>
      </c>
      <c r="G856" s="22">
        <f>Overview!$B$74</f>
        <v>24</v>
      </c>
      <c r="H856" s="23">
        <f t="shared" si="283"/>
        <v>24</v>
      </c>
      <c r="I856" s="114">
        <f>Overview!$E$74</f>
        <v>0</v>
      </c>
      <c r="J856" s="24">
        <f t="shared" si="284"/>
        <v>0</v>
      </c>
      <c r="K856" s="116">
        <f>Overview!$H$74</f>
        <v>0</v>
      </c>
      <c r="L856" s="51" t="e">
        <f t="shared" si="285"/>
        <v>#DIV/0!</v>
      </c>
      <c r="M856" s="179"/>
      <c r="N856" s="179" t="s">
        <v>3861</v>
      </c>
      <c r="O856" s="141">
        <f t="shared" si="286"/>
        <v>0</v>
      </c>
      <c r="P856" s="181" t="b">
        <f>COUNTIF('Facility Data'!$A$1:$A$1500,"*"&amp;A856&amp;"*")&gt;0</f>
        <v>1</v>
      </c>
      <c r="Q856" s="181" t="b">
        <f>COUNTIF('Account Data'!$A$1:$A$1000,"*"&amp;A856&amp;"*")&gt;0</f>
        <v>0</v>
      </c>
      <c r="R856" s="182" t="b">
        <f t="shared" si="287"/>
        <v>1</v>
      </c>
      <c r="S856" s="182" t="b">
        <f t="shared" si="288"/>
        <v>0</v>
      </c>
      <c r="T856" s="181" t="b">
        <f>COUNTIF('New Items'!$A$1:$A$175,A856)&gt;0</f>
        <v>0</v>
      </c>
      <c r="U856" s="181" t="b">
        <f>COUNTIF(Discontinued!$A$1:$A$150,A856)&gt;0</f>
        <v>0</v>
      </c>
    </row>
    <row r="857" spans="1:21" s="8" customFormat="1" ht="12" thickBot="1" x14ac:dyDescent="0.25">
      <c r="A857" s="154">
        <v>10123498</v>
      </c>
      <c r="B857" s="10" t="s">
        <v>627</v>
      </c>
      <c r="C857" s="14" t="s">
        <v>813</v>
      </c>
      <c r="D857" s="11" t="s">
        <v>726</v>
      </c>
      <c r="E857" s="14" t="s">
        <v>782</v>
      </c>
      <c r="F857" s="13">
        <v>12</v>
      </c>
      <c r="G857" s="22">
        <f>Overview!$B$74</f>
        <v>24</v>
      </c>
      <c r="H857" s="23">
        <f t="shared" si="283"/>
        <v>24</v>
      </c>
      <c r="I857" s="114">
        <f>Overview!$E$74</f>
        <v>0</v>
      </c>
      <c r="J857" s="24">
        <f t="shared" si="284"/>
        <v>0</v>
      </c>
      <c r="K857" s="116">
        <f>Overview!$H$74</f>
        <v>0</v>
      </c>
      <c r="L857" s="51" t="e">
        <f t="shared" si="285"/>
        <v>#DIV/0!</v>
      </c>
      <c r="M857" s="179"/>
      <c r="N857" s="179" t="s">
        <v>3861</v>
      </c>
      <c r="O857" s="141">
        <f t="shared" si="286"/>
        <v>0</v>
      </c>
      <c r="P857" s="181" t="b">
        <f>COUNTIF('Facility Data'!$A$1:$A$1500,"*"&amp;A857&amp;"*")&gt;0</f>
        <v>1</v>
      </c>
      <c r="Q857" s="181" t="b">
        <f>COUNTIF('Account Data'!$A$1:$A$1000,"*"&amp;A857&amp;"*")&gt;0</f>
        <v>0</v>
      </c>
      <c r="R857" s="182" t="b">
        <f t="shared" si="287"/>
        <v>1</v>
      </c>
      <c r="S857" s="182" t="b">
        <f t="shared" si="288"/>
        <v>0</v>
      </c>
      <c r="T857" s="181" t="b">
        <f>COUNTIF('New Items'!$A$1:$A$175,A857)&gt;0</f>
        <v>0</v>
      </c>
      <c r="U857" s="181" t="b">
        <f>COUNTIF(Discontinued!$A$1:$A$150,A857)&gt;0</f>
        <v>0</v>
      </c>
    </row>
    <row r="858" spans="1:21" s="8" customFormat="1" ht="13.5" thickBot="1" x14ac:dyDescent="0.25">
      <c r="A858" s="300" t="s">
        <v>3043</v>
      </c>
      <c r="B858" s="301"/>
      <c r="C858" s="301"/>
      <c r="D858" s="301"/>
      <c r="E858" s="301"/>
      <c r="F858" s="301"/>
      <c r="G858" s="301"/>
      <c r="H858" s="301"/>
      <c r="I858" s="301"/>
      <c r="J858" s="301"/>
      <c r="K858" s="301"/>
      <c r="L858" s="302"/>
      <c r="M858" s="179"/>
      <c r="N858" s="179" t="s">
        <v>3043</v>
      </c>
      <c r="O858" s="141">
        <f>AVERAGE(O859:O860)</f>
        <v>0</v>
      </c>
      <c r="P858" s="181" t="b">
        <f>COUNTIF(P859:P860,TRUE)&gt;0</f>
        <v>0</v>
      </c>
      <c r="Q858" s="181" t="b">
        <f>COUNTIF(Q859:Q860,TRUE)&gt;0</f>
        <v>0</v>
      </c>
      <c r="R858" s="181" t="b">
        <f>COUNTIF(R859:R860,TRUE)&gt;0</f>
        <v>0</v>
      </c>
      <c r="S858" s="181" t="b">
        <f>COUNTIF(S859:S860,TRUE)&gt;0</f>
        <v>0</v>
      </c>
      <c r="T858" s="181" t="b">
        <f>COUNTIF(T859:T860,TRUE)&gt;0</f>
        <v>0</v>
      </c>
      <c r="U858" s="249"/>
    </row>
    <row r="859" spans="1:21" s="8" customFormat="1" ht="11.25" x14ac:dyDescent="0.2">
      <c r="A859" s="152">
        <v>20000042</v>
      </c>
      <c r="B859" s="9" t="s">
        <v>3045</v>
      </c>
      <c r="C859" s="12" t="s">
        <v>3046</v>
      </c>
      <c r="D859" s="11" t="s">
        <v>757</v>
      </c>
      <c r="E859" s="12" t="s">
        <v>757</v>
      </c>
      <c r="F859" s="13">
        <v>24</v>
      </c>
      <c r="G859" s="121">
        <f>Overview!$B$190</f>
        <v>20</v>
      </c>
      <c r="H859" s="23">
        <f>G859-I859</f>
        <v>20</v>
      </c>
      <c r="I859" s="114">
        <f>Overview!$E$190</f>
        <v>0</v>
      </c>
      <c r="J859" s="52">
        <f>I859/F859</f>
        <v>0</v>
      </c>
      <c r="K859" s="174">
        <f>Overview!$H$190</f>
        <v>0</v>
      </c>
      <c r="L859" s="54" t="e">
        <f>(K859-J859)/K859</f>
        <v>#DIV/0!</v>
      </c>
      <c r="M859" s="179"/>
      <c r="N859" s="179" t="s">
        <v>3043</v>
      </c>
      <c r="O859" s="141">
        <f>I859</f>
        <v>0</v>
      </c>
      <c r="P859" s="181" t="b">
        <f>COUNTIF('Facility Data'!$A$1:$A$1500,"*"&amp;A859&amp;"*")&gt;0</f>
        <v>0</v>
      </c>
      <c r="Q859" s="181" t="b">
        <f>COUNTIF('Account Data'!$A$1:$A$1000,"*"&amp;A859&amp;"*")&gt;0</f>
        <v>0</v>
      </c>
      <c r="R859" s="182" t="b">
        <f>IF(OR(P859=TRUE,T859=TRUE),TRUE,FALSE)</f>
        <v>0</v>
      </c>
      <c r="S859" s="182" t="b">
        <f>IF(OR(Q859=TRUE,T859=TRUE),TRUE,FALSE)</f>
        <v>0</v>
      </c>
      <c r="T859" s="181" t="b">
        <f>COUNTIF('New Items'!$A$1:$A$175,A859)&gt;0</f>
        <v>0</v>
      </c>
      <c r="U859" s="181" t="b">
        <f>COUNTIF(Discontinued!$A$1:$A$150,A859)&gt;0</f>
        <v>0</v>
      </c>
    </row>
    <row r="860" spans="1:21" s="8" customFormat="1" ht="12" thickBot="1" x14ac:dyDescent="0.25">
      <c r="A860" s="152">
        <v>20000063</v>
      </c>
      <c r="B860" s="9" t="s">
        <v>3047</v>
      </c>
      <c r="C860" s="12" t="s">
        <v>3048</v>
      </c>
      <c r="D860" s="11" t="s">
        <v>3044</v>
      </c>
      <c r="E860" s="12" t="s">
        <v>3044</v>
      </c>
      <c r="F860" s="13">
        <v>6</v>
      </c>
      <c r="G860" s="121">
        <f>Overview!$B$191</f>
        <v>20</v>
      </c>
      <c r="H860" s="23">
        <f>G860-I860</f>
        <v>20</v>
      </c>
      <c r="I860" s="114">
        <f>Overview!$E$191</f>
        <v>0</v>
      </c>
      <c r="J860" s="52">
        <f>I860/F860</f>
        <v>0</v>
      </c>
      <c r="K860" s="174">
        <f>Overview!$H$191</f>
        <v>0</v>
      </c>
      <c r="L860" s="54" t="e">
        <f>(K860-J860)/K860</f>
        <v>#DIV/0!</v>
      </c>
      <c r="M860" s="179"/>
      <c r="N860" s="179" t="s">
        <v>3043</v>
      </c>
      <c r="O860" s="141">
        <f>I860</f>
        <v>0</v>
      </c>
      <c r="P860" s="181" t="b">
        <f>COUNTIF('Facility Data'!$A$1:$A$1500,"*"&amp;A860&amp;"*")&gt;0</f>
        <v>0</v>
      </c>
      <c r="Q860" s="181" t="b">
        <f>COUNTIF('Account Data'!$A$1:$A$1000,"*"&amp;A860&amp;"*")&gt;0</f>
        <v>0</v>
      </c>
      <c r="R860" s="182" t="b">
        <f>IF(OR(P860=TRUE,T860=TRUE),TRUE,FALSE)</f>
        <v>0</v>
      </c>
      <c r="S860" s="182" t="b">
        <f>IF(OR(Q860=TRUE,T860=TRUE),TRUE,FALSE)</f>
        <v>0</v>
      </c>
      <c r="T860" s="181" t="b">
        <f>COUNTIF('New Items'!$A$1:$A$175,A860)&gt;0</f>
        <v>0</v>
      </c>
      <c r="U860" s="181" t="b">
        <f>COUNTIF(Discontinued!$A$1:$A$150,A860)&gt;0</f>
        <v>0</v>
      </c>
    </row>
    <row r="861" spans="1:21" s="8" customFormat="1" ht="13.5" thickBot="1" x14ac:dyDescent="0.25">
      <c r="A861" s="300" t="s">
        <v>595</v>
      </c>
      <c r="B861" s="301"/>
      <c r="C861" s="301"/>
      <c r="D861" s="301"/>
      <c r="E861" s="301"/>
      <c r="F861" s="301"/>
      <c r="G861" s="301"/>
      <c r="H861" s="301"/>
      <c r="I861" s="301"/>
      <c r="J861" s="301"/>
      <c r="K861" s="301"/>
      <c r="L861" s="302"/>
      <c r="M861" s="179"/>
      <c r="N861" s="179" t="s">
        <v>595</v>
      </c>
      <c r="O861" s="141">
        <f>AVERAGE(O862:O881)</f>
        <v>0</v>
      </c>
      <c r="P861" s="181" t="b">
        <f>COUNTIF(P862:P881,TRUE)&gt;0</f>
        <v>1</v>
      </c>
      <c r="Q861" s="181" t="b">
        <f>COUNTIF(Q862:Q881,TRUE)&gt;0</f>
        <v>1</v>
      </c>
      <c r="R861" s="181" t="b">
        <f>COUNTIF(R862:R881,TRUE)&gt;0</f>
        <v>1</v>
      </c>
      <c r="S861" s="181" t="b">
        <f>COUNTIF(S862:S881,TRUE)&gt;0</f>
        <v>1</v>
      </c>
      <c r="T861" s="181" t="b">
        <f>COUNTIF(T862:T881,TRUE)&gt;0</f>
        <v>0</v>
      </c>
      <c r="U861" s="249"/>
    </row>
    <row r="862" spans="1:21" s="8" customFormat="1" ht="11.25" x14ac:dyDescent="0.2">
      <c r="A862" s="152">
        <v>10027353</v>
      </c>
      <c r="B862" s="9" t="s">
        <v>3122</v>
      </c>
      <c r="C862" s="12" t="s">
        <v>3123</v>
      </c>
      <c r="D862" s="11" t="s">
        <v>2978</v>
      </c>
      <c r="E862" s="12" t="s">
        <v>769</v>
      </c>
      <c r="F862" s="13">
        <v>4</v>
      </c>
      <c r="G862" s="121">
        <f>Overview!$B$170</f>
        <v>14</v>
      </c>
      <c r="H862" s="23">
        <f t="shared" ref="H862:H881" si="289">G862-I862</f>
        <v>14</v>
      </c>
      <c r="I862" s="114">
        <f>Overview!$E$170</f>
        <v>0</v>
      </c>
      <c r="J862" s="24">
        <f t="shared" ref="J862:J881" si="290">I862/F862</f>
        <v>0</v>
      </c>
      <c r="K862" s="116">
        <f>Overview!$H$170</f>
        <v>0</v>
      </c>
      <c r="L862" s="51" t="e">
        <f t="shared" ref="L862:L881" si="291">(K862-J862)/K862</f>
        <v>#DIV/0!</v>
      </c>
      <c r="M862" s="179"/>
      <c r="N862" s="179" t="s">
        <v>595</v>
      </c>
      <c r="O862" s="141">
        <f t="shared" ref="O862:O881" si="292">I862</f>
        <v>0</v>
      </c>
      <c r="P862" s="181" t="b">
        <f>COUNTIF('Facility Data'!$A$1:$A$1500,"*"&amp;A862&amp;"*")&gt;0</f>
        <v>1</v>
      </c>
      <c r="Q862" s="181" t="b">
        <f>COUNTIF('Account Data'!$A$1:$A$1000,"*"&amp;A862&amp;"*")&gt;0</f>
        <v>0</v>
      </c>
      <c r="R862" s="182" t="b">
        <f t="shared" ref="R862:R881" si="293">IF(OR(P862=TRUE,T862=TRUE),TRUE,FALSE)</f>
        <v>1</v>
      </c>
      <c r="S862" s="182" t="b">
        <f t="shared" ref="S862:S881" si="294">IF(OR(Q862=TRUE,T862=TRUE),TRUE,FALSE)</f>
        <v>0</v>
      </c>
      <c r="T862" s="181" t="b">
        <f>COUNTIF('New Items'!$A$1:$A$175,A862)&gt;0</f>
        <v>0</v>
      </c>
      <c r="U862" s="181" t="b">
        <f>COUNTIF(Discontinued!$A$1:$A$150,A862)&gt;0</f>
        <v>0</v>
      </c>
    </row>
    <row r="863" spans="1:21" s="8" customFormat="1" ht="11.25" x14ac:dyDescent="0.2">
      <c r="A863" s="152">
        <v>10000237</v>
      </c>
      <c r="B863" s="9" t="s">
        <v>3114</v>
      </c>
      <c r="C863" s="12" t="s">
        <v>3115</v>
      </c>
      <c r="D863" s="11" t="s">
        <v>3214</v>
      </c>
      <c r="E863" s="12" t="s">
        <v>769</v>
      </c>
      <c r="F863" s="13">
        <v>24</v>
      </c>
      <c r="G863" s="121">
        <f>Overview!$B$171</f>
        <v>18</v>
      </c>
      <c r="H863" s="23">
        <f t="shared" si="289"/>
        <v>18</v>
      </c>
      <c r="I863" s="114">
        <f>Overview!$E$171</f>
        <v>0</v>
      </c>
      <c r="J863" s="24">
        <f t="shared" si="290"/>
        <v>0</v>
      </c>
      <c r="K863" s="116">
        <f>Overview!$H$171</f>
        <v>0</v>
      </c>
      <c r="L863" s="51" t="e">
        <f t="shared" si="291"/>
        <v>#DIV/0!</v>
      </c>
      <c r="M863" s="179"/>
      <c r="N863" s="179" t="s">
        <v>595</v>
      </c>
      <c r="O863" s="141">
        <f t="shared" si="292"/>
        <v>0</v>
      </c>
      <c r="P863" s="181" t="b">
        <f>COUNTIF('Facility Data'!$A$1:$A$1500,"*"&amp;A863&amp;"*")&gt;0</f>
        <v>0</v>
      </c>
      <c r="Q863" s="181" t="b">
        <f>COUNTIF('Account Data'!$A$1:$A$1000,"*"&amp;A863&amp;"*")&gt;0</f>
        <v>0</v>
      </c>
      <c r="R863" s="182" t="b">
        <f t="shared" si="293"/>
        <v>0</v>
      </c>
      <c r="S863" s="182" t="b">
        <f t="shared" si="294"/>
        <v>0</v>
      </c>
      <c r="T863" s="181" t="b">
        <f>COUNTIF('New Items'!$A$1:$A$175,A863)&gt;0</f>
        <v>0</v>
      </c>
      <c r="U863" s="181" t="b">
        <f>COUNTIF(Discontinued!$A$1:$A$150,A863)&gt;0</f>
        <v>0</v>
      </c>
    </row>
    <row r="864" spans="1:21" s="8" customFormat="1" ht="11.25" x14ac:dyDescent="0.2">
      <c r="A864" s="152">
        <v>10001402</v>
      </c>
      <c r="B864" s="9" t="s">
        <v>3116</v>
      </c>
      <c r="C864" s="12" t="s">
        <v>3115</v>
      </c>
      <c r="D864" s="11" t="s">
        <v>769</v>
      </c>
      <c r="E864" s="12" t="s">
        <v>769</v>
      </c>
      <c r="F864" s="13">
        <v>24</v>
      </c>
      <c r="G864" s="121">
        <f>Overview!$B$171</f>
        <v>18</v>
      </c>
      <c r="H864" s="23">
        <f t="shared" si="289"/>
        <v>18</v>
      </c>
      <c r="I864" s="114">
        <f>Overview!$E$171</f>
        <v>0</v>
      </c>
      <c r="J864" s="24">
        <f t="shared" si="290"/>
        <v>0</v>
      </c>
      <c r="K864" s="116">
        <f>Overview!$H$171</f>
        <v>0</v>
      </c>
      <c r="L864" s="51" t="e">
        <f t="shared" si="291"/>
        <v>#DIV/0!</v>
      </c>
      <c r="M864" s="179"/>
      <c r="N864" s="179" t="s">
        <v>595</v>
      </c>
      <c r="O864" s="141">
        <f t="shared" si="292"/>
        <v>0</v>
      </c>
      <c r="P864" s="181" t="b">
        <f>COUNTIF('Facility Data'!$A$1:$A$1500,"*"&amp;A864&amp;"*")&gt;0</f>
        <v>0</v>
      </c>
      <c r="Q864" s="181" t="b">
        <f>COUNTIF('Account Data'!$A$1:$A$1000,"*"&amp;A864&amp;"*")&gt;0</f>
        <v>0</v>
      </c>
      <c r="R864" s="182" t="b">
        <f t="shared" si="293"/>
        <v>0</v>
      </c>
      <c r="S864" s="182" t="b">
        <f t="shared" si="294"/>
        <v>0</v>
      </c>
      <c r="T864" s="181" t="b">
        <f>COUNTIF('New Items'!$A$1:$A$175,A864)&gt;0</f>
        <v>0</v>
      </c>
      <c r="U864" s="181" t="b">
        <f>COUNTIF(Discontinued!$A$1:$A$150,A864)&gt;0</f>
        <v>0</v>
      </c>
    </row>
    <row r="865" spans="1:21" s="8" customFormat="1" ht="11.25" x14ac:dyDescent="0.2">
      <c r="A865" s="152">
        <v>10000250</v>
      </c>
      <c r="B865" s="9" t="s">
        <v>594</v>
      </c>
      <c r="C865" s="12" t="s">
        <v>607</v>
      </c>
      <c r="D865" s="11" t="s">
        <v>757</v>
      </c>
      <c r="E865" s="12" t="s">
        <v>757</v>
      </c>
      <c r="F865" s="13">
        <v>24</v>
      </c>
      <c r="G865" s="121">
        <f>Overview!$B$172</f>
        <v>36</v>
      </c>
      <c r="H865" s="23">
        <f t="shared" si="289"/>
        <v>36</v>
      </c>
      <c r="I865" s="114">
        <f>Overview!$E$172</f>
        <v>0</v>
      </c>
      <c r="J865" s="24">
        <f t="shared" si="290"/>
        <v>0</v>
      </c>
      <c r="K865" s="116">
        <f>Overview!$H$172</f>
        <v>0</v>
      </c>
      <c r="L865" s="51" t="e">
        <f t="shared" si="291"/>
        <v>#DIV/0!</v>
      </c>
      <c r="M865" s="179"/>
      <c r="N865" s="179" t="s">
        <v>595</v>
      </c>
      <c r="O865" s="141">
        <f t="shared" si="292"/>
        <v>0</v>
      </c>
      <c r="P865" s="181" t="b">
        <f>COUNTIF('Facility Data'!$A$1:$A$1500,"*"&amp;A865&amp;"*")&gt;0</f>
        <v>0</v>
      </c>
      <c r="Q865" s="181" t="b">
        <f>COUNTIF('Account Data'!$A$1:$A$1000,"*"&amp;A865&amp;"*")&gt;0</f>
        <v>1</v>
      </c>
      <c r="R865" s="182" t="b">
        <f t="shared" si="293"/>
        <v>0</v>
      </c>
      <c r="S865" s="182" t="b">
        <f t="shared" si="294"/>
        <v>1</v>
      </c>
      <c r="T865" s="181" t="b">
        <f>COUNTIF('New Items'!$A$1:$A$175,A865)&gt;0</f>
        <v>0</v>
      </c>
      <c r="U865" s="181" t="b">
        <f>COUNTIF(Discontinued!$A$1:$A$150,A865)&gt;0</f>
        <v>0</v>
      </c>
    </row>
    <row r="866" spans="1:21" s="8" customFormat="1" ht="11.25" x14ac:dyDescent="0.2">
      <c r="A866" s="152">
        <v>10030100</v>
      </c>
      <c r="B866" s="9" t="s">
        <v>3352</v>
      </c>
      <c r="C866" s="12" t="s">
        <v>607</v>
      </c>
      <c r="D866" s="11" t="s">
        <v>3101</v>
      </c>
      <c r="E866" s="12" t="s">
        <v>757</v>
      </c>
      <c r="F866" s="13">
        <v>24</v>
      </c>
      <c r="G866" s="121">
        <f>Overview!$B$172</f>
        <v>36</v>
      </c>
      <c r="H866" s="23">
        <f t="shared" si="289"/>
        <v>36</v>
      </c>
      <c r="I866" s="114">
        <f>Overview!$E$172</f>
        <v>0</v>
      </c>
      <c r="J866" s="24">
        <f t="shared" si="290"/>
        <v>0</v>
      </c>
      <c r="K866" s="116">
        <f>Overview!$H$172</f>
        <v>0</v>
      </c>
      <c r="L866" s="51" t="e">
        <f t="shared" si="291"/>
        <v>#DIV/0!</v>
      </c>
      <c r="M866" s="179"/>
      <c r="N866" s="179" t="s">
        <v>595</v>
      </c>
      <c r="O866" s="141">
        <f t="shared" si="292"/>
        <v>0</v>
      </c>
      <c r="P866" s="181" t="b">
        <f>COUNTIF('Facility Data'!$A$1:$A$1500,"*"&amp;A866&amp;"*")&gt;0</f>
        <v>0</v>
      </c>
      <c r="Q866" s="181" t="b">
        <f>COUNTIF('Account Data'!$A$1:$A$1000,"*"&amp;A866&amp;"*")&gt;0</f>
        <v>0</v>
      </c>
      <c r="R866" s="182" t="b">
        <f t="shared" si="293"/>
        <v>0</v>
      </c>
      <c r="S866" s="182" t="b">
        <f t="shared" si="294"/>
        <v>0</v>
      </c>
      <c r="T866" s="181" t="b">
        <f>COUNTIF('New Items'!$A$1:$A$175,A866)&gt;0</f>
        <v>0</v>
      </c>
      <c r="U866" s="181" t="b">
        <f>COUNTIF(Discontinued!$A$1:$A$150,A866)&gt;0</f>
        <v>0</v>
      </c>
    </row>
    <row r="867" spans="1:21" s="8" customFormat="1" ht="11.25" x14ac:dyDescent="0.2">
      <c r="A867" s="152">
        <v>10064021</v>
      </c>
      <c r="B867" s="9" t="s">
        <v>3351</v>
      </c>
      <c r="C867" s="12" t="s">
        <v>607</v>
      </c>
      <c r="D867" s="11" t="s">
        <v>3100</v>
      </c>
      <c r="E867" s="12" t="s">
        <v>757</v>
      </c>
      <c r="F867" s="13">
        <v>24</v>
      </c>
      <c r="G867" s="121">
        <f>Overview!$B$172</f>
        <v>36</v>
      </c>
      <c r="H867" s="23">
        <f t="shared" si="289"/>
        <v>36</v>
      </c>
      <c r="I867" s="114">
        <f>Overview!$E$172</f>
        <v>0</v>
      </c>
      <c r="J867" s="24">
        <f t="shared" si="290"/>
        <v>0</v>
      </c>
      <c r="K867" s="116">
        <f>Overview!$H$172</f>
        <v>0</v>
      </c>
      <c r="L867" s="51" t="e">
        <f t="shared" si="291"/>
        <v>#DIV/0!</v>
      </c>
      <c r="M867" s="179"/>
      <c r="N867" s="179" t="s">
        <v>595</v>
      </c>
      <c r="O867" s="141">
        <f t="shared" si="292"/>
        <v>0</v>
      </c>
      <c r="P867" s="181" t="b">
        <f>COUNTIF('Facility Data'!$A$1:$A$1500,"*"&amp;A867&amp;"*")&gt;0</f>
        <v>0</v>
      </c>
      <c r="Q867" s="181" t="b">
        <f>COUNTIF('Account Data'!$A$1:$A$1000,"*"&amp;A867&amp;"*")&gt;0</f>
        <v>0</v>
      </c>
      <c r="R867" s="182" t="b">
        <f t="shared" si="293"/>
        <v>0</v>
      </c>
      <c r="S867" s="182" t="b">
        <f t="shared" si="294"/>
        <v>0</v>
      </c>
      <c r="T867" s="181" t="b">
        <f>COUNTIF('New Items'!$A$1:$A$175,A867)&gt;0</f>
        <v>0</v>
      </c>
      <c r="U867" s="181" t="b">
        <f>COUNTIF(Discontinued!$A$1:$A$150,A867)&gt;0</f>
        <v>0</v>
      </c>
    </row>
    <row r="868" spans="1:21" s="8" customFormat="1" ht="11.25" x14ac:dyDescent="0.2">
      <c r="A868" s="152">
        <v>10120586</v>
      </c>
      <c r="B868" s="9" t="s">
        <v>4055</v>
      </c>
      <c r="C868" s="12" t="s">
        <v>607</v>
      </c>
      <c r="D868" s="11" t="s">
        <v>3102</v>
      </c>
      <c r="E868" s="12" t="s">
        <v>757</v>
      </c>
      <c r="F868" s="13">
        <v>24</v>
      </c>
      <c r="G868" s="121">
        <f>Overview!$B$172</f>
        <v>36</v>
      </c>
      <c r="H868" s="23">
        <f t="shared" si="289"/>
        <v>36</v>
      </c>
      <c r="I868" s="114">
        <f>Overview!$E$172</f>
        <v>0</v>
      </c>
      <c r="J868" s="24">
        <f t="shared" si="290"/>
        <v>0</v>
      </c>
      <c r="K868" s="116">
        <f>Overview!$H$172</f>
        <v>0</v>
      </c>
      <c r="L868" s="51" t="e">
        <f t="shared" si="291"/>
        <v>#DIV/0!</v>
      </c>
      <c r="M868" s="179"/>
      <c r="N868" s="179" t="s">
        <v>595</v>
      </c>
      <c r="O868" s="141">
        <f t="shared" si="292"/>
        <v>0</v>
      </c>
      <c r="P868" s="181" t="b">
        <f>COUNTIF('Facility Data'!$A$1:$A$1500,"*"&amp;A868&amp;"*")&gt;0</f>
        <v>0</v>
      </c>
      <c r="Q868" s="181" t="b">
        <f>COUNTIF('Account Data'!$A$1:$A$1000,"*"&amp;A868&amp;"*")&gt;0</f>
        <v>0</v>
      </c>
      <c r="R868" s="182" t="b">
        <f t="shared" si="293"/>
        <v>0</v>
      </c>
      <c r="S868" s="182" t="b">
        <f t="shared" si="294"/>
        <v>0</v>
      </c>
      <c r="T868" s="181" t="b">
        <f>COUNTIF('New Items'!$A$1:$A$175,A868)&gt;0</f>
        <v>0</v>
      </c>
      <c r="U868" s="181" t="b">
        <f>COUNTIF(Discontinued!$A$1:$A$150,A868)&gt;0</f>
        <v>0</v>
      </c>
    </row>
    <row r="869" spans="1:21" s="8" customFormat="1" ht="11.25" x14ac:dyDescent="0.2">
      <c r="A869" s="152">
        <v>10000252</v>
      </c>
      <c r="B869" s="9" t="s">
        <v>3096</v>
      </c>
      <c r="C869" s="12" t="s">
        <v>607</v>
      </c>
      <c r="D869" s="11" t="s">
        <v>3097</v>
      </c>
      <c r="E869" s="12" t="s">
        <v>757</v>
      </c>
      <c r="F869" s="13">
        <v>24</v>
      </c>
      <c r="G869" s="121">
        <f>Overview!$B$172</f>
        <v>36</v>
      </c>
      <c r="H869" s="23">
        <f t="shared" si="289"/>
        <v>36</v>
      </c>
      <c r="I869" s="114">
        <f>Overview!$E$172</f>
        <v>0</v>
      </c>
      <c r="J869" s="24">
        <f t="shared" si="290"/>
        <v>0</v>
      </c>
      <c r="K869" s="116">
        <f>Overview!$H$172</f>
        <v>0</v>
      </c>
      <c r="L869" s="51" t="e">
        <f t="shared" si="291"/>
        <v>#DIV/0!</v>
      </c>
      <c r="M869" s="179"/>
      <c r="N869" s="179" t="s">
        <v>595</v>
      </c>
      <c r="O869" s="141">
        <f t="shared" si="292"/>
        <v>0</v>
      </c>
      <c r="P869" s="181" t="b">
        <f>COUNTIF('Facility Data'!$A$1:$A$1500,"*"&amp;A869&amp;"*")&gt;0</f>
        <v>1</v>
      </c>
      <c r="Q869" s="181" t="b">
        <f>COUNTIF('Account Data'!$A$1:$A$1000,"*"&amp;A869&amp;"*")&gt;0</f>
        <v>0</v>
      </c>
      <c r="R869" s="182" t="b">
        <f t="shared" si="293"/>
        <v>1</v>
      </c>
      <c r="S869" s="182" t="b">
        <f t="shared" si="294"/>
        <v>0</v>
      </c>
      <c r="T869" s="181" t="b">
        <f>COUNTIF('New Items'!$A$1:$A$175,A869)&gt;0</f>
        <v>0</v>
      </c>
      <c r="U869" s="181" t="b">
        <f>COUNTIF(Discontinued!$A$1:$A$150,A869)&gt;0</f>
        <v>0</v>
      </c>
    </row>
    <row r="870" spans="1:21" s="8" customFormat="1" ht="11.25" x14ac:dyDescent="0.2">
      <c r="A870" s="152">
        <v>10012925</v>
      </c>
      <c r="B870" s="9" t="s">
        <v>3098</v>
      </c>
      <c r="C870" s="12" t="s">
        <v>3099</v>
      </c>
      <c r="D870" s="11" t="s">
        <v>3103</v>
      </c>
      <c r="E870" s="12" t="s">
        <v>757</v>
      </c>
      <c r="F870" s="13">
        <v>24</v>
      </c>
      <c r="G870" s="121">
        <f>Overview!$B$173</f>
        <v>36</v>
      </c>
      <c r="H870" s="23">
        <f t="shared" si="289"/>
        <v>36</v>
      </c>
      <c r="I870" s="114">
        <f>Overview!$E$173</f>
        <v>0</v>
      </c>
      <c r="J870" s="24">
        <f t="shared" si="290"/>
        <v>0</v>
      </c>
      <c r="K870" s="116">
        <f>Overview!$H$173</f>
        <v>0</v>
      </c>
      <c r="L870" s="51" t="e">
        <f t="shared" si="291"/>
        <v>#DIV/0!</v>
      </c>
      <c r="M870" s="179"/>
      <c r="N870" s="179" t="s">
        <v>595</v>
      </c>
      <c r="O870" s="141">
        <f t="shared" si="292"/>
        <v>0</v>
      </c>
      <c r="P870" s="181" t="b">
        <f>COUNTIF('Facility Data'!$A$1:$A$1500,"*"&amp;A870&amp;"*")&gt;0</f>
        <v>0</v>
      </c>
      <c r="Q870" s="181" t="b">
        <f>COUNTIF('Account Data'!$A$1:$A$1000,"*"&amp;A870&amp;"*")&gt;0</f>
        <v>0</v>
      </c>
      <c r="R870" s="182" t="b">
        <f t="shared" si="293"/>
        <v>0</v>
      </c>
      <c r="S870" s="182" t="b">
        <f t="shared" si="294"/>
        <v>0</v>
      </c>
      <c r="T870" s="181" t="b">
        <f>COUNTIF('New Items'!$A$1:$A$175,A870)&gt;0</f>
        <v>0</v>
      </c>
      <c r="U870" s="181" t="b">
        <f>COUNTIF(Discontinued!$A$1:$A$150,A870)&gt;0</f>
        <v>0</v>
      </c>
    </row>
    <row r="871" spans="1:21" s="8" customFormat="1" ht="11.25" x14ac:dyDescent="0.2">
      <c r="A871" s="152">
        <v>10001314</v>
      </c>
      <c r="B871" s="9" t="s">
        <v>3104</v>
      </c>
      <c r="C871" s="12" t="s">
        <v>604</v>
      </c>
      <c r="D871" s="11" t="s">
        <v>761</v>
      </c>
      <c r="E871" s="12" t="s">
        <v>761</v>
      </c>
      <c r="F871" s="13">
        <v>15</v>
      </c>
      <c r="G871" s="121">
        <f>Overview!$B$174</f>
        <v>24</v>
      </c>
      <c r="H871" s="23">
        <f t="shared" si="289"/>
        <v>24</v>
      </c>
      <c r="I871" s="114">
        <f>Overview!$E$174</f>
        <v>0</v>
      </c>
      <c r="J871" s="24">
        <f t="shared" si="290"/>
        <v>0</v>
      </c>
      <c r="K871" s="116">
        <f>Overview!$H$174</f>
        <v>0</v>
      </c>
      <c r="L871" s="51" t="e">
        <f t="shared" si="291"/>
        <v>#DIV/0!</v>
      </c>
      <c r="M871" s="179"/>
      <c r="N871" s="179" t="s">
        <v>595</v>
      </c>
      <c r="O871" s="141">
        <f t="shared" si="292"/>
        <v>0</v>
      </c>
      <c r="P871" s="181" t="b">
        <f>COUNTIF('Facility Data'!$A$1:$A$1500,"*"&amp;A871&amp;"*")&gt;0</f>
        <v>0</v>
      </c>
      <c r="Q871" s="181" t="b">
        <f>COUNTIF('Account Data'!$A$1:$A$1000,"*"&amp;A871&amp;"*")&gt;0</f>
        <v>0</v>
      </c>
      <c r="R871" s="182" t="b">
        <f t="shared" si="293"/>
        <v>0</v>
      </c>
      <c r="S871" s="182" t="b">
        <f t="shared" si="294"/>
        <v>0</v>
      </c>
      <c r="T871" s="181" t="b">
        <f>COUNTIF('New Items'!$A$1:$A$175,A871)&gt;0</f>
        <v>0</v>
      </c>
      <c r="U871" s="181" t="b">
        <f>COUNTIF(Discontinued!$A$1:$A$150,A871)&gt;0</f>
        <v>0</v>
      </c>
    </row>
    <row r="872" spans="1:21" s="8" customFormat="1" ht="11.25" x14ac:dyDescent="0.2">
      <c r="A872" s="152">
        <v>10000254</v>
      </c>
      <c r="B872" s="9" t="s">
        <v>3107</v>
      </c>
      <c r="C872" s="12" t="s">
        <v>604</v>
      </c>
      <c r="D872" s="11" t="s">
        <v>761</v>
      </c>
      <c r="E872" s="12" t="s">
        <v>761</v>
      </c>
      <c r="F872" s="13">
        <v>12</v>
      </c>
      <c r="G872" s="121">
        <f>Overview!$B$175</f>
        <v>24</v>
      </c>
      <c r="H872" s="23">
        <f t="shared" si="289"/>
        <v>24</v>
      </c>
      <c r="I872" s="114">
        <f>Overview!$E$175</f>
        <v>0</v>
      </c>
      <c r="J872" s="24">
        <f t="shared" si="290"/>
        <v>0</v>
      </c>
      <c r="K872" s="116">
        <f>Overview!$H$175</f>
        <v>0</v>
      </c>
      <c r="L872" s="51" t="e">
        <f t="shared" si="291"/>
        <v>#DIV/0!</v>
      </c>
      <c r="M872" s="179"/>
      <c r="N872" s="179" t="s">
        <v>595</v>
      </c>
      <c r="O872" s="141">
        <f t="shared" si="292"/>
        <v>0</v>
      </c>
      <c r="P872" s="181" t="b">
        <f>COUNTIF('Facility Data'!$A$1:$A$1500,"*"&amp;A872&amp;"*")&gt;0</f>
        <v>0</v>
      </c>
      <c r="Q872" s="181" t="b">
        <f>COUNTIF('Account Data'!$A$1:$A$1000,"*"&amp;A872&amp;"*")&gt;0</f>
        <v>0</v>
      </c>
      <c r="R872" s="182" t="b">
        <f t="shared" si="293"/>
        <v>0</v>
      </c>
      <c r="S872" s="182" t="b">
        <f t="shared" si="294"/>
        <v>0</v>
      </c>
      <c r="T872" s="181" t="b">
        <f>COUNTIF('New Items'!$A$1:$A$175,A872)&gt;0</f>
        <v>0</v>
      </c>
      <c r="U872" s="181" t="b">
        <f>COUNTIF(Discontinued!$A$1:$A$150,A872)&gt;0</f>
        <v>0</v>
      </c>
    </row>
    <row r="873" spans="1:21" s="8" customFormat="1" ht="11.25" x14ac:dyDescent="0.2">
      <c r="A873" s="152">
        <v>10030102</v>
      </c>
      <c r="B873" s="9" t="s">
        <v>3106</v>
      </c>
      <c r="C873" s="12" t="s">
        <v>604</v>
      </c>
      <c r="D873" s="11" t="s">
        <v>3111</v>
      </c>
      <c r="E873" s="12" t="s">
        <v>761</v>
      </c>
      <c r="F873" s="13">
        <v>15</v>
      </c>
      <c r="G873" s="121">
        <f>Overview!$B$174</f>
        <v>24</v>
      </c>
      <c r="H873" s="23">
        <f t="shared" si="289"/>
        <v>24</v>
      </c>
      <c r="I873" s="114">
        <f>Overview!$E$174</f>
        <v>0</v>
      </c>
      <c r="J873" s="24">
        <f t="shared" si="290"/>
        <v>0</v>
      </c>
      <c r="K873" s="116">
        <f>Overview!$H$174</f>
        <v>0</v>
      </c>
      <c r="L873" s="51" t="e">
        <f t="shared" si="291"/>
        <v>#DIV/0!</v>
      </c>
      <c r="M873" s="179"/>
      <c r="N873" s="179" t="s">
        <v>595</v>
      </c>
      <c r="O873" s="141">
        <f t="shared" si="292"/>
        <v>0</v>
      </c>
      <c r="P873" s="181" t="b">
        <f>COUNTIF('Facility Data'!$A$1:$A$1500,"*"&amp;A873&amp;"*")&gt;0</f>
        <v>0</v>
      </c>
      <c r="Q873" s="181" t="b">
        <f>COUNTIF('Account Data'!$A$1:$A$1000,"*"&amp;A873&amp;"*")&gt;0</f>
        <v>0</v>
      </c>
      <c r="R873" s="182" t="b">
        <f t="shared" si="293"/>
        <v>0</v>
      </c>
      <c r="S873" s="182" t="b">
        <f t="shared" si="294"/>
        <v>0</v>
      </c>
      <c r="T873" s="181" t="b">
        <f>COUNTIF('New Items'!$A$1:$A$175,A873)&gt;0</f>
        <v>0</v>
      </c>
      <c r="U873" s="181" t="b">
        <f>COUNTIF(Discontinued!$A$1:$A$150,A873)&gt;0</f>
        <v>0</v>
      </c>
    </row>
    <row r="874" spans="1:21" s="8" customFormat="1" ht="11.25" x14ac:dyDescent="0.2">
      <c r="A874" s="152">
        <v>10064022</v>
      </c>
      <c r="B874" s="9" t="s">
        <v>3105</v>
      </c>
      <c r="C874" s="12" t="s">
        <v>604</v>
      </c>
      <c r="D874" s="11" t="s">
        <v>3110</v>
      </c>
      <c r="E874" s="12" t="s">
        <v>761</v>
      </c>
      <c r="F874" s="13">
        <v>15</v>
      </c>
      <c r="G874" s="121">
        <f>Overview!$B$174</f>
        <v>24</v>
      </c>
      <c r="H874" s="23">
        <f t="shared" si="289"/>
        <v>24</v>
      </c>
      <c r="I874" s="114">
        <f>Overview!$E$174</f>
        <v>0</v>
      </c>
      <c r="J874" s="24">
        <f t="shared" si="290"/>
        <v>0</v>
      </c>
      <c r="K874" s="116">
        <f>Overview!$H$174</f>
        <v>0</v>
      </c>
      <c r="L874" s="51" t="e">
        <f t="shared" si="291"/>
        <v>#DIV/0!</v>
      </c>
      <c r="M874" s="179"/>
      <c r="N874" s="179" t="s">
        <v>595</v>
      </c>
      <c r="O874" s="141">
        <f t="shared" si="292"/>
        <v>0</v>
      </c>
      <c r="P874" s="181" t="b">
        <f>COUNTIF('Facility Data'!$A$1:$A$1500,"*"&amp;A874&amp;"*")&gt;0</f>
        <v>0</v>
      </c>
      <c r="Q874" s="181" t="b">
        <f>COUNTIF('Account Data'!$A$1:$A$1000,"*"&amp;A874&amp;"*")&gt;0</f>
        <v>0</v>
      </c>
      <c r="R874" s="182" t="b">
        <f t="shared" si="293"/>
        <v>0</v>
      </c>
      <c r="S874" s="182" t="b">
        <f t="shared" si="294"/>
        <v>0</v>
      </c>
      <c r="T874" s="181" t="b">
        <f>COUNTIF('New Items'!$A$1:$A$175,A874)&gt;0</f>
        <v>0</v>
      </c>
      <c r="U874" s="181" t="b">
        <f>COUNTIF(Discontinued!$A$1:$A$150,A874)&gt;0</f>
        <v>0</v>
      </c>
    </row>
    <row r="875" spans="1:21" s="8" customFormat="1" ht="11.25" x14ac:dyDescent="0.2">
      <c r="A875" s="152">
        <v>10001633</v>
      </c>
      <c r="B875" s="9" t="s">
        <v>596</v>
      </c>
      <c r="C875" s="12" t="s">
        <v>604</v>
      </c>
      <c r="D875" s="11" t="s">
        <v>3215</v>
      </c>
      <c r="E875" s="12" t="s">
        <v>761</v>
      </c>
      <c r="F875" s="13">
        <v>15</v>
      </c>
      <c r="G875" s="121">
        <f>Overview!$B$174</f>
        <v>24</v>
      </c>
      <c r="H875" s="23">
        <f t="shared" si="289"/>
        <v>24</v>
      </c>
      <c r="I875" s="114">
        <f>Overview!$E$174</f>
        <v>0</v>
      </c>
      <c r="J875" s="24">
        <f t="shared" si="290"/>
        <v>0</v>
      </c>
      <c r="K875" s="116">
        <f>Overview!$H$174</f>
        <v>0</v>
      </c>
      <c r="L875" s="51" t="e">
        <f t="shared" si="291"/>
        <v>#DIV/0!</v>
      </c>
      <c r="M875" s="179"/>
      <c r="N875" s="179" t="s">
        <v>595</v>
      </c>
      <c r="O875" s="141">
        <f t="shared" si="292"/>
        <v>0</v>
      </c>
      <c r="P875" s="181" t="b">
        <f>COUNTIF('Facility Data'!$A$1:$A$1500,"*"&amp;A875&amp;"*")&gt;0</f>
        <v>1</v>
      </c>
      <c r="Q875" s="181" t="b">
        <f>COUNTIF('Account Data'!$A$1:$A$1000,"*"&amp;A875&amp;"*")&gt;0</f>
        <v>1</v>
      </c>
      <c r="R875" s="182" t="b">
        <f t="shared" si="293"/>
        <v>1</v>
      </c>
      <c r="S875" s="182" t="b">
        <f t="shared" si="294"/>
        <v>1</v>
      </c>
      <c r="T875" s="181" t="b">
        <f>COUNTIF('New Items'!$A$1:$A$175,A875)&gt;0</f>
        <v>0</v>
      </c>
      <c r="U875" s="181" t="b">
        <f>COUNTIF(Discontinued!$A$1:$A$150,A875)&gt;0</f>
        <v>0</v>
      </c>
    </row>
    <row r="876" spans="1:21" s="8" customFormat="1" ht="11.25" x14ac:dyDescent="0.2">
      <c r="A876" s="152">
        <v>10012926</v>
      </c>
      <c r="B876" s="9" t="s">
        <v>3108</v>
      </c>
      <c r="C876" s="12" t="s">
        <v>3109</v>
      </c>
      <c r="D876" s="11" t="s">
        <v>3264</v>
      </c>
      <c r="E876" s="12" t="s">
        <v>761</v>
      </c>
      <c r="F876" s="13">
        <v>12</v>
      </c>
      <c r="G876" s="121">
        <f>Overview!$B$176</f>
        <v>24</v>
      </c>
      <c r="H876" s="23">
        <f t="shared" si="289"/>
        <v>24</v>
      </c>
      <c r="I876" s="114">
        <f>Overview!$E$176</f>
        <v>0</v>
      </c>
      <c r="J876" s="24">
        <f t="shared" si="290"/>
        <v>0</v>
      </c>
      <c r="K876" s="116">
        <f>Overview!$H$176</f>
        <v>0</v>
      </c>
      <c r="L876" s="51" t="e">
        <f t="shared" si="291"/>
        <v>#DIV/0!</v>
      </c>
      <c r="M876" s="179"/>
      <c r="N876" s="179" t="s">
        <v>595</v>
      </c>
      <c r="O876" s="141">
        <f t="shared" si="292"/>
        <v>0</v>
      </c>
      <c r="P876" s="181" t="b">
        <f>COUNTIF('Facility Data'!$A$1:$A$1500,"*"&amp;A876&amp;"*")&gt;0</f>
        <v>0</v>
      </c>
      <c r="Q876" s="181" t="b">
        <f>COUNTIF('Account Data'!$A$1:$A$1000,"*"&amp;A876&amp;"*")&gt;0</f>
        <v>0</v>
      </c>
      <c r="R876" s="182" t="b">
        <f t="shared" si="293"/>
        <v>0</v>
      </c>
      <c r="S876" s="182" t="b">
        <f t="shared" si="294"/>
        <v>0</v>
      </c>
      <c r="T876" s="181" t="b">
        <f>COUNTIF('New Items'!$A$1:$A$175,A876)&gt;0</f>
        <v>0</v>
      </c>
      <c r="U876" s="181" t="b">
        <f>COUNTIF(Discontinued!$A$1:$A$150,A876)&gt;0</f>
        <v>0</v>
      </c>
    </row>
    <row r="877" spans="1:21" s="8" customFormat="1" ht="11.25" x14ac:dyDescent="0.2">
      <c r="A877" s="152">
        <v>10000257</v>
      </c>
      <c r="B877" s="9" t="s">
        <v>3112</v>
      </c>
      <c r="C877" s="12" t="s">
        <v>3113</v>
      </c>
      <c r="D877" s="11" t="s">
        <v>763</v>
      </c>
      <c r="E877" s="12" t="s">
        <v>763</v>
      </c>
      <c r="F877" s="13">
        <v>12</v>
      </c>
      <c r="G877" s="121">
        <f>Overview!$B$177</f>
        <v>24</v>
      </c>
      <c r="H877" s="23">
        <f t="shared" si="289"/>
        <v>24</v>
      </c>
      <c r="I877" s="114">
        <f>Overview!$E$177</f>
        <v>0</v>
      </c>
      <c r="J877" s="24">
        <f t="shared" si="290"/>
        <v>0</v>
      </c>
      <c r="K877" s="116">
        <f>Overview!$H$177</f>
        <v>0</v>
      </c>
      <c r="L877" s="51" t="e">
        <f t="shared" si="291"/>
        <v>#DIV/0!</v>
      </c>
      <c r="M877" s="179"/>
      <c r="N877" s="179" t="s">
        <v>595</v>
      </c>
      <c r="O877" s="141">
        <f t="shared" si="292"/>
        <v>0</v>
      </c>
      <c r="P877" s="181" t="b">
        <f>COUNTIF('Facility Data'!$A$1:$A$1500,"*"&amp;A877&amp;"*")&gt;0</f>
        <v>0</v>
      </c>
      <c r="Q877" s="181" t="b">
        <f>COUNTIF('Account Data'!$A$1:$A$1000,"*"&amp;A877&amp;"*")&gt;0</f>
        <v>0</v>
      </c>
      <c r="R877" s="182" t="b">
        <f t="shared" si="293"/>
        <v>0</v>
      </c>
      <c r="S877" s="182" t="b">
        <f t="shared" si="294"/>
        <v>0</v>
      </c>
      <c r="T877" s="181" t="b">
        <f>COUNTIF('New Items'!$A$1:$A$175,A877)&gt;0</f>
        <v>0</v>
      </c>
      <c r="U877" s="181" t="b">
        <f>COUNTIF(Discontinued!$A$1:$A$150,A877)&gt;0</f>
        <v>0</v>
      </c>
    </row>
    <row r="878" spans="1:21" s="8" customFormat="1" ht="11.25" x14ac:dyDescent="0.2">
      <c r="A878" s="152">
        <v>10000239</v>
      </c>
      <c r="B878" s="9" t="s">
        <v>3119</v>
      </c>
      <c r="C878" s="12" t="s">
        <v>3120</v>
      </c>
      <c r="D878" s="11" t="s">
        <v>790</v>
      </c>
      <c r="E878" s="12" t="s">
        <v>774</v>
      </c>
      <c r="F878" s="13">
        <v>4</v>
      </c>
      <c r="G878" s="121">
        <f>Overview!$B$178</f>
        <v>24</v>
      </c>
      <c r="H878" s="23">
        <f t="shared" si="289"/>
        <v>24</v>
      </c>
      <c r="I878" s="114">
        <f>Overview!$E$178</f>
        <v>0</v>
      </c>
      <c r="J878" s="24">
        <f t="shared" si="290"/>
        <v>0</v>
      </c>
      <c r="K878" s="116">
        <f>Overview!$H$178</f>
        <v>0</v>
      </c>
      <c r="L878" s="51" t="e">
        <f t="shared" si="291"/>
        <v>#DIV/0!</v>
      </c>
      <c r="M878" s="179"/>
      <c r="N878" s="179" t="s">
        <v>595</v>
      </c>
      <c r="O878" s="141">
        <f t="shared" si="292"/>
        <v>0</v>
      </c>
      <c r="P878" s="181" t="b">
        <f>COUNTIF('Facility Data'!$A$1:$A$1500,"*"&amp;A878&amp;"*")&gt;0</f>
        <v>0</v>
      </c>
      <c r="Q878" s="181" t="b">
        <f>COUNTIF('Account Data'!$A$1:$A$1000,"*"&amp;A878&amp;"*")&gt;0</f>
        <v>0</v>
      </c>
      <c r="R878" s="182" t="b">
        <f t="shared" si="293"/>
        <v>0</v>
      </c>
      <c r="S878" s="182" t="b">
        <f t="shared" si="294"/>
        <v>0</v>
      </c>
      <c r="T878" s="181" t="b">
        <f>COUNTIF('New Items'!$A$1:$A$175,A878)&gt;0</f>
        <v>0</v>
      </c>
      <c r="U878" s="181" t="b">
        <f>COUNTIF(Discontinued!$A$1:$A$150,A878)&gt;0</f>
        <v>0</v>
      </c>
    </row>
    <row r="879" spans="1:21" s="8" customFormat="1" ht="11.25" x14ac:dyDescent="0.2">
      <c r="A879" s="152">
        <v>10000246</v>
      </c>
      <c r="B879" s="9" t="s">
        <v>3117</v>
      </c>
      <c r="C879" s="12" t="s">
        <v>616</v>
      </c>
      <c r="D879" s="11" t="s">
        <v>789</v>
      </c>
      <c r="E879" s="12" t="s">
        <v>774</v>
      </c>
      <c r="F879" s="13">
        <v>1</v>
      </c>
      <c r="G879" s="121">
        <f>Overview!$B$179</f>
        <v>24</v>
      </c>
      <c r="H879" s="23">
        <f t="shared" si="289"/>
        <v>24</v>
      </c>
      <c r="I879" s="114">
        <f>Overview!$E$179</f>
        <v>0</v>
      </c>
      <c r="J879" s="24">
        <f t="shared" si="290"/>
        <v>0</v>
      </c>
      <c r="K879" s="116">
        <f>Overview!$H$179</f>
        <v>0</v>
      </c>
      <c r="L879" s="51" t="e">
        <f t="shared" si="291"/>
        <v>#DIV/0!</v>
      </c>
      <c r="M879" s="179"/>
      <c r="N879" s="179" t="s">
        <v>595</v>
      </c>
      <c r="O879" s="141">
        <f t="shared" si="292"/>
        <v>0</v>
      </c>
      <c r="P879" s="181" t="b">
        <f>COUNTIF('Facility Data'!$A$1:$A$1500,"*"&amp;A879&amp;"*")&gt;0</f>
        <v>1</v>
      </c>
      <c r="Q879" s="181" t="b">
        <f>COUNTIF('Account Data'!$A$1:$A$1000,"*"&amp;A879&amp;"*")&gt;0</f>
        <v>0</v>
      </c>
      <c r="R879" s="182" t="b">
        <f t="shared" si="293"/>
        <v>1</v>
      </c>
      <c r="S879" s="182" t="b">
        <f t="shared" si="294"/>
        <v>0</v>
      </c>
      <c r="T879" s="181" t="b">
        <f>COUNTIF('New Items'!$A$1:$A$175,A879)&gt;0</f>
        <v>0</v>
      </c>
      <c r="U879" s="181" t="b">
        <f>COUNTIF(Discontinued!$A$1:$A$150,A879)&gt;0</f>
        <v>0</v>
      </c>
    </row>
    <row r="880" spans="1:21" s="8" customFormat="1" ht="11.25" x14ac:dyDescent="0.2">
      <c r="A880" s="152">
        <v>10001228</v>
      </c>
      <c r="B880" s="9" t="s">
        <v>3365</v>
      </c>
      <c r="C880" s="12" t="s">
        <v>616</v>
      </c>
      <c r="D880" s="11" t="s">
        <v>789</v>
      </c>
      <c r="E880" s="12" t="s">
        <v>774</v>
      </c>
      <c r="F880" s="13">
        <v>1</v>
      </c>
      <c r="G880" s="121">
        <f>Overview!$B$179</f>
        <v>24</v>
      </c>
      <c r="H880" s="23">
        <f t="shared" si="289"/>
        <v>24</v>
      </c>
      <c r="I880" s="114">
        <f>Overview!$E$179</f>
        <v>0</v>
      </c>
      <c r="J880" s="24">
        <f t="shared" si="290"/>
        <v>0</v>
      </c>
      <c r="K880" s="116">
        <f>Overview!$H$179</f>
        <v>0</v>
      </c>
      <c r="L880" s="51" t="e">
        <f t="shared" si="291"/>
        <v>#DIV/0!</v>
      </c>
      <c r="M880" s="179"/>
      <c r="N880" s="179" t="s">
        <v>595</v>
      </c>
      <c r="O880" s="141">
        <f t="shared" si="292"/>
        <v>0</v>
      </c>
      <c r="P880" s="181" t="b">
        <f>COUNTIF('Facility Data'!$A$1:$A$1500,"*"&amp;A880&amp;"*")&gt;0</f>
        <v>0</v>
      </c>
      <c r="Q880" s="181" t="b">
        <f>COUNTIF('Account Data'!$A$1:$A$1000,"*"&amp;A880&amp;"*")&gt;0</f>
        <v>1</v>
      </c>
      <c r="R880" s="182" t="b">
        <f t="shared" si="293"/>
        <v>0</v>
      </c>
      <c r="S880" s="182" t="b">
        <f t="shared" si="294"/>
        <v>1</v>
      </c>
      <c r="T880" s="181" t="b">
        <f>COUNTIF('New Items'!$A$1:$A$175,A880)&gt;0</f>
        <v>0</v>
      </c>
      <c r="U880" s="181" t="b">
        <f>COUNTIF(Discontinued!$A$1:$A$150,A880)&gt;0</f>
        <v>0</v>
      </c>
    </row>
    <row r="881" spans="1:21" s="8" customFormat="1" ht="12" thickBot="1" x14ac:dyDescent="0.25">
      <c r="A881" s="152">
        <v>10030103</v>
      </c>
      <c r="B881" s="9" t="s">
        <v>3118</v>
      </c>
      <c r="C881" s="12" t="s">
        <v>616</v>
      </c>
      <c r="D881" s="11" t="s">
        <v>3213</v>
      </c>
      <c r="E881" s="12" t="s">
        <v>774</v>
      </c>
      <c r="F881" s="13">
        <v>1</v>
      </c>
      <c r="G881" s="121">
        <f>Overview!$B$179</f>
        <v>24</v>
      </c>
      <c r="H881" s="23">
        <f t="shared" si="289"/>
        <v>24</v>
      </c>
      <c r="I881" s="114">
        <f>Overview!$E$179</f>
        <v>0</v>
      </c>
      <c r="J881" s="24">
        <f t="shared" si="290"/>
        <v>0</v>
      </c>
      <c r="K881" s="116">
        <f>Overview!$H$179</f>
        <v>0</v>
      </c>
      <c r="L881" s="51" t="e">
        <f t="shared" si="291"/>
        <v>#DIV/0!</v>
      </c>
      <c r="M881" s="179"/>
      <c r="N881" s="179" t="s">
        <v>595</v>
      </c>
      <c r="O881" s="141">
        <f t="shared" si="292"/>
        <v>0</v>
      </c>
      <c r="P881" s="181" t="b">
        <f>COUNTIF('Facility Data'!$A$1:$A$1500,"*"&amp;A881&amp;"*")&gt;0</f>
        <v>0</v>
      </c>
      <c r="Q881" s="181" t="b">
        <f>COUNTIF('Account Data'!$A$1:$A$1000,"*"&amp;A881&amp;"*")&gt;0</f>
        <v>0</v>
      </c>
      <c r="R881" s="182" t="b">
        <f t="shared" si="293"/>
        <v>0</v>
      </c>
      <c r="S881" s="182" t="b">
        <f t="shared" si="294"/>
        <v>0</v>
      </c>
      <c r="T881" s="181" t="b">
        <f>COUNTIF('New Items'!$A$1:$A$175,A881)&gt;0</f>
        <v>0</v>
      </c>
      <c r="U881" s="181" t="b">
        <f>COUNTIF(Discontinued!$A$1:$A$150,A881)&gt;0</f>
        <v>0</v>
      </c>
    </row>
    <row r="882" spans="1:21" s="8" customFormat="1" ht="13.5" thickBot="1" x14ac:dyDescent="0.25">
      <c r="A882" s="300" t="s">
        <v>3282</v>
      </c>
      <c r="B882" s="301"/>
      <c r="C882" s="301"/>
      <c r="D882" s="301"/>
      <c r="E882" s="301"/>
      <c r="F882" s="301"/>
      <c r="G882" s="301"/>
      <c r="H882" s="301"/>
      <c r="I882" s="301"/>
      <c r="J882" s="301"/>
      <c r="K882" s="301"/>
      <c r="L882" s="302"/>
      <c r="M882" s="179"/>
      <c r="N882" s="179" t="s">
        <v>3131</v>
      </c>
      <c r="O882" s="141">
        <f>AVERAGE(O883:O888)</f>
        <v>0</v>
      </c>
      <c r="P882" s="181" t="b">
        <f>COUNTIF(P883:P888,TRUE)&gt;0</f>
        <v>0</v>
      </c>
      <c r="Q882" s="181" t="b">
        <f>COUNTIF(Q883:Q888,TRUE)&gt;0</f>
        <v>0</v>
      </c>
      <c r="R882" s="181" t="b">
        <f>COUNTIF(R883:R888,TRUE)&gt;0</f>
        <v>0</v>
      </c>
      <c r="S882" s="181" t="b">
        <f>COUNTIF(S883:S888,TRUE)&gt;0</f>
        <v>0</v>
      </c>
      <c r="T882" s="181" t="b">
        <f>COUNTIF(T883:T888,TRUE)&gt;0</f>
        <v>0</v>
      </c>
      <c r="U882" s="249"/>
    </row>
    <row r="883" spans="1:21" s="8" customFormat="1" ht="11.25" x14ac:dyDescent="0.2">
      <c r="A883" s="152">
        <v>20000088</v>
      </c>
      <c r="B883" s="10" t="s">
        <v>2719</v>
      </c>
      <c r="C883" s="12" t="s">
        <v>2720</v>
      </c>
      <c r="D883" s="11" t="s">
        <v>2715</v>
      </c>
      <c r="E883" s="12" t="s">
        <v>776</v>
      </c>
      <c r="F883" s="173">
        <v>24</v>
      </c>
      <c r="G883" s="98">
        <f>Overview!$B$77</f>
        <v>17.5</v>
      </c>
      <c r="H883" s="99">
        <f t="shared" ref="H883:H888" si="295">G883-I883</f>
        <v>17.5</v>
      </c>
      <c r="I883" s="99">
        <f>Overview!$E$77</f>
        <v>0</v>
      </c>
      <c r="J883" s="100">
        <f t="shared" ref="J883:J888" si="296">I883/F883</f>
        <v>0</v>
      </c>
      <c r="K883" s="101">
        <f>Overview!$H$77</f>
        <v>0</v>
      </c>
      <c r="L883" s="102" t="e">
        <f t="shared" ref="L883:L888" si="297">(K883-J883)/K883</f>
        <v>#DIV/0!</v>
      </c>
      <c r="M883" s="179"/>
      <c r="N883" s="179" t="s">
        <v>3131</v>
      </c>
      <c r="O883" s="141">
        <f t="shared" ref="O883:O888" si="298">I883</f>
        <v>0</v>
      </c>
      <c r="P883" s="181" t="b">
        <f>COUNTIF('Facility Data'!$A$1:$A$1500,"*"&amp;A883&amp;"*")&gt;0</f>
        <v>0</v>
      </c>
      <c r="Q883" s="181" t="b">
        <f>COUNTIF('Account Data'!$A$1:$A$1000,"*"&amp;A883&amp;"*")&gt;0</f>
        <v>0</v>
      </c>
      <c r="R883" s="182" t="b">
        <f t="shared" ref="R883:R888" si="299">IF(OR(P883=TRUE,T883=TRUE),TRUE,FALSE)</f>
        <v>0</v>
      </c>
      <c r="S883" s="182" t="b">
        <f t="shared" ref="S883:S888" si="300">IF(OR(Q883=TRUE,T883=TRUE),TRUE,FALSE)</f>
        <v>0</v>
      </c>
      <c r="T883" s="181" t="b">
        <f>COUNTIF('New Items'!$A$1:$A$175,A883)&gt;0</f>
        <v>0</v>
      </c>
      <c r="U883" s="181" t="b">
        <f>COUNTIF(Discontinued!$A$1:$A$150,A883)&gt;0</f>
        <v>0</v>
      </c>
    </row>
    <row r="884" spans="1:21" s="8" customFormat="1" ht="11.25" x14ac:dyDescent="0.2">
      <c r="A884" s="152">
        <v>20000089</v>
      </c>
      <c r="B884" s="10" t="s">
        <v>2721</v>
      </c>
      <c r="C884" s="12" t="s">
        <v>2722</v>
      </c>
      <c r="D884" s="11" t="s">
        <v>2716</v>
      </c>
      <c r="E884" s="12" t="s">
        <v>776</v>
      </c>
      <c r="F884" s="173">
        <v>24</v>
      </c>
      <c r="G884" s="98">
        <f>Overview!$B$77</f>
        <v>17.5</v>
      </c>
      <c r="H884" s="99">
        <f t="shared" si="295"/>
        <v>17.5</v>
      </c>
      <c r="I884" s="99">
        <f>Overview!$E$77</f>
        <v>0</v>
      </c>
      <c r="J884" s="100">
        <f t="shared" si="296"/>
        <v>0</v>
      </c>
      <c r="K884" s="101">
        <f>Overview!$H$77</f>
        <v>0</v>
      </c>
      <c r="L884" s="102" t="e">
        <f t="shared" si="297"/>
        <v>#DIV/0!</v>
      </c>
      <c r="M884" s="179"/>
      <c r="N884" s="179" t="s">
        <v>3131</v>
      </c>
      <c r="O884" s="141">
        <f t="shared" si="298"/>
        <v>0</v>
      </c>
      <c r="P884" s="181" t="b">
        <f>COUNTIF('Facility Data'!$A$1:$A$1500,"*"&amp;A884&amp;"*")&gt;0</f>
        <v>0</v>
      </c>
      <c r="Q884" s="181" t="b">
        <f>COUNTIF('Account Data'!$A$1:$A$1000,"*"&amp;A884&amp;"*")&gt;0</f>
        <v>0</v>
      </c>
      <c r="R884" s="182" t="b">
        <f t="shared" si="299"/>
        <v>0</v>
      </c>
      <c r="S884" s="182" t="b">
        <f t="shared" si="300"/>
        <v>0</v>
      </c>
      <c r="T884" s="181" t="b">
        <f>COUNTIF('New Items'!$A$1:$A$175,A884)&gt;0</f>
        <v>0</v>
      </c>
      <c r="U884" s="181" t="b">
        <f>COUNTIF(Discontinued!$A$1:$A$150,A884)&gt;0</f>
        <v>0</v>
      </c>
    </row>
    <row r="885" spans="1:21" s="8" customFormat="1" ht="11.25" x14ac:dyDescent="0.2">
      <c r="A885" s="152">
        <v>20000087</v>
      </c>
      <c r="B885" s="10" t="s">
        <v>2717</v>
      </c>
      <c r="C885" s="12" t="s">
        <v>2718</v>
      </c>
      <c r="D885" s="11" t="s">
        <v>2714</v>
      </c>
      <c r="E885" s="12" t="s">
        <v>776</v>
      </c>
      <c r="F885" s="173">
        <v>24</v>
      </c>
      <c r="G885" s="98">
        <f>Overview!$B$77</f>
        <v>17.5</v>
      </c>
      <c r="H885" s="99">
        <f t="shared" si="295"/>
        <v>17.5</v>
      </c>
      <c r="I885" s="99">
        <f>Overview!$E$77</f>
        <v>0</v>
      </c>
      <c r="J885" s="100">
        <f t="shared" si="296"/>
        <v>0</v>
      </c>
      <c r="K885" s="101">
        <f>Overview!$H$77</f>
        <v>0</v>
      </c>
      <c r="L885" s="102" t="e">
        <f t="shared" si="297"/>
        <v>#DIV/0!</v>
      </c>
      <c r="M885" s="179"/>
      <c r="N885" s="179" t="s">
        <v>3131</v>
      </c>
      <c r="O885" s="141">
        <f t="shared" si="298"/>
        <v>0</v>
      </c>
      <c r="P885" s="181" t="b">
        <f>COUNTIF('Facility Data'!$A$1:$A$1500,"*"&amp;A885&amp;"*")&gt;0</f>
        <v>0</v>
      </c>
      <c r="Q885" s="181" t="b">
        <f>COUNTIF('Account Data'!$A$1:$A$1000,"*"&amp;A885&amp;"*")&gt;0</f>
        <v>0</v>
      </c>
      <c r="R885" s="182" t="b">
        <f t="shared" si="299"/>
        <v>0</v>
      </c>
      <c r="S885" s="182" t="b">
        <f t="shared" si="300"/>
        <v>0</v>
      </c>
      <c r="T885" s="181" t="b">
        <f>COUNTIF('New Items'!$A$1:$A$175,A885)&gt;0</f>
        <v>0</v>
      </c>
      <c r="U885" s="181" t="b">
        <f>COUNTIF(Discontinued!$A$1:$A$150,A885)&gt;0</f>
        <v>0</v>
      </c>
    </row>
    <row r="886" spans="1:21" s="8" customFormat="1" ht="11.25" x14ac:dyDescent="0.2">
      <c r="A886" s="152">
        <v>20000106</v>
      </c>
      <c r="B886" s="10" t="s">
        <v>2725</v>
      </c>
      <c r="C886" s="12" t="s">
        <v>2726</v>
      </c>
      <c r="D886" s="11" t="s">
        <v>2715</v>
      </c>
      <c r="E886" s="12" t="s">
        <v>769</v>
      </c>
      <c r="F886" s="173">
        <v>24</v>
      </c>
      <c r="G886" s="98">
        <f>Overview!$B$78</f>
        <v>26</v>
      </c>
      <c r="H886" s="99">
        <f t="shared" si="295"/>
        <v>26</v>
      </c>
      <c r="I886" s="99">
        <f>Overview!$E$78</f>
        <v>0</v>
      </c>
      <c r="J886" s="100">
        <f t="shared" si="296"/>
        <v>0</v>
      </c>
      <c r="K886" s="101">
        <f>Overview!$H$78</f>
        <v>0</v>
      </c>
      <c r="L886" s="102" t="e">
        <f t="shared" si="297"/>
        <v>#DIV/0!</v>
      </c>
      <c r="M886" s="179"/>
      <c r="N886" s="179" t="s">
        <v>3131</v>
      </c>
      <c r="O886" s="141">
        <f t="shared" si="298"/>
        <v>0</v>
      </c>
      <c r="P886" s="181" t="b">
        <f>COUNTIF('Facility Data'!$A$1:$A$1500,"*"&amp;A886&amp;"*")&gt;0</f>
        <v>0</v>
      </c>
      <c r="Q886" s="181" t="b">
        <f>COUNTIF('Account Data'!$A$1:$A$1000,"*"&amp;A886&amp;"*")&gt;0</f>
        <v>0</v>
      </c>
      <c r="R886" s="182" t="b">
        <f t="shared" si="299"/>
        <v>0</v>
      </c>
      <c r="S886" s="182" t="b">
        <f t="shared" si="300"/>
        <v>0</v>
      </c>
      <c r="T886" s="181" t="b">
        <f>COUNTIF('New Items'!$A$1:$A$175,A886)&gt;0</f>
        <v>0</v>
      </c>
      <c r="U886" s="181" t="b">
        <f>COUNTIF(Discontinued!$A$1:$A$150,A886)&gt;0</f>
        <v>0</v>
      </c>
    </row>
    <row r="887" spans="1:21" s="8" customFormat="1" ht="11.25" x14ac:dyDescent="0.2">
      <c r="A887" s="152">
        <v>20023539</v>
      </c>
      <c r="B887" s="10" t="s">
        <v>2727</v>
      </c>
      <c r="C887" s="12" t="s">
        <v>2728</v>
      </c>
      <c r="D887" s="11" t="s">
        <v>2716</v>
      </c>
      <c r="E887" s="12" t="s">
        <v>769</v>
      </c>
      <c r="F887" s="173">
        <v>24</v>
      </c>
      <c r="G887" s="98">
        <f>Overview!$B$78</f>
        <v>26</v>
      </c>
      <c r="H887" s="99">
        <f t="shared" si="295"/>
        <v>26</v>
      </c>
      <c r="I887" s="99">
        <f>Overview!$E$78</f>
        <v>0</v>
      </c>
      <c r="J887" s="100">
        <f t="shared" si="296"/>
        <v>0</v>
      </c>
      <c r="K887" s="101">
        <f>Overview!$H$78</f>
        <v>0</v>
      </c>
      <c r="L887" s="102" t="e">
        <f t="shared" si="297"/>
        <v>#DIV/0!</v>
      </c>
      <c r="M887" s="179"/>
      <c r="N887" s="179" t="s">
        <v>3131</v>
      </c>
      <c r="O887" s="141">
        <f t="shared" si="298"/>
        <v>0</v>
      </c>
      <c r="P887" s="181" t="b">
        <f>COUNTIF('Facility Data'!$A$1:$A$1500,"*"&amp;A887&amp;"*")&gt;0</f>
        <v>0</v>
      </c>
      <c r="Q887" s="181" t="b">
        <f>COUNTIF('Account Data'!$A$1:$A$1000,"*"&amp;A887&amp;"*")&gt;0</f>
        <v>0</v>
      </c>
      <c r="R887" s="182" t="b">
        <f t="shared" si="299"/>
        <v>0</v>
      </c>
      <c r="S887" s="182" t="b">
        <f t="shared" si="300"/>
        <v>0</v>
      </c>
      <c r="T887" s="181" t="b">
        <f>COUNTIF('New Items'!$A$1:$A$175,A887)&gt;0</f>
        <v>0</v>
      </c>
      <c r="U887" s="181" t="b">
        <f>COUNTIF(Discontinued!$A$1:$A$150,A887)&gt;0</f>
        <v>0</v>
      </c>
    </row>
    <row r="888" spans="1:21" s="8" customFormat="1" ht="12" thickBot="1" x14ac:dyDescent="0.25">
      <c r="A888" s="152">
        <v>20000105</v>
      </c>
      <c r="B888" s="10" t="s">
        <v>2723</v>
      </c>
      <c r="C888" s="12" t="s">
        <v>2724</v>
      </c>
      <c r="D888" s="11" t="s">
        <v>2714</v>
      </c>
      <c r="E888" s="12" t="s">
        <v>769</v>
      </c>
      <c r="F888" s="173">
        <v>24</v>
      </c>
      <c r="G888" s="98">
        <f>Overview!$B$78</f>
        <v>26</v>
      </c>
      <c r="H888" s="99">
        <f t="shared" si="295"/>
        <v>26</v>
      </c>
      <c r="I888" s="99">
        <f>Overview!$E$78</f>
        <v>0</v>
      </c>
      <c r="J888" s="100">
        <f t="shared" si="296"/>
        <v>0</v>
      </c>
      <c r="K888" s="101">
        <f>Overview!$H$78</f>
        <v>0</v>
      </c>
      <c r="L888" s="102" t="e">
        <f t="shared" si="297"/>
        <v>#DIV/0!</v>
      </c>
      <c r="M888" s="179"/>
      <c r="N888" s="179" t="s">
        <v>3131</v>
      </c>
      <c r="O888" s="141">
        <f t="shared" si="298"/>
        <v>0</v>
      </c>
      <c r="P888" s="181" t="b">
        <f>COUNTIF('Facility Data'!$A$1:$A$1500,"*"&amp;A888&amp;"*")&gt;0</f>
        <v>0</v>
      </c>
      <c r="Q888" s="181" t="b">
        <f>COUNTIF('Account Data'!$A$1:$A$1000,"*"&amp;A888&amp;"*")&gt;0</f>
        <v>0</v>
      </c>
      <c r="R888" s="182" t="b">
        <f t="shared" si="299"/>
        <v>0</v>
      </c>
      <c r="S888" s="182" t="b">
        <f t="shared" si="300"/>
        <v>0</v>
      </c>
      <c r="T888" s="181" t="b">
        <f>COUNTIF('New Items'!$A$1:$A$175,A888)&gt;0</f>
        <v>0</v>
      </c>
      <c r="U888" s="181" t="b">
        <f>COUNTIF(Discontinued!$A$1:$A$150,A888)&gt;0</f>
        <v>0</v>
      </c>
    </row>
    <row r="889" spans="1:21" s="8" customFormat="1" ht="13.5" thickBot="1" x14ac:dyDescent="0.25">
      <c r="A889" s="300" t="s">
        <v>1025</v>
      </c>
      <c r="B889" s="301"/>
      <c r="C889" s="301"/>
      <c r="D889" s="301"/>
      <c r="E889" s="301"/>
      <c r="F889" s="301"/>
      <c r="G889" s="301"/>
      <c r="H889" s="301"/>
      <c r="I889" s="301"/>
      <c r="J889" s="301"/>
      <c r="K889" s="301"/>
      <c r="L889" s="302"/>
      <c r="M889" s="179"/>
      <c r="N889" s="179" t="s">
        <v>1255</v>
      </c>
      <c r="O889" s="141">
        <f>AVERAGE(O890:O894)</f>
        <v>0</v>
      </c>
      <c r="P889" s="181" t="b">
        <f>COUNTIF(P890:P894,TRUE)&gt;0</f>
        <v>1</v>
      </c>
      <c r="Q889" s="181" t="b">
        <f>COUNTIF(Q890:Q894,TRUE)&gt;0</f>
        <v>1</v>
      </c>
      <c r="R889" s="181" t="b">
        <f>COUNTIF(R890:R894,TRUE)&gt;0</f>
        <v>1</v>
      </c>
      <c r="S889" s="181" t="b">
        <f>COUNTIF(S890:S894,TRUE)&gt;0</f>
        <v>1</v>
      </c>
      <c r="T889" s="181" t="b">
        <f>COUNTIF(T890:T894,TRUE)&gt;0</f>
        <v>0</v>
      </c>
      <c r="U889" s="249"/>
    </row>
    <row r="890" spans="1:21" s="8" customFormat="1" ht="11.25" x14ac:dyDescent="0.2">
      <c r="A890" s="159">
        <v>20028334</v>
      </c>
      <c r="B890" s="123" t="s">
        <v>1026</v>
      </c>
      <c r="C890" s="124" t="s">
        <v>1027</v>
      </c>
      <c r="D890" s="119" t="s">
        <v>1012</v>
      </c>
      <c r="E890" s="127" t="s">
        <v>1012</v>
      </c>
      <c r="F890" s="120">
        <v>24</v>
      </c>
      <c r="G890" s="121">
        <f>Overview!$B$193</f>
        <v>24</v>
      </c>
      <c r="H890" s="114">
        <f>G890-I890</f>
        <v>24</v>
      </c>
      <c r="I890" s="114">
        <f>Overview!$E$193</f>
        <v>0</v>
      </c>
      <c r="J890" s="115">
        <f>I890/F890</f>
        <v>0</v>
      </c>
      <c r="K890" s="116">
        <f>Overview!$H$193</f>
        <v>0</v>
      </c>
      <c r="L890" s="117" t="e">
        <f>(K890-J890)/K890</f>
        <v>#DIV/0!</v>
      </c>
      <c r="M890" s="179"/>
      <c r="N890" s="179" t="s">
        <v>1255</v>
      </c>
      <c r="O890" s="141">
        <f>I890</f>
        <v>0</v>
      </c>
      <c r="P890" s="181" t="b">
        <f>COUNTIF('Facility Data'!$A$1:$A$1500,"*"&amp;A890&amp;"*")&gt;0</f>
        <v>1</v>
      </c>
      <c r="Q890" s="181" t="b">
        <f>COUNTIF('Account Data'!$A$1:$A$1000,"*"&amp;A890&amp;"*")&gt;0</f>
        <v>1</v>
      </c>
      <c r="R890" s="182" t="b">
        <f>IF(OR(P890=TRUE,T890=TRUE),TRUE,FALSE)</f>
        <v>1</v>
      </c>
      <c r="S890" s="182" t="b">
        <f>IF(OR(Q890=TRUE,T890=TRUE),TRUE,FALSE)</f>
        <v>1</v>
      </c>
      <c r="T890" s="181" t="b">
        <f>COUNTIF('New Items'!$A$1:$A$175,A890)&gt;0</f>
        <v>0</v>
      </c>
      <c r="U890" s="181" t="b">
        <f>COUNTIF(Discontinued!$A$1:$A$150,A890)&gt;0</f>
        <v>0</v>
      </c>
    </row>
    <row r="891" spans="1:21" s="8" customFormat="1" ht="11.25" x14ac:dyDescent="0.2">
      <c r="A891" s="159">
        <v>20028337</v>
      </c>
      <c r="B891" s="123" t="s">
        <v>4083</v>
      </c>
      <c r="C891" s="124" t="s">
        <v>1028</v>
      </c>
      <c r="D891" s="119" t="s">
        <v>4084</v>
      </c>
      <c r="E891" s="124" t="s">
        <v>774</v>
      </c>
      <c r="F891" s="120">
        <v>24</v>
      </c>
      <c r="G891" s="121">
        <f>Overview!$B$194</f>
        <v>24</v>
      </c>
      <c r="H891" s="114">
        <f>G891-I891</f>
        <v>24</v>
      </c>
      <c r="I891" s="114">
        <f>Overview!$E$194</f>
        <v>0</v>
      </c>
      <c r="J891" s="115">
        <f>I891/F891</f>
        <v>0</v>
      </c>
      <c r="K891" s="116">
        <f>Overview!$H$194</f>
        <v>0</v>
      </c>
      <c r="L891" s="117" t="e">
        <f>(K891-J891)/K891</f>
        <v>#DIV/0!</v>
      </c>
      <c r="M891" s="179"/>
      <c r="N891" s="179" t="s">
        <v>1255</v>
      </c>
      <c r="O891" s="141">
        <f>I891</f>
        <v>0</v>
      </c>
      <c r="P891" s="181" t="b">
        <f>COUNTIF('Facility Data'!$A$1:$A$1500,"*"&amp;A891&amp;"*")&gt;0</f>
        <v>1</v>
      </c>
      <c r="Q891" s="181" t="b">
        <f>COUNTIF('Account Data'!$A$1:$A$1000,"*"&amp;A891&amp;"*")&gt;0</f>
        <v>1</v>
      </c>
      <c r="R891" s="182" t="b">
        <f>IF(OR(P891=TRUE,T891=TRUE),TRUE,FALSE)</f>
        <v>1</v>
      </c>
      <c r="S891" s="182" t="b">
        <f>IF(OR(Q891=TRUE,T891=TRUE),TRUE,FALSE)</f>
        <v>1</v>
      </c>
      <c r="T891" s="181" t="b">
        <f>COUNTIF('New Items'!$A$1:$A$175,A891)&gt;0</f>
        <v>0</v>
      </c>
      <c r="U891" s="181" t="b">
        <f>COUNTIF(Discontinued!$A$1:$A$150,A891)&gt;0</f>
        <v>0</v>
      </c>
    </row>
    <row r="892" spans="1:21" s="8" customFormat="1" ht="11.25" x14ac:dyDescent="0.2">
      <c r="A892" s="159">
        <v>20028336</v>
      </c>
      <c r="B892" s="123" t="s">
        <v>1180</v>
      </c>
      <c r="C892" s="124" t="s">
        <v>1029</v>
      </c>
      <c r="D892" s="119" t="s">
        <v>1013</v>
      </c>
      <c r="E892" s="124" t="s">
        <v>1014</v>
      </c>
      <c r="F892" s="120">
        <v>12</v>
      </c>
      <c r="G892" s="121">
        <f>Overview!$B$195</f>
        <v>21</v>
      </c>
      <c r="H892" s="114">
        <f>G892-I892</f>
        <v>21</v>
      </c>
      <c r="I892" s="114">
        <f>Overview!$E$195</f>
        <v>0</v>
      </c>
      <c r="J892" s="115">
        <f>I892/F892</f>
        <v>0</v>
      </c>
      <c r="K892" s="116">
        <f>Overview!$H$195</f>
        <v>0</v>
      </c>
      <c r="L892" s="117" t="e">
        <f>(K892-J892)/K892</f>
        <v>#DIV/0!</v>
      </c>
      <c r="M892" s="179"/>
      <c r="N892" s="179" t="s">
        <v>1255</v>
      </c>
      <c r="O892" s="141">
        <f>I892</f>
        <v>0</v>
      </c>
      <c r="P892" s="181" t="b">
        <f>COUNTIF('Facility Data'!$A$1:$A$1500,"*"&amp;A892&amp;"*")&gt;0</f>
        <v>1</v>
      </c>
      <c r="Q892" s="181" t="b">
        <f>COUNTIF('Account Data'!$A$1:$A$1000,"*"&amp;A892&amp;"*")&gt;0</f>
        <v>1</v>
      </c>
      <c r="R892" s="182" t="b">
        <f>IF(OR(P892=TRUE,T892=TRUE),TRUE,FALSE)</f>
        <v>1</v>
      </c>
      <c r="S892" s="182" t="b">
        <f>IF(OR(Q892=TRUE,T892=TRUE),TRUE,FALSE)</f>
        <v>1</v>
      </c>
      <c r="T892" s="181" t="b">
        <f>COUNTIF('New Items'!$A$1:$A$175,A892)&gt;0</f>
        <v>0</v>
      </c>
      <c r="U892" s="181" t="b">
        <f>COUNTIF(Discontinued!$A$1:$A$150,A892)&gt;0</f>
        <v>0</v>
      </c>
    </row>
    <row r="893" spans="1:21" s="8" customFormat="1" ht="11.25" x14ac:dyDescent="0.2">
      <c r="A893" s="159">
        <v>20028335</v>
      </c>
      <c r="B893" s="123" t="s">
        <v>1030</v>
      </c>
      <c r="C893" s="124" t="s">
        <v>1031</v>
      </c>
      <c r="D893" s="119" t="s">
        <v>761</v>
      </c>
      <c r="E893" s="124" t="s">
        <v>761</v>
      </c>
      <c r="F893" s="120">
        <v>12</v>
      </c>
      <c r="G893" s="121">
        <f>Overview!$B$196</f>
        <v>24</v>
      </c>
      <c r="H893" s="114">
        <f>G893-I893</f>
        <v>24</v>
      </c>
      <c r="I893" s="114">
        <f>Overview!$E$196</f>
        <v>0</v>
      </c>
      <c r="J893" s="115">
        <f>I893/F893</f>
        <v>0</v>
      </c>
      <c r="K893" s="116">
        <f>Overview!$H$196</f>
        <v>0</v>
      </c>
      <c r="L893" s="117" t="e">
        <f>(K893-J893)/K893</f>
        <v>#DIV/0!</v>
      </c>
      <c r="M893" s="179"/>
      <c r="N893" s="179" t="s">
        <v>1255</v>
      </c>
      <c r="O893" s="141">
        <f>I893</f>
        <v>0</v>
      </c>
      <c r="P893" s="181" t="b">
        <f>COUNTIF('Facility Data'!$A$1:$A$1500,"*"&amp;A893&amp;"*")&gt;0</f>
        <v>1</v>
      </c>
      <c r="Q893" s="181" t="b">
        <f>COUNTIF('Account Data'!$A$1:$A$1000,"*"&amp;A893&amp;"*")&gt;0</f>
        <v>1</v>
      </c>
      <c r="R893" s="182" t="b">
        <f>IF(OR(P893=TRUE,T893=TRUE),TRUE,FALSE)</f>
        <v>1</v>
      </c>
      <c r="S893" s="182" t="b">
        <f>IF(OR(Q893=TRUE,T893=TRUE),TRUE,FALSE)</f>
        <v>1</v>
      </c>
      <c r="T893" s="181" t="b">
        <f>COUNTIF('New Items'!$A$1:$A$175,A893)&gt;0</f>
        <v>0</v>
      </c>
      <c r="U893" s="181" t="b">
        <f>COUNTIF(Discontinued!$A$1:$A$150,A893)&gt;0</f>
        <v>0</v>
      </c>
    </row>
    <row r="894" spans="1:21" s="8" customFormat="1" ht="12" thickBot="1" x14ac:dyDescent="0.25">
      <c r="A894" s="159">
        <v>20028330</v>
      </c>
      <c r="B894" s="128" t="s">
        <v>1032</v>
      </c>
      <c r="C894" s="129" t="s">
        <v>1033</v>
      </c>
      <c r="D894" s="119" t="s">
        <v>763</v>
      </c>
      <c r="E894" s="129" t="s">
        <v>763</v>
      </c>
      <c r="F894" s="122">
        <v>12</v>
      </c>
      <c r="G894" s="121">
        <f>Overview!$B$197</f>
        <v>24</v>
      </c>
      <c r="H894" s="114">
        <f>G894-I894</f>
        <v>24</v>
      </c>
      <c r="I894" s="114">
        <f>Overview!$E$197</f>
        <v>0</v>
      </c>
      <c r="J894" s="115">
        <f>I894/F894</f>
        <v>0</v>
      </c>
      <c r="K894" s="116">
        <f>Overview!$H$197</f>
        <v>0</v>
      </c>
      <c r="L894" s="117" t="e">
        <f>(K894-J894)/K894</f>
        <v>#DIV/0!</v>
      </c>
      <c r="M894" s="179"/>
      <c r="N894" s="179" t="s">
        <v>1255</v>
      </c>
      <c r="O894" s="141">
        <f>I894</f>
        <v>0</v>
      </c>
      <c r="P894" s="181" t="b">
        <f>COUNTIF('Facility Data'!$A$1:$A$1500,"*"&amp;A894&amp;"*")&gt;0</f>
        <v>1</v>
      </c>
      <c r="Q894" s="181" t="b">
        <f>COUNTIF('Account Data'!$A$1:$A$1000,"*"&amp;A894&amp;"*")&gt;0</f>
        <v>1</v>
      </c>
      <c r="R894" s="182" t="b">
        <f>IF(OR(P894=TRUE,T894=TRUE),TRUE,FALSE)</f>
        <v>1</v>
      </c>
      <c r="S894" s="182" t="b">
        <f>IF(OR(Q894=TRUE,T894=TRUE),TRUE,FALSE)</f>
        <v>1</v>
      </c>
      <c r="T894" s="181" t="b">
        <f>COUNTIF('New Items'!$A$1:$A$175,A894)&gt;0</f>
        <v>0</v>
      </c>
      <c r="U894" s="181" t="b">
        <f>COUNTIF(Discontinued!$A$1:$A$150,A894)&gt;0</f>
        <v>0</v>
      </c>
    </row>
    <row r="895" spans="1:21" s="8" customFormat="1" ht="13.5" thickBot="1" x14ac:dyDescent="0.25">
      <c r="A895" s="300" t="s">
        <v>1011</v>
      </c>
      <c r="B895" s="301"/>
      <c r="C895" s="301"/>
      <c r="D895" s="301"/>
      <c r="E895" s="301"/>
      <c r="F895" s="301"/>
      <c r="G895" s="301"/>
      <c r="H895" s="301"/>
      <c r="I895" s="301"/>
      <c r="J895" s="301"/>
      <c r="K895" s="301"/>
      <c r="L895" s="302"/>
      <c r="M895" s="179"/>
      <c r="N895" s="179" t="s">
        <v>1256</v>
      </c>
      <c r="O895" s="141">
        <f>AVERAGE(O896:O900)</f>
        <v>0</v>
      </c>
      <c r="P895" s="181" t="b">
        <f>COUNTIF(P896:P900,TRUE)&gt;0</f>
        <v>1</v>
      </c>
      <c r="Q895" s="181" t="b">
        <f>COUNTIF(Q896:Q900,TRUE)&gt;0</f>
        <v>1</v>
      </c>
      <c r="R895" s="181" t="b">
        <f>COUNTIF(R896:R900,TRUE)&gt;0</f>
        <v>1</v>
      </c>
      <c r="S895" s="181" t="b">
        <f>COUNTIF(S896:S900,TRUE)&gt;0</f>
        <v>1</v>
      </c>
      <c r="T895" s="181" t="b">
        <f>COUNTIF(T896:T900,TRUE)&gt;0</f>
        <v>0</v>
      </c>
      <c r="U895" s="249"/>
    </row>
    <row r="896" spans="1:21" s="8" customFormat="1" ht="11.25" x14ac:dyDescent="0.2">
      <c r="A896" s="159">
        <v>20028332</v>
      </c>
      <c r="B896" s="130" t="s">
        <v>4082</v>
      </c>
      <c r="C896" s="124" t="s">
        <v>1021</v>
      </c>
      <c r="D896" s="119" t="s">
        <v>1018</v>
      </c>
      <c r="E896" s="125" t="s">
        <v>762</v>
      </c>
      <c r="F896" s="126">
        <v>2</v>
      </c>
      <c r="G896" s="121">
        <f>Overview!$B$198</f>
        <v>24</v>
      </c>
      <c r="H896" s="114">
        <f>G896-I896</f>
        <v>24</v>
      </c>
      <c r="I896" s="114">
        <f>Overview!$E$198</f>
        <v>0</v>
      </c>
      <c r="J896" s="115">
        <f>I896/F896</f>
        <v>0</v>
      </c>
      <c r="K896" s="116">
        <f>Overview!$H$198</f>
        <v>0</v>
      </c>
      <c r="L896" s="117" t="e">
        <f>(K896-J896)/K896</f>
        <v>#DIV/0!</v>
      </c>
      <c r="M896" s="179"/>
      <c r="N896" s="179" t="s">
        <v>1256</v>
      </c>
      <c r="O896" s="141">
        <f>I896</f>
        <v>0</v>
      </c>
      <c r="P896" s="181" t="b">
        <f>COUNTIF('Facility Data'!$A$1:$A$1500,"*"&amp;A896&amp;"*")&gt;0</f>
        <v>1</v>
      </c>
      <c r="Q896" s="181" t="b">
        <f>COUNTIF('Account Data'!$A$1:$A$1000,"*"&amp;A896&amp;"*")&gt;0</f>
        <v>0</v>
      </c>
      <c r="R896" s="182" t="b">
        <f>IF(OR(P896=TRUE,T896=TRUE),TRUE,FALSE)</f>
        <v>1</v>
      </c>
      <c r="S896" s="182" t="b">
        <f>IF(OR(Q896=TRUE,T896=TRUE),TRUE,FALSE)</f>
        <v>0</v>
      </c>
      <c r="T896" s="181" t="b">
        <f>COUNTIF('New Items'!$A$1:$A$175,A896)&gt;0</f>
        <v>0</v>
      </c>
      <c r="U896" s="181" t="b">
        <f>COUNTIF(Discontinued!$A$1:$A$150,A896)&gt;0</f>
        <v>0</v>
      </c>
    </row>
    <row r="897" spans="1:21" s="8" customFormat="1" ht="11.25" x14ac:dyDescent="0.2">
      <c r="A897" s="159">
        <v>20028333</v>
      </c>
      <c r="B897" s="130" t="s">
        <v>1020</v>
      </c>
      <c r="C897" s="124" t="s">
        <v>1022</v>
      </c>
      <c r="D897" s="119" t="s">
        <v>764</v>
      </c>
      <c r="E897" s="125" t="s">
        <v>762</v>
      </c>
      <c r="F897" s="126">
        <v>4</v>
      </c>
      <c r="G897" s="121">
        <f>Overview!$B$199</f>
        <v>24</v>
      </c>
      <c r="H897" s="114">
        <f>G897-I897</f>
        <v>24</v>
      </c>
      <c r="I897" s="114">
        <f>Overview!$E$199</f>
        <v>0</v>
      </c>
      <c r="J897" s="115">
        <f>I897/F897</f>
        <v>0</v>
      </c>
      <c r="K897" s="116">
        <f>Overview!$H$199</f>
        <v>0</v>
      </c>
      <c r="L897" s="117" t="e">
        <f>(K897-J897)/K897</f>
        <v>#DIV/0!</v>
      </c>
      <c r="M897" s="179"/>
      <c r="N897" s="179" t="s">
        <v>1256</v>
      </c>
      <c r="O897" s="141">
        <f>I897</f>
        <v>0</v>
      </c>
      <c r="P897" s="181" t="b">
        <f>COUNTIF('Facility Data'!$A$1:$A$1500,"*"&amp;A897&amp;"*")&gt;0</f>
        <v>1</v>
      </c>
      <c r="Q897" s="181" t="b">
        <f>COUNTIF('Account Data'!$A$1:$A$1000,"*"&amp;A897&amp;"*")&gt;0</f>
        <v>0</v>
      </c>
      <c r="R897" s="182" t="b">
        <f>IF(OR(P897=TRUE,T897=TRUE),TRUE,FALSE)</f>
        <v>1</v>
      </c>
      <c r="S897" s="182" t="b">
        <f>IF(OR(Q897=TRUE,T897=TRUE),TRUE,FALSE)</f>
        <v>0</v>
      </c>
      <c r="T897" s="181" t="b">
        <f>COUNTIF('New Items'!$A$1:$A$175,A897)&gt;0</f>
        <v>0</v>
      </c>
      <c r="U897" s="181" t="b">
        <f>COUNTIF(Discontinued!$A$1:$A$150,A897)&gt;0</f>
        <v>0</v>
      </c>
    </row>
    <row r="898" spans="1:21" s="8" customFormat="1" ht="11.25" x14ac:dyDescent="0.2">
      <c r="A898" s="159">
        <v>20028331</v>
      </c>
      <c r="B898" s="123" t="s">
        <v>4078</v>
      </c>
      <c r="C898" s="124" t="s">
        <v>1023</v>
      </c>
      <c r="D898" s="119" t="s">
        <v>4079</v>
      </c>
      <c r="E898" s="124" t="s">
        <v>774</v>
      </c>
      <c r="F898" s="120">
        <v>4</v>
      </c>
      <c r="G898" s="121">
        <f>Overview!$B$200</f>
        <v>24</v>
      </c>
      <c r="H898" s="114">
        <f>G898-I898</f>
        <v>24</v>
      </c>
      <c r="I898" s="114">
        <f>Overview!$E$200</f>
        <v>0</v>
      </c>
      <c r="J898" s="115">
        <f>I898/F898</f>
        <v>0</v>
      </c>
      <c r="K898" s="116">
        <f>Overview!$H$200</f>
        <v>0</v>
      </c>
      <c r="L898" s="117" t="e">
        <f>(K898-J898)/K898</f>
        <v>#DIV/0!</v>
      </c>
      <c r="M898" s="179"/>
      <c r="N898" s="179" t="s">
        <v>1256</v>
      </c>
      <c r="O898" s="141">
        <f>I898</f>
        <v>0</v>
      </c>
      <c r="P898" s="181" t="b">
        <f>COUNTIF('Facility Data'!$A$1:$A$1500,"*"&amp;A898&amp;"*")&gt;0</f>
        <v>1</v>
      </c>
      <c r="Q898" s="181" t="b">
        <f>COUNTIF('Account Data'!$A$1:$A$1000,"*"&amp;A898&amp;"*")&gt;0</f>
        <v>1</v>
      </c>
      <c r="R898" s="182" t="b">
        <f>IF(OR(P898=TRUE,T898=TRUE),TRUE,FALSE)</f>
        <v>1</v>
      </c>
      <c r="S898" s="182" t="b">
        <f>IF(OR(Q898=TRUE,T898=TRUE),TRUE,FALSE)</f>
        <v>1</v>
      </c>
      <c r="T898" s="181" t="b">
        <f>COUNTIF('New Items'!$A$1:$A$175,A898)&gt;0</f>
        <v>0</v>
      </c>
      <c r="U898" s="181" t="b">
        <f>COUNTIF(Discontinued!$A$1:$A$150,A898)&gt;0</f>
        <v>0</v>
      </c>
    </row>
    <row r="899" spans="1:21" s="8" customFormat="1" ht="11.25" x14ac:dyDescent="0.2">
      <c r="A899" s="160">
        <v>20028329</v>
      </c>
      <c r="B899" s="123" t="s">
        <v>1019</v>
      </c>
      <c r="C899" s="124" t="s">
        <v>1024</v>
      </c>
      <c r="D899" s="119" t="s">
        <v>765</v>
      </c>
      <c r="E899" s="124" t="s">
        <v>761</v>
      </c>
      <c r="F899" s="120">
        <v>2</v>
      </c>
      <c r="G899" s="121">
        <f>Overview!$B$201</f>
        <v>24</v>
      </c>
      <c r="H899" s="114">
        <f>G899-I899</f>
        <v>24</v>
      </c>
      <c r="I899" s="114">
        <f>Overview!$E$201</f>
        <v>0</v>
      </c>
      <c r="J899" s="115">
        <f>I899/F899</f>
        <v>0</v>
      </c>
      <c r="K899" s="116">
        <f>Overview!$H$201</f>
        <v>0</v>
      </c>
      <c r="L899" s="117" t="e">
        <f>(K899-J899)/K899</f>
        <v>#DIV/0!</v>
      </c>
      <c r="M899" s="179"/>
      <c r="N899" s="179" t="s">
        <v>1256</v>
      </c>
      <c r="O899" s="141">
        <f>I899</f>
        <v>0</v>
      </c>
      <c r="P899" s="181" t="b">
        <f>COUNTIF('Facility Data'!$A$1:$A$1500,"*"&amp;A899&amp;"*")&gt;0</f>
        <v>1</v>
      </c>
      <c r="Q899" s="181" t="b">
        <f>COUNTIF('Account Data'!$A$1:$A$1000,"*"&amp;A899&amp;"*")&gt;0</f>
        <v>0</v>
      </c>
      <c r="R899" s="182" t="b">
        <f>IF(OR(P899=TRUE,T899=TRUE),TRUE,FALSE)</f>
        <v>1</v>
      </c>
      <c r="S899" s="182" t="b">
        <f>IF(OR(Q899=TRUE,T899=TRUE),TRUE,FALSE)</f>
        <v>0</v>
      </c>
      <c r="T899" s="181" t="b">
        <f>COUNTIF('New Items'!$A$1:$A$175,A899)&gt;0</f>
        <v>0</v>
      </c>
      <c r="U899" s="181" t="b">
        <f>COUNTIF(Discontinued!$A$1:$A$150,A899)&gt;0</f>
        <v>0</v>
      </c>
    </row>
    <row r="900" spans="1:21" s="8" customFormat="1" ht="12" thickBot="1" x14ac:dyDescent="0.25">
      <c r="A900" s="161">
        <v>20028338</v>
      </c>
      <c r="B900" s="128" t="s">
        <v>1181</v>
      </c>
      <c r="C900" s="129" t="s">
        <v>1017</v>
      </c>
      <c r="D900" s="227" t="s">
        <v>1015</v>
      </c>
      <c r="E900" s="129" t="s">
        <v>1016</v>
      </c>
      <c r="F900" s="122">
        <v>2</v>
      </c>
      <c r="G900" s="121">
        <f>Overview!$B$202</f>
        <v>24</v>
      </c>
      <c r="H900" s="228">
        <f>G900-I900</f>
        <v>24</v>
      </c>
      <c r="I900" s="114">
        <f>Overview!$E$202</f>
        <v>0</v>
      </c>
      <c r="J900" s="229">
        <f>I900/F900</f>
        <v>0</v>
      </c>
      <c r="K900" s="116">
        <f>Overview!$H$202</f>
        <v>0</v>
      </c>
      <c r="L900" s="230" t="e">
        <f>(K900-J900)/K900</f>
        <v>#DIV/0!</v>
      </c>
      <c r="M900" s="179"/>
      <c r="N900" s="179" t="s">
        <v>1256</v>
      </c>
      <c r="O900" s="141">
        <f>I900</f>
        <v>0</v>
      </c>
      <c r="P900" s="181" t="b">
        <f>COUNTIF('Facility Data'!$A$1:$A$1500,"*"&amp;A900&amp;"*")&gt;0</f>
        <v>1</v>
      </c>
      <c r="Q900" s="181" t="b">
        <f>COUNTIF('Account Data'!$A$1:$A$1000,"*"&amp;A900&amp;"*")&gt;0</f>
        <v>0</v>
      </c>
      <c r="R900" s="182" t="b">
        <f>IF(OR(P900=TRUE,T900=TRUE),TRUE,FALSE)</f>
        <v>1</v>
      </c>
      <c r="S900" s="182" t="b">
        <f>IF(OR(Q900=TRUE,T900=TRUE),TRUE,FALSE)</f>
        <v>0</v>
      </c>
      <c r="T900" s="181" t="b">
        <f>COUNTIF('New Items'!$A$1:$A$175,A900)&gt;0</f>
        <v>0</v>
      </c>
      <c r="U900" s="181" t="b">
        <f>COUNTIF(Discontinued!$A$1:$A$150,A900)&gt;0</f>
        <v>0</v>
      </c>
    </row>
    <row r="901" spans="1:21" s="8" customFormat="1" ht="13.5" thickBot="1" x14ac:dyDescent="0.25">
      <c r="A901" s="300" t="s">
        <v>3968</v>
      </c>
      <c r="B901" s="301"/>
      <c r="C901" s="301"/>
      <c r="D901" s="301"/>
      <c r="E901" s="301"/>
      <c r="F901" s="301"/>
      <c r="G901" s="301"/>
      <c r="H901" s="301"/>
      <c r="I901" s="301"/>
      <c r="J901" s="301"/>
      <c r="K901" s="301"/>
      <c r="L901" s="302"/>
      <c r="M901" s="179"/>
      <c r="N901" s="179" t="s">
        <v>1260</v>
      </c>
      <c r="O901" s="141">
        <f>AVERAGE(O902:O909)</f>
        <v>0</v>
      </c>
      <c r="P901" s="181" t="b">
        <f>COUNTIF(P902:P909,TRUE)&gt;0</f>
        <v>1</v>
      </c>
      <c r="Q901" s="181" t="b">
        <f>COUNTIF(Q902:Q909,TRUE)&gt;0</f>
        <v>1</v>
      </c>
      <c r="R901" s="181" t="b">
        <f>COUNTIF(R902:R909,TRUE)&gt;0</f>
        <v>1</v>
      </c>
      <c r="S901" s="181" t="b">
        <f>COUNTIF(S902:S909,TRUE)&gt;0</f>
        <v>1</v>
      </c>
      <c r="T901" s="181" t="b">
        <f>COUNTIF(T902:T909,TRUE)&gt;0</f>
        <v>0</v>
      </c>
      <c r="U901" s="249"/>
    </row>
    <row r="902" spans="1:21" s="8" customFormat="1" ht="11.25" x14ac:dyDescent="0.2">
      <c r="A902" s="152">
        <v>20028249</v>
      </c>
      <c r="B902" s="231" t="s">
        <v>1232</v>
      </c>
      <c r="C902" s="118" t="s">
        <v>1233</v>
      </c>
      <c r="D902" s="119" t="s">
        <v>3964</v>
      </c>
      <c r="E902" s="118" t="s">
        <v>3236</v>
      </c>
      <c r="F902" s="120">
        <v>12</v>
      </c>
      <c r="G902" s="121">
        <f>Overview!$B$134</f>
        <v>26</v>
      </c>
      <c r="H902" s="114">
        <f t="shared" ref="H902:H909" si="301">G902-I902</f>
        <v>26</v>
      </c>
      <c r="I902" s="114">
        <f>Overview!$E$134</f>
        <v>0</v>
      </c>
      <c r="J902" s="115">
        <f t="shared" ref="J902:J909" si="302">I902/F902</f>
        <v>0</v>
      </c>
      <c r="K902" s="116">
        <f>Overview!$H$134</f>
        <v>0</v>
      </c>
      <c r="L902" s="117" t="e">
        <f t="shared" ref="L902:L909" si="303">(K902-J902)/K902</f>
        <v>#DIV/0!</v>
      </c>
      <c r="M902" s="179"/>
      <c r="N902" s="179" t="s">
        <v>1260</v>
      </c>
      <c r="O902" s="141">
        <f t="shared" ref="O902:O909" si="304">I902</f>
        <v>0</v>
      </c>
      <c r="P902" s="181" t="b">
        <f>COUNTIF('Facility Data'!$A$1:$A$1500,"*"&amp;A902&amp;"*")&gt;0</f>
        <v>1</v>
      </c>
      <c r="Q902" s="181" t="b">
        <f>COUNTIF('Account Data'!$A$1:$A$1000,"*"&amp;A902&amp;"*")&gt;0</f>
        <v>0</v>
      </c>
      <c r="R902" s="182" t="b">
        <f t="shared" ref="R902:R909" si="305">IF(OR(P902=TRUE,T902=TRUE),TRUE,FALSE)</f>
        <v>1</v>
      </c>
      <c r="S902" s="182" t="b">
        <f t="shared" ref="S902:S909" si="306">IF(OR(Q902=TRUE,T902=TRUE),TRUE,FALSE)</f>
        <v>0</v>
      </c>
      <c r="T902" s="181" t="b">
        <f>COUNTIF('New Items'!$A$1:$A$175,A902)&gt;0</f>
        <v>0</v>
      </c>
      <c r="U902" s="181" t="b">
        <f>COUNTIF(Discontinued!$A$1:$A$150,A902)&gt;0</f>
        <v>0</v>
      </c>
    </row>
    <row r="903" spans="1:21" s="8" customFormat="1" ht="11.25" x14ac:dyDescent="0.2">
      <c r="A903" s="152">
        <v>20028252</v>
      </c>
      <c r="B903" s="231" t="s">
        <v>1238</v>
      </c>
      <c r="C903" s="118" t="s">
        <v>1239</v>
      </c>
      <c r="D903" s="119" t="s">
        <v>3967</v>
      </c>
      <c r="E903" s="118" t="s">
        <v>3236</v>
      </c>
      <c r="F903" s="120">
        <v>12</v>
      </c>
      <c r="G903" s="121">
        <f>Overview!$B$134</f>
        <v>26</v>
      </c>
      <c r="H903" s="114">
        <f t="shared" si="301"/>
        <v>26</v>
      </c>
      <c r="I903" s="114">
        <f>Overview!$E$134</f>
        <v>0</v>
      </c>
      <c r="J903" s="115">
        <f t="shared" si="302"/>
        <v>0</v>
      </c>
      <c r="K903" s="116">
        <f>Overview!$H$134</f>
        <v>0</v>
      </c>
      <c r="L903" s="117" t="e">
        <f t="shared" si="303"/>
        <v>#DIV/0!</v>
      </c>
      <c r="M903" s="179"/>
      <c r="N903" s="179" t="s">
        <v>1260</v>
      </c>
      <c r="O903" s="141">
        <f t="shared" si="304"/>
        <v>0</v>
      </c>
      <c r="P903" s="181" t="b">
        <f>COUNTIF('Facility Data'!$A$1:$A$1500,"*"&amp;A903&amp;"*")&gt;0</f>
        <v>1</v>
      </c>
      <c r="Q903" s="181" t="b">
        <f>COUNTIF('Account Data'!$A$1:$A$1000,"*"&amp;A903&amp;"*")&gt;0</f>
        <v>0</v>
      </c>
      <c r="R903" s="182" t="b">
        <f t="shared" si="305"/>
        <v>1</v>
      </c>
      <c r="S903" s="182" t="b">
        <f t="shared" si="306"/>
        <v>0</v>
      </c>
      <c r="T903" s="181" t="b">
        <f>COUNTIF('New Items'!$A$1:$A$175,A903)&gt;0</f>
        <v>0</v>
      </c>
      <c r="U903" s="181" t="b">
        <f>COUNTIF(Discontinued!$A$1:$A$150,A903)&gt;0</f>
        <v>0</v>
      </c>
    </row>
    <row r="904" spans="1:21" s="8" customFormat="1" ht="11.25" x14ac:dyDescent="0.2">
      <c r="A904" s="152">
        <v>20028250</v>
      </c>
      <c r="B904" s="231" t="s">
        <v>1230</v>
      </c>
      <c r="C904" s="118" t="s">
        <v>1231</v>
      </c>
      <c r="D904" s="119" t="s">
        <v>3963</v>
      </c>
      <c r="E904" s="118" t="s">
        <v>3236</v>
      </c>
      <c r="F904" s="120">
        <v>12</v>
      </c>
      <c r="G904" s="121">
        <f>Overview!$B$134</f>
        <v>26</v>
      </c>
      <c r="H904" s="114">
        <f t="shared" si="301"/>
        <v>26</v>
      </c>
      <c r="I904" s="114">
        <f>Overview!$E$134</f>
        <v>0</v>
      </c>
      <c r="J904" s="115">
        <f t="shared" si="302"/>
        <v>0</v>
      </c>
      <c r="K904" s="116">
        <f>Overview!$H$134</f>
        <v>0</v>
      </c>
      <c r="L904" s="117" t="e">
        <f t="shared" si="303"/>
        <v>#DIV/0!</v>
      </c>
      <c r="M904" s="179"/>
      <c r="N904" s="179" t="s">
        <v>1260</v>
      </c>
      <c r="O904" s="141">
        <f t="shared" si="304"/>
        <v>0</v>
      </c>
      <c r="P904" s="181" t="b">
        <f>COUNTIF('Facility Data'!$A$1:$A$1500,"*"&amp;A904&amp;"*")&gt;0</f>
        <v>1</v>
      </c>
      <c r="Q904" s="181" t="b">
        <f>COUNTIF('Account Data'!$A$1:$A$1000,"*"&amp;A904&amp;"*")&gt;0</f>
        <v>0</v>
      </c>
      <c r="R904" s="182" t="b">
        <f t="shared" si="305"/>
        <v>1</v>
      </c>
      <c r="S904" s="182" t="b">
        <f t="shared" si="306"/>
        <v>0</v>
      </c>
      <c r="T904" s="181" t="b">
        <f>COUNTIF('New Items'!$A$1:$A$175,A904)&gt;0</f>
        <v>0</v>
      </c>
      <c r="U904" s="181" t="b">
        <f>COUNTIF(Discontinued!$A$1:$A$150,A904)&gt;0</f>
        <v>0</v>
      </c>
    </row>
    <row r="905" spans="1:21" s="8" customFormat="1" ht="11.25" x14ac:dyDescent="0.2">
      <c r="A905" s="152">
        <v>20028251</v>
      </c>
      <c r="B905" s="231" t="s">
        <v>1234</v>
      </c>
      <c r="C905" s="118" t="s">
        <v>1235</v>
      </c>
      <c r="D905" s="119" t="s">
        <v>3965</v>
      </c>
      <c r="E905" s="118" t="s">
        <v>3236</v>
      </c>
      <c r="F905" s="120">
        <v>12</v>
      </c>
      <c r="G905" s="121">
        <f>Overview!$B$134</f>
        <v>26</v>
      </c>
      <c r="H905" s="114">
        <f t="shared" si="301"/>
        <v>26</v>
      </c>
      <c r="I905" s="114">
        <f>Overview!$E$134</f>
        <v>0</v>
      </c>
      <c r="J905" s="115">
        <f t="shared" si="302"/>
        <v>0</v>
      </c>
      <c r="K905" s="116">
        <f>Overview!$H$134</f>
        <v>0</v>
      </c>
      <c r="L905" s="117" t="e">
        <f t="shared" si="303"/>
        <v>#DIV/0!</v>
      </c>
      <c r="M905" s="179"/>
      <c r="N905" s="179" t="s">
        <v>1260</v>
      </c>
      <c r="O905" s="141">
        <f t="shared" si="304"/>
        <v>0</v>
      </c>
      <c r="P905" s="181" t="b">
        <f>COUNTIF('Facility Data'!$A$1:$A$1500,"*"&amp;A905&amp;"*")&gt;0</f>
        <v>1</v>
      </c>
      <c r="Q905" s="181" t="b">
        <f>COUNTIF('Account Data'!$A$1:$A$1000,"*"&amp;A905&amp;"*")&gt;0</f>
        <v>0</v>
      </c>
      <c r="R905" s="182" t="b">
        <f t="shared" si="305"/>
        <v>1</v>
      </c>
      <c r="S905" s="182" t="b">
        <f t="shared" si="306"/>
        <v>0</v>
      </c>
      <c r="T905" s="181" t="b">
        <f>COUNTIF('New Items'!$A$1:$A$175,A905)&gt;0</f>
        <v>0</v>
      </c>
      <c r="U905" s="181" t="b">
        <f>COUNTIF(Discontinued!$A$1:$A$150,A905)&gt;0</f>
        <v>0</v>
      </c>
    </row>
    <row r="906" spans="1:21" s="8" customFormat="1" ht="11.25" x14ac:dyDescent="0.2">
      <c r="A906" s="152">
        <v>20028083</v>
      </c>
      <c r="B906" s="231" t="s">
        <v>3926</v>
      </c>
      <c r="C906" s="118" t="s">
        <v>1228</v>
      </c>
      <c r="D906" s="119" t="s">
        <v>3923</v>
      </c>
      <c r="E906" s="118" t="s">
        <v>3236</v>
      </c>
      <c r="F906" s="120">
        <v>12</v>
      </c>
      <c r="G906" s="121">
        <f>Overview!$B$134</f>
        <v>26</v>
      </c>
      <c r="H906" s="114">
        <f t="shared" si="301"/>
        <v>26</v>
      </c>
      <c r="I906" s="114">
        <f>Overview!$E$134</f>
        <v>0</v>
      </c>
      <c r="J906" s="115">
        <f t="shared" si="302"/>
        <v>0</v>
      </c>
      <c r="K906" s="116">
        <f>Overview!$H$134</f>
        <v>0</v>
      </c>
      <c r="L906" s="117" t="e">
        <f t="shared" si="303"/>
        <v>#DIV/0!</v>
      </c>
      <c r="M906" s="179"/>
      <c r="N906" s="179" t="s">
        <v>1260</v>
      </c>
      <c r="O906" s="141">
        <f t="shared" si="304"/>
        <v>0</v>
      </c>
      <c r="P906" s="181" t="b">
        <f>COUNTIF('Facility Data'!$A$1:$A$1500,"*"&amp;A906&amp;"*")&gt;0</f>
        <v>1</v>
      </c>
      <c r="Q906" s="181" t="b">
        <f>COUNTIF('Account Data'!$A$1:$A$1000,"*"&amp;A906&amp;"*")&gt;0</f>
        <v>1</v>
      </c>
      <c r="R906" s="182" t="b">
        <f t="shared" si="305"/>
        <v>1</v>
      </c>
      <c r="S906" s="182" t="b">
        <f t="shared" si="306"/>
        <v>1</v>
      </c>
      <c r="T906" s="181" t="b">
        <f>COUNTIF('New Items'!$A$1:$A$175,A906)&gt;0</f>
        <v>0</v>
      </c>
      <c r="U906" s="181" t="b">
        <f>COUNTIF(Discontinued!$A$1:$A$150,A906)&gt;0</f>
        <v>0</v>
      </c>
    </row>
    <row r="907" spans="1:21" s="8" customFormat="1" ht="11.25" x14ac:dyDescent="0.2">
      <c r="A907" s="152">
        <v>20028248</v>
      </c>
      <c r="B907" s="231" t="s">
        <v>1236</v>
      </c>
      <c r="C907" s="118" t="s">
        <v>1237</v>
      </c>
      <c r="D907" s="119" t="s">
        <v>3966</v>
      </c>
      <c r="E907" s="118" t="s">
        <v>3236</v>
      </c>
      <c r="F907" s="120">
        <v>12</v>
      </c>
      <c r="G907" s="121">
        <f>Overview!$B$134</f>
        <v>26</v>
      </c>
      <c r="H907" s="114">
        <f t="shared" si="301"/>
        <v>26</v>
      </c>
      <c r="I907" s="114">
        <f>Overview!$E$134</f>
        <v>0</v>
      </c>
      <c r="J907" s="115">
        <f t="shared" si="302"/>
        <v>0</v>
      </c>
      <c r="K907" s="116">
        <f>Overview!$H$134</f>
        <v>0</v>
      </c>
      <c r="L907" s="117" t="e">
        <f t="shared" si="303"/>
        <v>#DIV/0!</v>
      </c>
      <c r="M907" s="179"/>
      <c r="N907" s="179" t="s">
        <v>1260</v>
      </c>
      <c r="O907" s="141">
        <f t="shared" si="304"/>
        <v>0</v>
      </c>
      <c r="P907" s="181" t="b">
        <f>COUNTIF('Facility Data'!$A$1:$A$1500,"*"&amp;A907&amp;"*")&gt;0</f>
        <v>1</v>
      </c>
      <c r="Q907" s="181" t="b">
        <f>COUNTIF('Account Data'!$A$1:$A$1000,"*"&amp;A907&amp;"*")&gt;0</f>
        <v>0</v>
      </c>
      <c r="R907" s="182" t="b">
        <f t="shared" si="305"/>
        <v>1</v>
      </c>
      <c r="S907" s="182" t="b">
        <f t="shared" si="306"/>
        <v>0</v>
      </c>
      <c r="T907" s="181" t="b">
        <f>COUNTIF('New Items'!$A$1:$A$175,A907)&gt;0</f>
        <v>0</v>
      </c>
      <c r="U907" s="181" t="b">
        <f>COUNTIF(Discontinued!$A$1:$A$150,A907)&gt;0</f>
        <v>0</v>
      </c>
    </row>
    <row r="908" spans="1:21" s="8" customFormat="1" ht="11.25" x14ac:dyDescent="0.2">
      <c r="A908" s="152">
        <v>20028086</v>
      </c>
      <c r="B908" s="231" t="s">
        <v>3927</v>
      </c>
      <c r="C908" s="118" t="s">
        <v>1229</v>
      </c>
      <c r="D908" s="119" t="s">
        <v>3924</v>
      </c>
      <c r="E908" s="118" t="s">
        <v>3236</v>
      </c>
      <c r="F908" s="120">
        <v>12</v>
      </c>
      <c r="G908" s="121">
        <f>Overview!$B$134</f>
        <v>26</v>
      </c>
      <c r="H908" s="114">
        <f t="shared" si="301"/>
        <v>26</v>
      </c>
      <c r="I908" s="114">
        <f>Overview!$E$134</f>
        <v>0</v>
      </c>
      <c r="J908" s="115">
        <f t="shared" si="302"/>
        <v>0</v>
      </c>
      <c r="K908" s="116">
        <f>Overview!$H$134</f>
        <v>0</v>
      </c>
      <c r="L908" s="117" t="e">
        <f t="shared" si="303"/>
        <v>#DIV/0!</v>
      </c>
      <c r="M908" s="179"/>
      <c r="N908" s="179" t="s">
        <v>1260</v>
      </c>
      <c r="O908" s="141">
        <f t="shared" si="304"/>
        <v>0</v>
      </c>
      <c r="P908" s="181" t="b">
        <f>COUNTIF('Facility Data'!$A$1:$A$1500,"*"&amp;A908&amp;"*")&gt;0</f>
        <v>0</v>
      </c>
      <c r="Q908" s="181" t="b">
        <f>COUNTIF('Account Data'!$A$1:$A$1000,"*"&amp;A908&amp;"*")&gt;0</f>
        <v>1</v>
      </c>
      <c r="R908" s="182" t="b">
        <f t="shared" si="305"/>
        <v>0</v>
      </c>
      <c r="S908" s="182" t="b">
        <f t="shared" si="306"/>
        <v>1</v>
      </c>
      <c r="T908" s="181" t="b">
        <f>COUNTIF('New Items'!$A$1:$A$175,A908)&gt;0</f>
        <v>0</v>
      </c>
      <c r="U908" s="181" t="b">
        <f>COUNTIF(Discontinued!$A$1:$A$150,A908)&gt;0</f>
        <v>0</v>
      </c>
    </row>
    <row r="909" spans="1:21" s="8" customFormat="1" ht="12" thickBot="1" x14ac:dyDescent="0.25">
      <c r="A909" s="152">
        <v>20028253</v>
      </c>
      <c r="B909" s="231" t="s">
        <v>3928</v>
      </c>
      <c r="C909" s="118" t="s">
        <v>1227</v>
      </c>
      <c r="D909" s="119" t="s">
        <v>3925</v>
      </c>
      <c r="E909" s="118" t="s">
        <v>3236</v>
      </c>
      <c r="F909" s="120">
        <v>12</v>
      </c>
      <c r="G909" s="121">
        <f>Overview!$B$134</f>
        <v>26</v>
      </c>
      <c r="H909" s="114">
        <f t="shared" si="301"/>
        <v>26</v>
      </c>
      <c r="I909" s="114">
        <f>Overview!$E$134</f>
        <v>0</v>
      </c>
      <c r="J909" s="115">
        <f t="shared" si="302"/>
        <v>0</v>
      </c>
      <c r="K909" s="116">
        <f>Overview!$H$134</f>
        <v>0</v>
      </c>
      <c r="L909" s="117" t="e">
        <f t="shared" si="303"/>
        <v>#DIV/0!</v>
      </c>
      <c r="M909" s="179"/>
      <c r="N909" s="179" t="s">
        <v>1260</v>
      </c>
      <c r="O909" s="141">
        <f t="shared" si="304"/>
        <v>0</v>
      </c>
      <c r="P909" s="181" t="b">
        <f>COUNTIF('Facility Data'!$A$1:$A$1500,"*"&amp;A909&amp;"*")&gt;0</f>
        <v>1</v>
      </c>
      <c r="Q909" s="181" t="b">
        <f>COUNTIF('Account Data'!$A$1:$A$1000,"*"&amp;A909&amp;"*")&gt;0</f>
        <v>1</v>
      </c>
      <c r="R909" s="182" t="b">
        <f t="shared" si="305"/>
        <v>1</v>
      </c>
      <c r="S909" s="182" t="b">
        <f t="shared" si="306"/>
        <v>1</v>
      </c>
      <c r="T909" s="181" t="b">
        <f>COUNTIF('New Items'!$A$1:$A$175,A909)&gt;0</f>
        <v>0</v>
      </c>
      <c r="U909" s="181" t="b">
        <f>COUNTIF(Discontinued!$A$1:$A$150,A909)&gt;0</f>
        <v>0</v>
      </c>
    </row>
    <row r="910" spans="1:21" s="8" customFormat="1" ht="13.5" thickBot="1" x14ac:dyDescent="0.25">
      <c r="A910" s="300" t="s">
        <v>3929</v>
      </c>
      <c r="B910" s="301"/>
      <c r="C910" s="301"/>
      <c r="D910" s="301"/>
      <c r="E910" s="301"/>
      <c r="F910" s="301"/>
      <c r="G910" s="301"/>
      <c r="H910" s="301"/>
      <c r="I910" s="301"/>
      <c r="J910" s="301"/>
      <c r="K910" s="301"/>
      <c r="L910" s="302"/>
      <c r="M910" s="179"/>
      <c r="N910" s="179" t="s">
        <v>1259</v>
      </c>
      <c r="O910" s="141">
        <f>AVERAGE(O911:O912)</f>
        <v>0</v>
      </c>
      <c r="P910" s="181" t="b">
        <f>COUNTIF(P911:P912,TRUE)&gt;0</f>
        <v>1</v>
      </c>
      <c r="Q910" s="181" t="b">
        <f>COUNTIF(Q911:Q912,TRUE)&gt;0</f>
        <v>1</v>
      </c>
      <c r="R910" s="181" t="b">
        <f>COUNTIF(R911:R912,TRUE)&gt;0</f>
        <v>1</v>
      </c>
      <c r="S910" s="181" t="b">
        <f>COUNTIF(S911:S912,TRUE)&gt;0</f>
        <v>1</v>
      </c>
      <c r="T910" s="181" t="b">
        <f>COUNTIF(T911:T912,TRUE)&gt;0</f>
        <v>0</v>
      </c>
      <c r="U910" s="249"/>
    </row>
    <row r="911" spans="1:21" s="8" customFormat="1" ht="11.25" x14ac:dyDescent="0.2">
      <c r="A911" s="152">
        <v>20028084</v>
      </c>
      <c r="B911" s="231" t="s">
        <v>3921</v>
      </c>
      <c r="C911" s="118" t="s">
        <v>1226</v>
      </c>
      <c r="D911" s="119" t="s">
        <v>3919</v>
      </c>
      <c r="E911" s="118" t="s">
        <v>3236</v>
      </c>
      <c r="F911" s="120">
        <v>12</v>
      </c>
      <c r="G911" s="121">
        <f>Overview!$B$133</f>
        <v>26</v>
      </c>
      <c r="H911" s="114">
        <f>G911-I911</f>
        <v>26</v>
      </c>
      <c r="I911" s="114">
        <f>Overview!$E$133</f>
        <v>0</v>
      </c>
      <c r="J911" s="115">
        <f>I911/F911</f>
        <v>0</v>
      </c>
      <c r="K911" s="116">
        <f>Overview!$H$133</f>
        <v>0</v>
      </c>
      <c r="L911" s="117" t="e">
        <f>(K911-J911)/K911</f>
        <v>#DIV/0!</v>
      </c>
      <c r="M911" s="179"/>
      <c r="N911" s="179" t="s">
        <v>1259</v>
      </c>
      <c r="O911" s="141">
        <f>I911</f>
        <v>0</v>
      </c>
      <c r="P911" s="181" t="b">
        <f>COUNTIF('Facility Data'!$A$1:$A$1500,"*"&amp;A911&amp;"*")&gt;0</f>
        <v>1</v>
      </c>
      <c r="Q911" s="181" t="b">
        <f>COUNTIF('Account Data'!$A$1:$A$1000,"*"&amp;A911&amp;"*")&gt;0</f>
        <v>1</v>
      </c>
      <c r="R911" s="182" t="b">
        <f>IF(OR(P911=TRUE,T911=TRUE),TRUE,FALSE)</f>
        <v>1</v>
      </c>
      <c r="S911" s="182" t="b">
        <f>IF(OR(Q911=TRUE,T911=TRUE),TRUE,FALSE)</f>
        <v>1</v>
      </c>
      <c r="T911" s="181" t="b">
        <f>COUNTIF('New Items'!$A$1:$A$175,A911)&gt;0</f>
        <v>0</v>
      </c>
      <c r="U911" s="181" t="b">
        <f>COUNTIF(Discontinued!$A$1:$A$150,A911)&gt;0</f>
        <v>0</v>
      </c>
    </row>
    <row r="912" spans="1:21" s="8" customFormat="1" ht="12" thickBot="1" x14ac:dyDescent="0.25">
      <c r="A912" s="152">
        <v>20028085</v>
      </c>
      <c r="B912" s="231" t="s">
        <v>3922</v>
      </c>
      <c r="C912" s="118" t="s">
        <v>1227</v>
      </c>
      <c r="D912" s="119" t="s">
        <v>3920</v>
      </c>
      <c r="E912" s="118" t="s">
        <v>3236</v>
      </c>
      <c r="F912" s="120">
        <v>12</v>
      </c>
      <c r="G912" s="121">
        <f>Overview!$B$133</f>
        <v>26</v>
      </c>
      <c r="H912" s="114">
        <f>G912-I912</f>
        <v>26</v>
      </c>
      <c r="I912" s="114">
        <f>Overview!$E$133</f>
        <v>0</v>
      </c>
      <c r="J912" s="115">
        <f>I912/F912</f>
        <v>0</v>
      </c>
      <c r="K912" s="116">
        <f>Overview!$H$133</f>
        <v>0</v>
      </c>
      <c r="L912" s="117" t="e">
        <f>(K912-J912)/K912</f>
        <v>#DIV/0!</v>
      </c>
      <c r="M912" s="179"/>
      <c r="N912" s="179" t="s">
        <v>1259</v>
      </c>
      <c r="O912" s="141">
        <f>I912</f>
        <v>0</v>
      </c>
      <c r="P912" s="181" t="b">
        <f>COUNTIF('Facility Data'!$A$1:$A$1500,"*"&amp;A912&amp;"*")&gt;0</f>
        <v>1</v>
      </c>
      <c r="Q912" s="181" t="b">
        <f>COUNTIF('Account Data'!$A$1:$A$1000,"*"&amp;A912&amp;"*")&gt;0</f>
        <v>1</v>
      </c>
      <c r="R912" s="182" t="b">
        <f>IF(OR(P912=TRUE,T912=TRUE),TRUE,FALSE)</f>
        <v>1</v>
      </c>
      <c r="S912" s="182" t="b">
        <f>IF(OR(Q912=TRUE,T912=TRUE),TRUE,FALSE)</f>
        <v>1</v>
      </c>
      <c r="T912" s="181" t="b">
        <f>COUNTIF('New Items'!$A$1:$A$175,A912)&gt;0</f>
        <v>0</v>
      </c>
      <c r="U912" s="181" t="b">
        <f>COUNTIF(Discontinued!$A$1:$A$150,A912)&gt;0</f>
        <v>0</v>
      </c>
    </row>
    <row r="913" spans="1:21" s="8" customFormat="1" ht="13.5" thickBot="1" x14ac:dyDescent="0.25">
      <c r="A913" s="300" t="s">
        <v>1240</v>
      </c>
      <c r="B913" s="301"/>
      <c r="C913" s="301"/>
      <c r="D913" s="301"/>
      <c r="E913" s="301"/>
      <c r="F913" s="301"/>
      <c r="G913" s="301"/>
      <c r="H913" s="301"/>
      <c r="I913" s="301"/>
      <c r="J913" s="301"/>
      <c r="K913" s="301"/>
      <c r="L913" s="302"/>
      <c r="M913" s="179"/>
      <c r="N913" s="179" t="s">
        <v>1261</v>
      </c>
      <c r="O913" s="141">
        <f>AVERAGE(O914:O916)</f>
        <v>0</v>
      </c>
      <c r="P913" s="181" t="b">
        <f>COUNTIF(P914:P916,TRUE)&gt;0</f>
        <v>1</v>
      </c>
      <c r="Q913" s="181" t="b">
        <f>COUNTIF(Q914:Q916,TRUE)&gt;0</f>
        <v>0</v>
      </c>
      <c r="R913" s="181" t="b">
        <f>COUNTIF(R914:R916,TRUE)&gt;0</f>
        <v>1</v>
      </c>
      <c r="S913" s="181" t="b">
        <f>COUNTIF(S914:S916,TRUE)&gt;0</f>
        <v>0</v>
      </c>
      <c r="T913" s="181" t="b">
        <f>COUNTIF(T914:T916,TRUE)&gt;0</f>
        <v>0</v>
      </c>
      <c r="U913" s="249"/>
    </row>
    <row r="914" spans="1:21" s="8" customFormat="1" ht="11.25" x14ac:dyDescent="0.2">
      <c r="A914" s="152">
        <v>20028270</v>
      </c>
      <c r="B914" s="231" t="s">
        <v>3930</v>
      </c>
      <c r="C914" s="118" t="s">
        <v>1244</v>
      </c>
      <c r="D914" s="119" t="s">
        <v>1242</v>
      </c>
      <c r="E914" s="118" t="s">
        <v>785</v>
      </c>
      <c r="F914" s="120">
        <v>12</v>
      </c>
      <c r="G914" s="121">
        <f>Overview!$B$135</f>
        <v>28</v>
      </c>
      <c r="H914" s="114">
        <f>G914-I914</f>
        <v>28</v>
      </c>
      <c r="I914" s="114">
        <f>Overview!$E$135</f>
        <v>0</v>
      </c>
      <c r="J914" s="115">
        <f>I914/F914</f>
        <v>0</v>
      </c>
      <c r="K914" s="116">
        <f>Overview!$H$135</f>
        <v>0</v>
      </c>
      <c r="L914" s="117" t="e">
        <f>(K914-J914)/K914</f>
        <v>#DIV/0!</v>
      </c>
      <c r="M914" s="179"/>
      <c r="N914" s="179" t="s">
        <v>1261</v>
      </c>
      <c r="O914" s="141">
        <f>I914</f>
        <v>0</v>
      </c>
      <c r="P914" s="181" t="b">
        <f>COUNTIF('Facility Data'!$A$1:$A$1500,"*"&amp;A914&amp;"*")&gt;0</f>
        <v>1</v>
      </c>
      <c r="Q914" s="181" t="b">
        <f>COUNTIF('Account Data'!$A$1:$A$1000,"*"&amp;A914&amp;"*")&gt;0</f>
        <v>0</v>
      </c>
      <c r="R914" s="182" t="b">
        <f>IF(OR(P914=TRUE,T914=TRUE),TRUE,FALSE)</f>
        <v>1</v>
      </c>
      <c r="S914" s="182" t="b">
        <f>IF(OR(Q914=TRUE,T914=TRUE),TRUE,FALSE)</f>
        <v>0</v>
      </c>
      <c r="T914" s="181" t="b">
        <f>COUNTIF('New Items'!$A$1:$A$175,A914)&gt;0</f>
        <v>0</v>
      </c>
      <c r="U914" s="181" t="b">
        <f>COUNTIF(Discontinued!$A$1:$A$150,A914)&gt;0</f>
        <v>0</v>
      </c>
    </row>
    <row r="915" spans="1:21" s="8" customFormat="1" ht="11.25" x14ac:dyDescent="0.2">
      <c r="A915" s="152">
        <v>20028271</v>
      </c>
      <c r="B915" s="231" t="s">
        <v>3931</v>
      </c>
      <c r="C915" s="118" t="s">
        <v>1243</v>
      </c>
      <c r="D915" s="119" t="s">
        <v>1241</v>
      </c>
      <c r="E915" s="118" t="s">
        <v>785</v>
      </c>
      <c r="F915" s="120">
        <v>12</v>
      </c>
      <c r="G915" s="121">
        <f>Overview!$B$135</f>
        <v>28</v>
      </c>
      <c r="H915" s="114">
        <f>G915-I915</f>
        <v>28</v>
      </c>
      <c r="I915" s="114">
        <f>Overview!$E$135</f>
        <v>0</v>
      </c>
      <c r="J915" s="115">
        <f>I915/F915</f>
        <v>0</v>
      </c>
      <c r="K915" s="116">
        <f>Overview!$H$135</f>
        <v>0</v>
      </c>
      <c r="L915" s="117" t="e">
        <f>(K915-J915)/K915</f>
        <v>#DIV/0!</v>
      </c>
      <c r="M915" s="179"/>
      <c r="N915" s="179" t="s">
        <v>1261</v>
      </c>
      <c r="O915" s="141">
        <f>I915</f>
        <v>0</v>
      </c>
      <c r="P915" s="181" t="b">
        <f>COUNTIF('Facility Data'!$A$1:$A$1500,"*"&amp;A915&amp;"*")&gt;0</f>
        <v>1</v>
      </c>
      <c r="Q915" s="181" t="b">
        <f>COUNTIF('Account Data'!$A$1:$A$1000,"*"&amp;A915&amp;"*")&gt;0</f>
        <v>0</v>
      </c>
      <c r="R915" s="182" t="b">
        <f>IF(OR(P915=TRUE,T915=TRUE),TRUE,FALSE)</f>
        <v>1</v>
      </c>
      <c r="S915" s="182" t="b">
        <f>IF(OR(Q915=TRUE,T915=TRUE),TRUE,FALSE)</f>
        <v>0</v>
      </c>
      <c r="T915" s="181" t="b">
        <f>COUNTIF('New Items'!$A$1:$A$175,A915)&gt;0</f>
        <v>0</v>
      </c>
      <c r="U915" s="181" t="b">
        <f>COUNTIF(Discontinued!$A$1:$A$150,A915)&gt;0</f>
        <v>0</v>
      </c>
    </row>
    <row r="916" spans="1:21" s="8" customFormat="1" ht="12" thickBot="1" x14ac:dyDescent="0.25">
      <c r="A916" s="152">
        <v>20028269</v>
      </c>
      <c r="B916" s="231" t="s">
        <v>3932</v>
      </c>
      <c r="C916" s="118" t="s">
        <v>1245</v>
      </c>
      <c r="D916" s="119" t="s">
        <v>1038</v>
      </c>
      <c r="E916" s="118" t="s">
        <v>785</v>
      </c>
      <c r="F916" s="120">
        <v>12</v>
      </c>
      <c r="G916" s="121">
        <f>Overview!$B$135</f>
        <v>28</v>
      </c>
      <c r="H916" s="114">
        <f>G916-I916</f>
        <v>28</v>
      </c>
      <c r="I916" s="114">
        <f>Overview!$E$135</f>
        <v>0</v>
      </c>
      <c r="J916" s="115">
        <f>I916/F916</f>
        <v>0</v>
      </c>
      <c r="K916" s="116">
        <f>Overview!$H$135</f>
        <v>0</v>
      </c>
      <c r="L916" s="117" t="e">
        <f>(K916-J916)/K916</f>
        <v>#DIV/0!</v>
      </c>
      <c r="M916" s="179"/>
      <c r="N916" s="179" t="s">
        <v>1261</v>
      </c>
      <c r="O916" s="141">
        <f>I916</f>
        <v>0</v>
      </c>
      <c r="P916" s="181" t="b">
        <f>COUNTIF('Facility Data'!$A$1:$A$1500,"*"&amp;A916&amp;"*")&gt;0</f>
        <v>1</v>
      </c>
      <c r="Q916" s="181" t="b">
        <f>COUNTIF('Account Data'!$A$1:$A$1000,"*"&amp;A916&amp;"*")&gt;0</f>
        <v>0</v>
      </c>
      <c r="R916" s="182" t="b">
        <f>IF(OR(P916=TRUE,T916=TRUE),TRUE,FALSE)</f>
        <v>1</v>
      </c>
      <c r="S916" s="182" t="b">
        <f>IF(OR(Q916=TRUE,T916=TRUE),TRUE,FALSE)</f>
        <v>0</v>
      </c>
      <c r="T916" s="181" t="b">
        <f>COUNTIF('New Items'!$A$1:$A$175,A916)&gt;0</f>
        <v>0</v>
      </c>
      <c r="U916" s="181" t="b">
        <f>COUNTIF(Discontinued!$A$1:$A$150,A916)&gt;0</f>
        <v>0</v>
      </c>
    </row>
    <row r="917" spans="1:21" s="8" customFormat="1" ht="13.5" thickBot="1" x14ac:dyDescent="0.25">
      <c r="A917" s="300" t="s">
        <v>512</v>
      </c>
      <c r="B917" s="301"/>
      <c r="C917" s="301"/>
      <c r="D917" s="301"/>
      <c r="E917" s="301"/>
      <c r="F917" s="301"/>
      <c r="G917" s="301"/>
      <c r="H917" s="301"/>
      <c r="I917" s="301"/>
      <c r="J917" s="301"/>
      <c r="K917" s="301"/>
      <c r="L917" s="302"/>
      <c r="M917" s="179"/>
      <c r="N917" s="179" t="s">
        <v>986</v>
      </c>
      <c r="O917" s="141">
        <f>AVERAGE(O918:O924)</f>
        <v>0</v>
      </c>
      <c r="P917" s="181" t="b">
        <f>COUNTIF(P918:P924,TRUE)&gt;0</f>
        <v>1</v>
      </c>
      <c r="Q917" s="181" t="b">
        <f>COUNTIF(Q918:Q924,TRUE)&gt;0</f>
        <v>1</v>
      </c>
      <c r="R917" s="181" t="b">
        <f>COUNTIF(R918:R924,TRUE)&gt;0</f>
        <v>1</v>
      </c>
      <c r="S917" s="181" t="b">
        <f>COUNTIF(S918:S924,TRUE)&gt;0</f>
        <v>1</v>
      </c>
      <c r="T917" s="181" t="b">
        <f>COUNTIF(T918:T924,TRUE)&gt;0</f>
        <v>0</v>
      </c>
      <c r="U917" s="249"/>
    </row>
    <row r="918" spans="1:21" s="8" customFormat="1" ht="11.25" x14ac:dyDescent="0.2">
      <c r="A918" s="152">
        <v>20023321</v>
      </c>
      <c r="B918" s="10" t="s">
        <v>521</v>
      </c>
      <c r="C918" s="14" t="s">
        <v>522</v>
      </c>
      <c r="D918" s="11" t="s">
        <v>736</v>
      </c>
      <c r="E918" s="14" t="s">
        <v>786</v>
      </c>
      <c r="F918" s="13">
        <v>12</v>
      </c>
      <c r="G918" s="22">
        <f>Overview!$B$129</f>
        <v>26</v>
      </c>
      <c r="H918" s="23">
        <f t="shared" ref="H918:H924" si="307">G918-I918</f>
        <v>26</v>
      </c>
      <c r="I918" s="114">
        <f>Overview!$E$129</f>
        <v>0</v>
      </c>
      <c r="J918" s="24">
        <f t="shared" ref="J918:J924" si="308">I918/F918</f>
        <v>0</v>
      </c>
      <c r="K918" s="116">
        <f>Overview!$H$129</f>
        <v>0</v>
      </c>
      <c r="L918" s="51" t="e">
        <f t="shared" ref="L918:L924" si="309">(K918-J918)/K918</f>
        <v>#DIV/0!</v>
      </c>
      <c r="M918" s="179"/>
      <c r="N918" s="179" t="s">
        <v>986</v>
      </c>
      <c r="O918" s="141">
        <f t="shared" ref="O918:O924" si="310">I918</f>
        <v>0</v>
      </c>
      <c r="P918" s="181" t="b">
        <f>COUNTIF('Facility Data'!$A$1:$A$1500,"*"&amp;A918&amp;"*")&gt;0</f>
        <v>1</v>
      </c>
      <c r="Q918" s="181" t="b">
        <f>COUNTIF('Account Data'!$A$1:$A$1000,"*"&amp;A918&amp;"*")&gt;0</f>
        <v>1</v>
      </c>
      <c r="R918" s="182" t="b">
        <f t="shared" ref="R918:R924" si="311">IF(OR(P918=TRUE,T918=TRUE),TRUE,FALSE)</f>
        <v>1</v>
      </c>
      <c r="S918" s="182" t="b">
        <f t="shared" ref="S918:S924" si="312">IF(OR(Q918=TRUE,T918=TRUE),TRUE,FALSE)</f>
        <v>1</v>
      </c>
      <c r="T918" s="181" t="b">
        <f>COUNTIF('New Items'!$A$1:$A$175,A918)&gt;0</f>
        <v>0</v>
      </c>
      <c r="U918" s="181" t="b">
        <f>COUNTIF(Discontinued!$A$1:$A$150,A918)&gt;0</f>
        <v>0</v>
      </c>
    </row>
    <row r="919" spans="1:21" s="8" customFormat="1" ht="11.25" x14ac:dyDescent="0.2">
      <c r="A919" s="152">
        <v>20025475</v>
      </c>
      <c r="B919" s="10" t="s">
        <v>523</v>
      </c>
      <c r="C919" s="14" t="s">
        <v>524</v>
      </c>
      <c r="D919" s="11" t="s">
        <v>737</v>
      </c>
      <c r="E919" s="14" t="s">
        <v>786</v>
      </c>
      <c r="F919" s="13">
        <v>12</v>
      </c>
      <c r="G919" s="22">
        <f>Overview!$B$129</f>
        <v>26</v>
      </c>
      <c r="H919" s="23">
        <f t="shared" si="307"/>
        <v>26</v>
      </c>
      <c r="I919" s="114">
        <f>Overview!$E$129</f>
        <v>0</v>
      </c>
      <c r="J919" s="24">
        <f t="shared" si="308"/>
        <v>0</v>
      </c>
      <c r="K919" s="116">
        <f>Overview!$H$129</f>
        <v>0</v>
      </c>
      <c r="L919" s="51" t="e">
        <f t="shared" si="309"/>
        <v>#DIV/0!</v>
      </c>
      <c r="M919" s="179"/>
      <c r="N919" s="179" t="s">
        <v>986</v>
      </c>
      <c r="O919" s="141">
        <f t="shared" si="310"/>
        <v>0</v>
      </c>
      <c r="P919" s="181" t="b">
        <f>COUNTIF('Facility Data'!$A$1:$A$1500,"*"&amp;A919&amp;"*")&gt;0</f>
        <v>1</v>
      </c>
      <c r="Q919" s="181" t="b">
        <f>COUNTIF('Account Data'!$A$1:$A$1000,"*"&amp;A919&amp;"*")&gt;0</f>
        <v>1</v>
      </c>
      <c r="R919" s="182" t="b">
        <f t="shared" si="311"/>
        <v>1</v>
      </c>
      <c r="S919" s="182" t="b">
        <f t="shared" si="312"/>
        <v>1</v>
      </c>
      <c r="T919" s="181" t="b">
        <f>COUNTIF('New Items'!$A$1:$A$175,A919)&gt;0</f>
        <v>0</v>
      </c>
      <c r="U919" s="181" t="b">
        <f>COUNTIF(Discontinued!$A$1:$A$150,A919)&gt;0</f>
        <v>0</v>
      </c>
    </row>
    <row r="920" spans="1:21" s="8" customFormat="1" ht="11.25" x14ac:dyDescent="0.2">
      <c r="A920" s="152">
        <v>20023317</v>
      </c>
      <c r="B920" s="10" t="s">
        <v>519</v>
      </c>
      <c r="C920" s="14" t="s">
        <v>520</v>
      </c>
      <c r="D920" s="11" t="s">
        <v>735</v>
      </c>
      <c r="E920" s="14" t="s">
        <v>786</v>
      </c>
      <c r="F920" s="13">
        <v>12</v>
      </c>
      <c r="G920" s="22">
        <f>Overview!$B$129</f>
        <v>26</v>
      </c>
      <c r="H920" s="23">
        <f t="shared" si="307"/>
        <v>26</v>
      </c>
      <c r="I920" s="114">
        <f>Overview!$E$129</f>
        <v>0</v>
      </c>
      <c r="J920" s="24">
        <f t="shared" si="308"/>
        <v>0</v>
      </c>
      <c r="K920" s="116">
        <f>Overview!$H$129</f>
        <v>0</v>
      </c>
      <c r="L920" s="51" t="e">
        <f t="shared" si="309"/>
        <v>#DIV/0!</v>
      </c>
      <c r="M920" s="179"/>
      <c r="N920" s="179" t="s">
        <v>986</v>
      </c>
      <c r="O920" s="141">
        <f t="shared" si="310"/>
        <v>0</v>
      </c>
      <c r="P920" s="181" t="b">
        <f>COUNTIF('Facility Data'!$A$1:$A$1500,"*"&amp;A920&amp;"*")&gt;0</f>
        <v>1</v>
      </c>
      <c r="Q920" s="181" t="b">
        <f>COUNTIF('Account Data'!$A$1:$A$1000,"*"&amp;A920&amp;"*")&gt;0</f>
        <v>1</v>
      </c>
      <c r="R920" s="182" t="b">
        <f t="shared" si="311"/>
        <v>1</v>
      </c>
      <c r="S920" s="182" t="b">
        <f t="shared" si="312"/>
        <v>1</v>
      </c>
      <c r="T920" s="181" t="b">
        <f>COUNTIF('New Items'!$A$1:$A$175,A920)&gt;0</f>
        <v>0</v>
      </c>
      <c r="U920" s="181" t="b">
        <f>COUNTIF(Discontinued!$A$1:$A$150,A920)&gt;0</f>
        <v>0</v>
      </c>
    </row>
    <row r="921" spans="1:21" s="8" customFormat="1" ht="11.25" x14ac:dyDescent="0.2">
      <c r="A921" s="152">
        <v>20023318</v>
      </c>
      <c r="B921" s="10" t="s">
        <v>513</v>
      </c>
      <c r="C921" s="14" t="s">
        <v>514</v>
      </c>
      <c r="D921" s="11" t="s">
        <v>732</v>
      </c>
      <c r="E921" s="14" t="s">
        <v>786</v>
      </c>
      <c r="F921" s="13">
        <v>12</v>
      </c>
      <c r="G921" s="22">
        <f>Overview!$B$129</f>
        <v>26</v>
      </c>
      <c r="H921" s="23">
        <f t="shared" si="307"/>
        <v>26</v>
      </c>
      <c r="I921" s="114">
        <f>Overview!$E$129</f>
        <v>0</v>
      </c>
      <c r="J921" s="24">
        <f t="shared" si="308"/>
        <v>0</v>
      </c>
      <c r="K921" s="116">
        <f>Overview!$H$129</f>
        <v>0</v>
      </c>
      <c r="L921" s="51" t="e">
        <f t="shared" si="309"/>
        <v>#DIV/0!</v>
      </c>
      <c r="M921" s="179"/>
      <c r="N921" s="179" t="s">
        <v>986</v>
      </c>
      <c r="O921" s="141">
        <f t="shared" si="310"/>
        <v>0</v>
      </c>
      <c r="P921" s="181" t="b">
        <f>COUNTIF('Facility Data'!$A$1:$A$1500,"*"&amp;A921&amp;"*")&gt;0</f>
        <v>1</v>
      </c>
      <c r="Q921" s="181" t="b">
        <f>COUNTIF('Account Data'!$A$1:$A$1000,"*"&amp;A921&amp;"*")&gt;0</f>
        <v>1</v>
      </c>
      <c r="R921" s="182" t="b">
        <f t="shared" si="311"/>
        <v>1</v>
      </c>
      <c r="S921" s="182" t="b">
        <f t="shared" si="312"/>
        <v>1</v>
      </c>
      <c r="T921" s="181" t="b">
        <f>COUNTIF('New Items'!$A$1:$A$175,A921)&gt;0</f>
        <v>0</v>
      </c>
      <c r="U921" s="181" t="b">
        <f>COUNTIF(Discontinued!$A$1:$A$150,A921)&gt;0</f>
        <v>0</v>
      </c>
    </row>
    <row r="922" spans="1:21" s="8" customFormat="1" ht="11.25" x14ac:dyDescent="0.2">
      <c r="A922" s="152">
        <v>20023319</v>
      </c>
      <c r="B922" s="10" t="s">
        <v>515</v>
      </c>
      <c r="C922" s="14" t="s">
        <v>516</v>
      </c>
      <c r="D922" s="11" t="s">
        <v>733</v>
      </c>
      <c r="E922" s="14" t="s">
        <v>786</v>
      </c>
      <c r="F922" s="13">
        <v>12</v>
      </c>
      <c r="G922" s="22">
        <f>Overview!$B$129</f>
        <v>26</v>
      </c>
      <c r="H922" s="23">
        <f t="shared" si="307"/>
        <v>26</v>
      </c>
      <c r="I922" s="114">
        <f>Overview!$E$129</f>
        <v>0</v>
      </c>
      <c r="J922" s="24">
        <f t="shared" si="308"/>
        <v>0</v>
      </c>
      <c r="K922" s="116">
        <f>Overview!$H$129</f>
        <v>0</v>
      </c>
      <c r="L922" s="51" t="e">
        <f t="shared" si="309"/>
        <v>#DIV/0!</v>
      </c>
      <c r="M922" s="179"/>
      <c r="N922" s="179" t="s">
        <v>986</v>
      </c>
      <c r="O922" s="141">
        <f t="shared" si="310"/>
        <v>0</v>
      </c>
      <c r="P922" s="181" t="b">
        <f>COUNTIF('Facility Data'!$A$1:$A$1500,"*"&amp;A922&amp;"*")&gt;0</f>
        <v>1</v>
      </c>
      <c r="Q922" s="181" t="b">
        <f>COUNTIF('Account Data'!$A$1:$A$1000,"*"&amp;A922&amp;"*")&gt;0</f>
        <v>1</v>
      </c>
      <c r="R922" s="182" t="b">
        <f t="shared" si="311"/>
        <v>1</v>
      </c>
      <c r="S922" s="182" t="b">
        <f t="shared" si="312"/>
        <v>1</v>
      </c>
      <c r="T922" s="181" t="b">
        <f>COUNTIF('New Items'!$A$1:$A$175,A922)&gt;0</f>
        <v>0</v>
      </c>
      <c r="U922" s="181" t="b">
        <f>COUNTIF(Discontinued!$A$1:$A$150,A922)&gt;0</f>
        <v>0</v>
      </c>
    </row>
    <row r="923" spans="1:21" s="8" customFormat="1" ht="11.25" x14ac:dyDescent="0.2">
      <c r="A923" s="152">
        <v>20028238</v>
      </c>
      <c r="B923" s="10" t="s">
        <v>3857</v>
      </c>
      <c r="C923" s="14" t="s">
        <v>3858</v>
      </c>
      <c r="D923" s="11" t="s">
        <v>3917</v>
      </c>
      <c r="E923" s="14" t="s">
        <v>786</v>
      </c>
      <c r="F923" s="13">
        <v>12</v>
      </c>
      <c r="G923" s="22">
        <f>Overview!$B$129</f>
        <v>26</v>
      </c>
      <c r="H923" s="23">
        <f t="shared" si="307"/>
        <v>26</v>
      </c>
      <c r="I923" s="114">
        <f>Overview!$E$129</f>
        <v>0</v>
      </c>
      <c r="J923" s="24">
        <f t="shared" si="308"/>
        <v>0</v>
      </c>
      <c r="K923" s="116">
        <f>Overview!$H$129</f>
        <v>0</v>
      </c>
      <c r="L923" s="51" t="e">
        <f t="shared" si="309"/>
        <v>#DIV/0!</v>
      </c>
      <c r="M923" s="179"/>
      <c r="N923" s="179" t="s">
        <v>986</v>
      </c>
      <c r="O923" s="141">
        <f t="shared" si="310"/>
        <v>0</v>
      </c>
      <c r="P923" s="181" t="b">
        <f>COUNTIF('Facility Data'!$A$1:$A$1500,"*"&amp;A923&amp;"*")&gt;0</f>
        <v>0</v>
      </c>
      <c r="Q923" s="181" t="b">
        <f>COUNTIF('Account Data'!$A$1:$A$1000,"*"&amp;A923&amp;"*")&gt;0</f>
        <v>0</v>
      </c>
      <c r="R923" s="182" t="b">
        <f t="shared" si="311"/>
        <v>0</v>
      </c>
      <c r="S923" s="182" t="b">
        <f t="shared" si="312"/>
        <v>0</v>
      </c>
      <c r="T923" s="181" t="b">
        <f>COUNTIF('New Items'!$A$1:$A$175,A923)&gt;0</f>
        <v>0</v>
      </c>
      <c r="U923" s="181" t="b">
        <f>COUNTIF(Discontinued!$A$1:$A$150,A923)&gt;0</f>
        <v>0</v>
      </c>
    </row>
    <row r="924" spans="1:21" s="8" customFormat="1" ht="12" thickBot="1" x14ac:dyDescent="0.25">
      <c r="A924" s="152">
        <v>20023320</v>
      </c>
      <c r="B924" s="10" t="s">
        <v>517</v>
      </c>
      <c r="C924" s="14" t="s">
        <v>518</v>
      </c>
      <c r="D924" s="11" t="s">
        <v>734</v>
      </c>
      <c r="E924" s="14" t="s">
        <v>786</v>
      </c>
      <c r="F924" s="13">
        <v>12</v>
      </c>
      <c r="G924" s="22">
        <f>Overview!$B$129</f>
        <v>26</v>
      </c>
      <c r="H924" s="23">
        <f t="shared" si="307"/>
        <v>26</v>
      </c>
      <c r="I924" s="114">
        <f>Overview!$E$129</f>
        <v>0</v>
      </c>
      <c r="J924" s="24">
        <f t="shared" si="308"/>
        <v>0</v>
      </c>
      <c r="K924" s="116">
        <f>Overview!$H$129</f>
        <v>0</v>
      </c>
      <c r="L924" s="51" t="e">
        <f t="shared" si="309"/>
        <v>#DIV/0!</v>
      </c>
      <c r="M924" s="179"/>
      <c r="N924" s="179" t="s">
        <v>986</v>
      </c>
      <c r="O924" s="141">
        <f t="shared" si="310"/>
        <v>0</v>
      </c>
      <c r="P924" s="181" t="b">
        <f>COUNTIF('Facility Data'!$A$1:$A$1500,"*"&amp;A924&amp;"*")&gt;0</f>
        <v>1</v>
      </c>
      <c r="Q924" s="181" t="b">
        <f>COUNTIF('Account Data'!$A$1:$A$1000,"*"&amp;A924&amp;"*")&gt;0</f>
        <v>1</v>
      </c>
      <c r="R924" s="182" t="b">
        <f t="shared" si="311"/>
        <v>1</v>
      </c>
      <c r="S924" s="182" t="b">
        <f t="shared" si="312"/>
        <v>1</v>
      </c>
      <c r="T924" s="181" t="b">
        <f>COUNTIF('New Items'!$A$1:$A$175,A924)&gt;0</f>
        <v>0</v>
      </c>
      <c r="U924" s="181" t="b">
        <f>COUNTIF(Discontinued!$A$1:$A$150,A924)&gt;0</f>
        <v>0</v>
      </c>
    </row>
    <row r="925" spans="1:21" s="8" customFormat="1" ht="13.5" thickBot="1" x14ac:dyDescent="0.25">
      <c r="A925" s="300" t="s">
        <v>549</v>
      </c>
      <c r="B925" s="301"/>
      <c r="C925" s="301"/>
      <c r="D925" s="301"/>
      <c r="E925" s="301"/>
      <c r="F925" s="301"/>
      <c r="G925" s="301"/>
      <c r="H925" s="301"/>
      <c r="I925" s="301"/>
      <c r="J925" s="301"/>
      <c r="K925" s="301"/>
      <c r="L925" s="302"/>
      <c r="M925" s="179"/>
      <c r="N925" s="179" t="s">
        <v>987</v>
      </c>
      <c r="O925" s="141">
        <f>AVERAGE(O926:O928)</f>
        <v>0</v>
      </c>
      <c r="P925" s="181" t="b">
        <f>COUNTIF(P926:P928,TRUE)&gt;0</f>
        <v>1</v>
      </c>
      <c r="Q925" s="181" t="b">
        <f>COUNTIF(Q926:Q928,TRUE)&gt;0</f>
        <v>0</v>
      </c>
      <c r="R925" s="181" t="b">
        <f>COUNTIF(R926:R928,TRUE)&gt;0</f>
        <v>1</v>
      </c>
      <c r="S925" s="181" t="b">
        <f>COUNTIF(S926:S928,TRUE)&gt;0</f>
        <v>0</v>
      </c>
      <c r="T925" s="181" t="b">
        <f>COUNTIF(T926:T928,TRUE)&gt;0</f>
        <v>0</v>
      </c>
      <c r="U925" s="249"/>
    </row>
    <row r="926" spans="1:21" s="8" customFormat="1" ht="11.25" x14ac:dyDescent="0.2">
      <c r="A926" s="152">
        <v>20023309</v>
      </c>
      <c r="B926" s="10" t="s">
        <v>527</v>
      </c>
      <c r="C926" s="14" t="s">
        <v>530</v>
      </c>
      <c r="D926" s="11" t="s">
        <v>736</v>
      </c>
      <c r="E926" s="14" t="s">
        <v>786</v>
      </c>
      <c r="F926" s="13">
        <v>6</v>
      </c>
      <c r="G926" s="22">
        <f>Overview!$B$130</f>
        <v>48</v>
      </c>
      <c r="H926" s="23">
        <f>G926-I926</f>
        <v>48</v>
      </c>
      <c r="I926" s="114">
        <f>Overview!$E$130</f>
        <v>0</v>
      </c>
      <c r="J926" s="24">
        <f>I926/F926</f>
        <v>0</v>
      </c>
      <c r="K926" s="116">
        <f>Overview!$H$130</f>
        <v>0</v>
      </c>
      <c r="L926" s="51" t="e">
        <f>(K926-J926)/K926</f>
        <v>#DIV/0!</v>
      </c>
      <c r="M926" s="179"/>
      <c r="N926" s="179" t="s">
        <v>987</v>
      </c>
      <c r="O926" s="141">
        <f>I926</f>
        <v>0</v>
      </c>
      <c r="P926" s="181" t="b">
        <f>COUNTIF('Facility Data'!$A$1:$A$1500,"*"&amp;A926&amp;"*")&gt;0</f>
        <v>0</v>
      </c>
      <c r="Q926" s="181" t="b">
        <f>COUNTIF('Account Data'!$A$1:$A$1000,"*"&amp;A926&amp;"*")&gt;0</f>
        <v>0</v>
      </c>
      <c r="R926" s="182" t="b">
        <f>IF(OR(P926=TRUE,T926=TRUE),TRUE,FALSE)</f>
        <v>0</v>
      </c>
      <c r="S926" s="182" t="b">
        <f>IF(OR(Q926=TRUE,T926=TRUE),TRUE,FALSE)</f>
        <v>0</v>
      </c>
      <c r="T926" s="181" t="b">
        <f>COUNTIF('New Items'!$A$1:$A$175,A926)&gt;0</f>
        <v>0</v>
      </c>
      <c r="U926" s="181" t="b">
        <f>COUNTIF(Discontinued!$A$1:$A$150,A926)&gt;0</f>
        <v>0</v>
      </c>
    </row>
    <row r="927" spans="1:21" s="8" customFormat="1" ht="11.25" x14ac:dyDescent="0.2">
      <c r="A927" s="152">
        <v>20023308</v>
      </c>
      <c r="B927" s="10" t="s">
        <v>525</v>
      </c>
      <c r="C927" s="14" t="s">
        <v>528</v>
      </c>
      <c r="D927" s="11" t="s">
        <v>732</v>
      </c>
      <c r="E927" s="14" t="s">
        <v>786</v>
      </c>
      <c r="F927" s="13">
        <v>6</v>
      </c>
      <c r="G927" s="22">
        <f>Overview!$B$130</f>
        <v>48</v>
      </c>
      <c r="H927" s="23">
        <f>G927-I927</f>
        <v>48</v>
      </c>
      <c r="I927" s="114">
        <f>Overview!$E$130</f>
        <v>0</v>
      </c>
      <c r="J927" s="24">
        <f>I927/F927</f>
        <v>0</v>
      </c>
      <c r="K927" s="116">
        <f>Overview!$H$130</f>
        <v>0</v>
      </c>
      <c r="L927" s="51" t="e">
        <f>(K927-J927)/K927</f>
        <v>#DIV/0!</v>
      </c>
      <c r="M927" s="179"/>
      <c r="N927" s="179" t="s">
        <v>987</v>
      </c>
      <c r="O927" s="141">
        <f>I927</f>
        <v>0</v>
      </c>
      <c r="P927" s="181" t="b">
        <f>COUNTIF('Facility Data'!$A$1:$A$1500,"*"&amp;A927&amp;"*")&gt;0</f>
        <v>1</v>
      </c>
      <c r="Q927" s="181" t="b">
        <f>COUNTIF('Account Data'!$A$1:$A$1000,"*"&amp;A927&amp;"*")&gt;0</f>
        <v>0</v>
      </c>
      <c r="R927" s="182" t="b">
        <f>IF(OR(P927=TRUE,T927=TRUE),TRUE,FALSE)</f>
        <v>1</v>
      </c>
      <c r="S927" s="182" t="b">
        <f>IF(OR(Q927=TRUE,T927=TRUE),TRUE,FALSE)</f>
        <v>0</v>
      </c>
      <c r="T927" s="181" t="b">
        <f>COUNTIF('New Items'!$A$1:$A$175,A927)&gt;0</f>
        <v>0</v>
      </c>
      <c r="U927" s="181" t="b">
        <f>COUNTIF(Discontinued!$A$1:$A$150,A927)&gt;0</f>
        <v>0</v>
      </c>
    </row>
    <row r="928" spans="1:21" s="8" customFormat="1" ht="12" thickBot="1" x14ac:dyDescent="0.25">
      <c r="A928" s="152">
        <v>20023307</v>
      </c>
      <c r="B928" s="10" t="s">
        <v>526</v>
      </c>
      <c r="C928" s="14" t="s">
        <v>529</v>
      </c>
      <c r="D928" s="11" t="s">
        <v>733</v>
      </c>
      <c r="E928" s="14" t="s">
        <v>786</v>
      </c>
      <c r="F928" s="13">
        <v>6</v>
      </c>
      <c r="G928" s="22">
        <f>Overview!$B$130</f>
        <v>48</v>
      </c>
      <c r="H928" s="23">
        <f>G928-I928</f>
        <v>48</v>
      </c>
      <c r="I928" s="114">
        <f>Overview!$E$130</f>
        <v>0</v>
      </c>
      <c r="J928" s="24">
        <f>I928/F928</f>
        <v>0</v>
      </c>
      <c r="K928" s="116">
        <f>Overview!$H$130</f>
        <v>0</v>
      </c>
      <c r="L928" s="51" t="e">
        <f>(K928-J928)/K928</f>
        <v>#DIV/0!</v>
      </c>
      <c r="M928" s="179"/>
      <c r="N928" s="179" t="s">
        <v>987</v>
      </c>
      <c r="O928" s="141">
        <f>I928</f>
        <v>0</v>
      </c>
      <c r="P928" s="181" t="b">
        <f>COUNTIF('Facility Data'!$A$1:$A$1500,"*"&amp;A928&amp;"*")&gt;0</f>
        <v>1</v>
      </c>
      <c r="Q928" s="181" t="b">
        <f>COUNTIF('Account Data'!$A$1:$A$1000,"*"&amp;A928&amp;"*")&gt;0</f>
        <v>0</v>
      </c>
      <c r="R928" s="182" t="b">
        <f>IF(OR(P928=TRUE,T928=TRUE),TRUE,FALSE)</f>
        <v>1</v>
      </c>
      <c r="S928" s="182" t="b">
        <f>IF(OR(Q928=TRUE,T928=TRUE),TRUE,FALSE)</f>
        <v>0</v>
      </c>
      <c r="T928" s="181" t="b">
        <f>COUNTIF('New Items'!$A$1:$A$175,A928)&gt;0</f>
        <v>0</v>
      </c>
      <c r="U928" s="181" t="b">
        <f>COUNTIF(Discontinued!$A$1:$A$150,A928)&gt;0</f>
        <v>0</v>
      </c>
    </row>
    <row r="929" spans="1:21" s="8" customFormat="1" ht="13.5" thickBot="1" x14ac:dyDescent="0.25">
      <c r="A929" s="300" t="s">
        <v>1219</v>
      </c>
      <c r="B929" s="301"/>
      <c r="C929" s="301"/>
      <c r="D929" s="301"/>
      <c r="E929" s="301"/>
      <c r="F929" s="301"/>
      <c r="G929" s="301"/>
      <c r="H929" s="301"/>
      <c r="I929" s="301"/>
      <c r="J929" s="301"/>
      <c r="K929" s="301"/>
      <c r="L929" s="302"/>
      <c r="M929" s="179"/>
      <c r="N929" s="179" t="s">
        <v>1263</v>
      </c>
      <c r="O929" s="141">
        <f>AVERAGE(O930:O932)</f>
        <v>0</v>
      </c>
      <c r="P929" s="181" t="b">
        <f>COUNTIF(P930:P932,TRUE)&gt;0</f>
        <v>0</v>
      </c>
      <c r="Q929" s="181" t="b">
        <f>COUNTIF(Q930:Q932,TRUE)&gt;0</f>
        <v>0</v>
      </c>
      <c r="R929" s="181" t="b">
        <f>COUNTIF(R930:R932,TRUE)&gt;0</f>
        <v>0</v>
      </c>
      <c r="S929" s="181" t="b">
        <f>COUNTIF(S930:S932,TRUE)&gt;0</f>
        <v>0</v>
      </c>
      <c r="T929" s="181" t="b">
        <f>COUNTIF(T930:T932,TRUE)&gt;0</f>
        <v>0</v>
      </c>
      <c r="U929" s="249"/>
    </row>
    <row r="930" spans="1:21" s="8" customFormat="1" ht="11.25" x14ac:dyDescent="0.2">
      <c r="A930" s="152">
        <v>20029227</v>
      </c>
      <c r="B930" s="231" t="s">
        <v>3697</v>
      </c>
      <c r="C930" s="124" t="s">
        <v>1220</v>
      </c>
      <c r="D930" s="119" t="s">
        <v>1221</v>
      </c>
      <c r="E930" s="124" t="s">
        <v>769</v>
      </c>
      <c r="F930" s="120">
        <v>12</v>
      </c>
      <c r="G930" s="121">
        <f>Overview!$B$132</f>
        <v>30</v>
      </c>
      <c r="H930" s="114">
        <f>G930-I930</f>
        <v>30</v>
      </c>
      <c r="I930" s="114">
        <f>Overview!$E$132</f>
        <v>0</v>
      </c>
      <c r="J930" s="115">
        <f>I930/F930</f>
        <v>0</v>
      </c>
      <c r="K930" s="116">
        <f>Overview!$H$132</f>
        <v>0</v>
      </c>
      <c r="L930" s="117" t="e">
        <f>(K930-J930)/K930</f>
        <v>#DIV/0!</v>
      </c>
      <c r="M930" s="179"/>
      <c r="N930" s="179" t="s">
        <v>1263</v>
      </c>
      <c r="O930" s="141">
        <f>I930</f>
        <v>0</v>
      </c>
      <c r="P930" s="181" t="b">
        <f>COUNTIF('Facility Data'!$A$1:$A$1500,"*"&amp;A930&amp;"*")&gt;0</f>
        <v>0</v>
      </c>
      <c r="Q930" s="181" t="b">
        <f>COUNTIF('Account Data'!$A$1:$A$1000,"*"&amp;A930&amp;"*")&gt;0</f>
        <v>0</v>
      </c>
      <c r="R930" s="182" t="b">
        <f>IF(OR(P930=TRUE,T930=TRUE),TRUE,FALSE)</f>
        <v>0</v>
      </c>
      <c r="S930" s="182" t="b">
        <f>IF(OR(Q930=TRUE,T930=TRUE),TRUE,FALSE)</f>
        <v>0</v>
      </c>
      <c r="T930" s="181" t="b">
        <f>COUNTIF('New Items'!$A$1:$A$175,A930)&gt;0</f>
        <v>0</v>
      </c>
      <c r="U930" s="181" t="b">
        <f>COUNTIF(Discontinued!$A$1:$A$150,A930)&gt;0</f>
        <v>0</v>
      </c>
    </row>
    <row r="931" spans="1:21" s="8" customFormat="1" ht="11.25" x14ac:dyDescent="0.2">
      <c r="A931" s="152">
        <v>20029229</v>
      </c>
      <c r="B931" s="231" t="s">
        <v>3699</v>
      </c>
      <c r="C931" s="124" t="s">
        <v>1223</v>
      </c>
      <c r="D931" s="119" t="s">
        <v>3700</v>
      </c>
      <c r="E931" s="124" t="s">
        <v>769</v>
      </c>
      <c r="F931" s="120">
        <v>12</v>
      </c>
      <c r="G931" s="121">
        <f>Overview!$B$132</f>
        <v>30</v>
      </c>
      <c r="H931" s="114">
        <f>G931-I931</f>
        <v>30</v>
      </c>
      <c r="I931" s="114">
        <f>Overview!$E$132</f>
        <v>0</v>
      </c>
      <c r="J931" s="115">
        <f>I931/F931</f>
        <v>0</v>
      </c>
      <c r="K931" s="116">
        <f>Overview!$H$132</f>
        <v>0</v>
      </c>
      <c r="L931" s="117" t="e">
        <f>(K931-J931)/K931</f>
        <v>#DIV/0!</v>
      </c>
      <c r="M931" s="179"/>
      <c r="N931" s="179" t="s">
        <v>1263</v>
      </c>
      <c r="O931" s="141">
        <f>I931</f>
        <v>0</v>
      </c>
      <c r="P931" s="181" t="b">
        <f>COUNTIF('Facility Data'!$A$1:$A$1500,"*"&amp;A931&amp;"*")&gt;0</f>
        <v>0</v>
      </c>
      <c r="Q931" s="181" t="b">
        <f>COUNTIF('Account Data'!$A$1:$A$1000,"*"&amp;A931&amp;"*")&gt;0</f>
        <v>0</v>
      </c>
      <c r="R931" s="182" t="b">
        <f>IF(OR(P931=TRUE,T931=TRUE),TRUE,FALSE)</f>
        <v>0</v>
      </c>
      <c r="S931" s="182" t="b">
        <f>IF(OR(Q931=TRUE,T931=TRUE),TRUE,FALSE)</f>
        <v>0</v>
      </c>
      <c r="T931" s="181" t="b">
        <f>COUNTIF('New Items'!$A$1:$A$175,A931)&gt;0</f>
        <v>0</v>
      </c>
      <c r="U931" s="181" t="b">
        <f>COUNTIF(Discontinued!$A$1:$A$150,A931)&gt;0</f>
        <v>0</v>
      </c>
    </row>
    <row r="932" spans="1:21" s="8" customFormat="1" ht="12" thickBot="1" x14ac:dyDescent="0.25">
      <c r="A932" s="152">
        <v>20029228</v>
      </c>
      <c r="B932" s="231" t="s">
        <v>3698</v>
      </c>
      <c r="C932" s="124" t="s">
        <v>1222</v>
      </c>
      <c r="D932" s="119" t="s">
        <v>3701</v>
      </c>
      <c r="E932" s="124" t="s">
        <v>769</v>
      </c>
      <c r="F932" s="120">
        <v>12</v>
      </c>
      <c r="G932" s="121">
        <f>Overview!$B$132</f>
        <v>30</v>
      </c>
      <c r="H932" s="114">
        <f>G932-I932</f>
        <v>30</v>
      </c>
      <c r="I932" s="114">
        <f>Overview!$E$132</f>
        <v>0</v>
      </c>
      <c r="J932" s="115">
        <f>I932/F932</f>
        <v>0</v>
      </c>
      <c r="K932" s="116">
        <f>Overview!$H$132</f>
        <v>0</v>
      </c>
      <c r="L932" s="117" t="e">
        <f>(K932-J932)/K932</f>
        <v>#DIV/0!</v>
      </c>
      <c r="M932" s="179"/>
      <c r="N932" s="179" t="s">
        <v>1263</v>
      </c>
      <c r="O932" s="141">
        <f>I932</f>
        <v>0</v>
      </c>
      <c r="P932" s="181" t="b">
        <f>COUNTIF('Facility Data'!$A$1:$A$1500,"*"&amp;A932&amp;"*")&gt;0</f>
        <v>0</v>
      </c>
      <c r="Q932" s="181" t="b">
        <f>COUNTIF('Account Data'!$A$1:$A$1000,"*"&amp;A932&amp;"*")&gt;0</f>
        <v>0</v>
      </c>
      <c r="R932" s="182" t="b">
        <f>IF(OR(P932=TRUE,T932=TRUE),TRUE,FALSE)</f>
        <v>0</v>
      </c>
      <c r="S932" s="182" t="b">
        <f>IF(OR(Q932=TRUE,T932=TRUE),TRUE,FALSE)</f>
        <v>0</v>
      </c>
      <c r="T932" s="181" t="b">
        <f>COUNTIF('New Items'!$A$1:$A$175,A932)&gt;0</f>
        <v>0</v>
      </c>
      <c r="U932" s="181" t="b">
        <f>COUNTIF(Discontinued!$A$1:$A$150,A932)&gt;0</f>
        <v>0</v>
      </c>
    </row>
    <row r="933" spans="1:21" s="8" customFormat="1" ht="13.5" thickBot="1" x14ac:dyDescent="0.25">
      <c r="A933" s="300" t="s">
        <v>1210</v>
      </c>
      <c r="B933" s="301"/>
      <c r="C933" s="301"/>
      <c r="D933" s="301"/>
      <c r="E933" s="301"/>
      <c r="F933" s="301"/>
      <c r="G933" s="301"/>
      <c r="H933" s="301"/>
      <c r="I933" s="301"/>
      <c r="J933" s="301"/>
      <c r="K933" s="301"/>
      <c r="L933" s="302"/>
      <c r="M933" s="179"/>
      <c r="N933" s="179" t="s">
        <v>1264</v>
      </c>
      <c r="O933" s="141">
        <f>AVERAGE(O934:O937)</f>
        <v>0</v>
      </c>
      <c r="P933" s="181" t="b">
        <f>COUNTIF(P934:P937,TRUE)&gt;0</f>
        <v>1</v>
      </c>
      <c r="Q933" s="181" t="b">
        <f>COUNTIF(Q934:Q937,TRUE)&gt;0</f>
        <v>0</v>
      </c>
      <c r="R933" s="181" t="b">
        <f>COUNTIF(R934:R937,TRUE)&gt;0</f>
        <v>1</v>
      </c>
      <c r="S933" s="181" t="b">
        <f>COUNTIF(S934:S937,TRUE)&gt;0</f>
        <v>0</v>
      </c>
      <c r="T933" s="181" t="b">
        <f>COUNTIF(T934:T937,TRUE)&gt;0</f>
        <v>0</v>
      </c>
      <c r="U933" s="249"/>
    </row>
    <row r="934" spans="1:21" s="8" customFormat="1" ht="11.25" x14ac:dyDescent="0.2">
      <c r="A934" s="160">
        <v>20028256</v>
      </c>
      <c r="B934" s="231" t="s">
        <v>4068</v>
      </c>
      <c r="C934" s="124" t="s">
        <v>1217</v>
      </c>
      <c r="D934" s="119" t="s">
        <v>1218</v>
      </c>
      <c r="E934" s="124" t="s">
        <v>785</v>
      </c>
      <c r="F934" s="120">
        <v>12</v>
      </c>
      <c r="G934" s="121">
        <f>Overview!$B$131</f>
        <v>28</v>
      </c>
      <c r="H934" s="114">
        <f>G934-I934</f>
        <v>28</v>
      </c>
      <c r="I934" s="114">
        <f>Overview!$E$131</f>
        <v>0</v>
      </c>
      <c r="J934" s="115">
        <f>I934/F934</f>
        <v>0</v>
      </c>
      <c r="K934" s="116">
        <f>Overview!$H$131</f>
        <v>0</v>
      </c>
      <c r="L934" s="117" t="e">
        <f>(K934-J934)/K934</f>
        <v>#DIV/0!</v>
      </c>
      <c r="M934" s="179"/>
      <c r="N934" s="179" t="s">
        <v>1264</v>
      </c>
      <c r="O934" s="141">
        <f>I934</f>
        <v>0</v>
      </c>
      <c r="P934" s="181" t="b">
        <f>COUNTIF('Facility Data'!$A$1:$A$1500,"*"&amp;A934&amp;"*")&gt;0</f>
        <v>1</v>
      </c>
      <c r="Q934" s="181" t="b">
        <f>COUNTIF('Account Data'!$A$1:$A$1000,"*"&amp;A934&amp;"*")&gt;0</f>
        <v>0</v>
      </c>
      <c r="R934" s="182" t="b">
        <f>IF(OR(P934=TRUE,T934=TRUE),TRUE,FALSE)</f>
        <v>1</v>
      </c>
      <c r="S934" s="182" t="b">
        <f>IF(OR(Q934=TRUE,T934=TRUE),TRUE,FALSE)</f>
        <v>0</v>
      </c>
      <c r="T934" s="181" t="b">
        <f>COUNTIF('New Items'!$A$1:$A$175,A934)&gt;0</f>
        <v>0</v>
      </c>
      <c r="U934" s="181" t="b">
        <f>COUNTIF(Discontinued!$A$1:$A$150,A934)&gt;0</f>
        <v>0</v>
      </c>
    </row>
    <row r="935" spans="1:21" s="8" customFormat="1" ht="11.25" x14ac:dyDescent="0.2">
      <c r="A935" s="160">
        <v>20028259</v>
      </c>
      <c r="B935" s="231" t="s">
        <v>4070</v>
      </c>
      <c r="C935" s="124" t="s">
        <v>1215</v>
      </c>
      <c r="D935" s="119" t="s">
        <v>1216</v>
      </c>
      <c r="E935" s="124" t="s">
        <v>785</v>
      </c>
      <c r="F935" s="120">
        <v>12</v>
      </c>
      <c r="G935" s="121">
        <f>Overview!$B$131</f>
        <v>28</v>
      </c>
      <c r="H935" s="114">
        <f>G935-I935</f>
        <v>28</v>
      </c>
      <c r="I935" s="114">
        <f>Overview!$E$131</f>
        <v>0</v>
      </c>
      <c r="J935" s="115">
        <f>I935/F935</f>
        <v>0</v>
      </c>
      <c r="K935" s="116">
        <f>Overview!$H$131</f>
        <v>0</v>
      </c>
      <c r="L935" s="117" t="e">
        <f>(K935-J935)/K935</f>
        <v>#DIV/0!</v>
      </c>
      <c r="M935" s="179"/>
      <c r="N935" s="179" t="s">
        <v>1264</v>
      </c>
      <c r="O935" s="141">
        <f>I935</f>
        <v>0</v>
      </c>
      <c r="P935" s="181" t="b">
        <f>COUNTIF('Facility Data'!$A$1:$A$1500,"*"&amp;A935&amp;"*")&gt;0</f>
        <v>0</v>
      </c>
      <c r="Q935" s="181" t="b">
        <f>COUNTIF('Account Data'!$A$1:$A$1000,"*"&amp;A935&amp;"*")&gt;0</f>
        <v>0</v>
      </c>
      <c r="R935" s="182" t="b">
        <f>IF(OR(P935=TRUE,T935=TRUE),TRUE,FALSE)</f>
        <v>0</v>
      </c>
      <c r="S935" s="182" t="b">
        <f>IF(OR(Q935=TRUE,T935=TRUE),TRUE,FALSE)</f>
        <v>0</v>
      </c>
      <c r="T935" s="181" t="b">
        <f>COUNTIF('New Items'!$A$1:$A$175,A935)&gt;0</f>
        <v>0</v>
      </c>
      <c r="U935" s="181" t="b">
        <f>COUNTIF(Discontinued!$A$1:$A$150,A935)&gt;0</f>
        <v>0</v>
      </c>
    </row>
    <row r="936" spans="1:21" s="8" customFormat="1" ht="11.25" x14ac:dyDescent="0.2">
      <c r="A936" s="160">
        <v>20028257</v>
      </c>
      <c r="B936" s="231" t="s">
        <v>4069</v>
      </c>
      <c r="C936" s="124" t="s">
        <v>1211</v>
      </c>
      <c r="D936" s="119" t="s">
        <v>1212</v>
      </c>
      <c r="E936" s="124" t="s">
        <v>785</v>
      </c>
      <c r="F936" s="120">
        <v>12</v>
      </c>
      <c r="G936" s="121">
        <f>Overview!$B$131</f>
        <v>28</v>
      </c>
      <c r="H936" s="114">
        <f>G936-I936</f>
        <v>28</v>
      </c>
      <c r="I936" s="114">
        <f>Overview!$E$131</f>
        <v>0</v>
      </c>
      <c r="J936" s="115">
        <f>I936/F936</f>
        <v>0</v>
      </c>
      <c r="K936" s="116">
        <f>Overview!$H$131</f>
        <v>0</v>
      </c>
      <c r="L936" s="117" t="e">
        <f>(K936-J936)/K936</f>
        <v>#DIV/0!</v>
      </c>
      <c r="M936" s="179"/>
      <c r="N936" s="179" t="s">
        <v>1264</v>
      </c>
      <c r="O936" s="141">
        <f>I936</f>
        <v>0</v>
      </c>
      <c r="P936" s="181" t="b">
        <f>COUNTIF('Facility Data'!$A$1:$A$1500,"*"&amp;A936&amp;"*")&gt;0</f>
        <v>1</v>
      </c>
      <c r="Q936" s="181" t="b">
        <f>COUNTIF('Account Data'!$A$1:$A$1000,"*"&amp;A936&amp;"*")&gt;0</f>
        <v>0</v>
      </c>
      <c r="R936" s="182" t="b">
        <f>IF(OR(P936=TRUE,T936=TRUE),TRUE,FALSE)</f>
        <v>1</v>
      </c>
      <c r="S936" s="182" t="b">
        <f>IF(OR(Q936=TRUE,T936=TRUE),TRUE,FALSE)</f>
        <v>0</v>
      </c>
      <c r="T936" s="181" t="b">
        <f>COUNTIF('New Items'!$A$1:$A$175,A936)&gt;0</f>
        <v>0</v>
      </c>
      <c r="U936" s="181" t="b">
        <f>COUNTIF(Discontinued!$A$1:$A$150,A936)&gt;0</f>
        <v>0</v>
      </c>
    </row>
    <row r="937" spans="1:21" s="8" customFormat="1" ht="12" thickBot="1" x14ac:dyDescent="0.25">
      <c r="A937" s="160">
        <v>20028258</v>
      </c>
      <c r="B937" s="231" t="s">
        <v>3896</v>
      </c>
      <c r="C937" s="124" t="s">
        <v>1213</v>
      </c>
      <c r="D937" s="119" t="s">
        <v>1214</v>
      </c>
      <c r="E937" s="124" t="s">
        <v>785</v>
      </c>
      <c r="F937" s="120">
        <v>12</v>
      </c>
      <c r="G937" s="121">
        <f>Overview!$B$131</f>
        <v>28</v>
      </c>
      <c r="H937" s="114">
        <f>G937-I937</f>
        <v>28</v>
      </c>
      <c r="I937" s="114">
        <f>Overview!$E$131</f>
        <v>0</v>
      </c>
      <c r="J937" s="115">
        <f>I937/F937</f>
        <v>0</v>
      </c>
      <c r="K937" s="116">
        <f>Overview!$H$131</f>
        <v>0</v>
      </c>
      <c r="L937" s="117" t="e">
        <f>(K937-J937)/K937</f>
        <v>#DIV/0!</v>
      </c>
      <c r="M937" s="179"/>
      <c r="N937" s="179" t="s">
        <v>1264</v>
      </c>
      <c r="O937" s="141">
        <f>I937</f>
        <v>0</v>
      </c>
      <c r="P937" s="181" t="b">
        <f>COUNTIF('Facility Data'!$A$1:$A$1500,"*"&amp;A937&amp;"*")&gt;0</f>
        <v>1</v>
      </c>
      <c r="Q937" s="181" t="b">
        <f>COUNTIF('Account Data'!$A$1:$A$1000,"*"&amp;A937&amp;"*")&gt;0</f>
        <v>0</v>
      </c>
      <c r="R937" s="182" t="b">
        <f>IF(OR(P937=TRUE,T937=TRUE),TRUE,FALSE)</f>
        <v>1</v>
      </c>
      <c r="S937" s="182" t="b">
        <f>IF(OR(Q937=TRUE,T937=TRUE),TRUE,FALSE)</f>
        <v>0</v>
      </c>
      <c r="T937" s="181" t="b">
        <f>COUNTIF('New Items'!$A$1:$A$175,A937)&gt;0</f>
        <v>0</v>
      </c>
      <c r="U937" s="181" t="b">
        <f>COUNTIF(Discontinued!$A$1:$A$150,A937)&gt;0</f>
        <v>0</v>
      </c>
    </row>
    <row r="938" spans="1:21" s="8" customFormat="1" ht="13.5" thickBot="1" x14ac:dyDescent="0.25">
      <c r="A938" s="300" t="s">
        <v>567</v>
      </c>
      <c r="B938" s="301"/>
      <c r="C938" s="301"/>
      <c r="D938" s="301"/>
      <c r="E938" s="301"/>
      <c r="F938" s="301"/>
      <c r="G938" s="301"/>
      <c r="H938" s="301"/>
      <c r="I938" s="301"/>
      <c r="J938" s="301"/>
      <c r="K938" s="301"/>
      <c r="L938" s="302"/>
      <c r="M938" s="179"/>
      <c r="N938" s="179" t="s">
        <v>990</v>
      </c>
      <c r="O938" s="141">
        <f>AVERAGE(O939:O944)</f>
        <v>0</v>
      </c>
      <c r="P938" s="181" t="b">
        <f>COUNTIF(P939:P944,TRUE)&gt;0</f>
        <v>1</v>
      </c>
      <c r="Q938" s="181" t="b">
        <f>COUNTIF(Q939:Q944,TRUE)&gt;0</f>
        <v>1</v>
      </c>
      <c r="R938" s="181" t="b">
        <f>COUNTIF(R939:R944,TRUE)&gt;0</f>
        <v>1</v>
      </c>
      <c r="S938" s="181" t="b">
        <f>COUNTIF(S939:S944,TRUE)&gt;0</f>
        <v>1</v>
      </c>
      <c r="T938" s="181" t="b">
        <f>COUNTIF(T939:T944,TRUE)&gt;0</f>
        <v>0</v>
      </c>
      <c r="U938" s="249"/>
    </row>
    <row r="939" spans="1:21" s="8" customFormat="1" ht="11.25" x14ac:dyDescent="0.2">
      <c r="A939" s="152">
        <v>10120792</v>
      </c>
      <c r="B939" s="9" t="s">
        <v>575</v>
      </c>
      <c r="C939" s="15" t="s">
        <v>579</v>
      </c>
      <c r="D939" s="11" t="s">
        <v>667</v>
      </c>
      <c r="E939" s="12" t="s">
        <v>772</v>
      </c>
      <c r="F939" s="13">
        <v>12</v>
      </c>
      <c r="G939" s="121">
        <f>Overview!$B$76</f>
        <v>18</v>
      </c>
      <c r="H939" s="23">
        <f t="shared" ref="H939:H944" si="313">G939-I939</f>
        <v>18</v>
      </c>
      <c r="I939" s="114">
        <f>Overview!$E$76</f>
        <v>0</v>
      </c>
      <c r="J939" s="24">
        <f t="shared" ref="J939:J944" si="314">I939/F939</f>
        <v>0</v>
      </c>
      <c r="K939" s="116">
        <f>Overview!$H$76</f>
        <v>0</v>
      </c>
      <c r="L939" s="51" t="e">
        <f t="shared" ref="L939:L944" si="315">(K939-J939)/K939</f>
        <v>#DIV/0!</v>
      </c>
      <c r="M939" s="179"/>
      <c r="N939" s="179" t="s">
        <v>990</v>
      </c>
      <c r="O939" s="141">
        <f t="shared" ref="O939:O944" si="316">I939</f>
        <v>0</v>
      </c>
      <c r="P939" s="181" t="b">
        <f>COUNTIF('Facility Data'!$A$1:$A$1500,"*"&amp;A939&amp;"*")&gt;0</f>
        <v>0</v>
      </c>
      <c r="Q939" s="181" t="b">
        <f>COUNTIF('Account Data'!$A$1:$A$1000,"*"&amp;A939&amp;"*")&gt;0</f>
        <v>1</v>
      </c>
      <c r="R939" s="182" t="b">
        <f t="shared" ref="R939:R944" si="317">IF(OR(P939=TRUE,T939=TRUE),TRUE,FALSE)</f>
        <v>0</v>
      </c>
      <c r="S939" s="182" t="b">
        <f t="shared" ref="S939:S944" si="318">IF(OR(Q939=TRUE,T939=TRUE),TRUE,FALSE)</f>
        <v>1</v>
      </c>
      <c r="T939" s="181" t="b">
        <f>COUNTIF('New Items'!$A$1:$A$175,A939)&gt;0</f>
        <v>0</v>
      </c>
      <c r="U939" s="181" t="b">
        <f>COUNTIF(Discontinued!$A$1:$A$150,A939)&gt;0</f>
        <v>0</v>
      </c>
    </row>
    <row r="940" spans="1:21" s="8" customFormat="1" ht="11.25" x14ac:dyDescent="0.2">
      <c r="A940" s="152">
        <v>10120803</v>
      </c>
      <c r="B940" s="9" t="s">
        <v>574</v>
      </c>
      <c r="C940" s="15" t="s">
        <v>578</v>
      </c>
      <c r="D940" s="11" t="s">
        <v>731</v>
      </c>
      <c r="E940" s="12" t="s">
        <v>772</v>
      </c>
      <c r="F940" s="13">
        <v>12</v>
      </c>
      <c r="G940" s="121">
        <f>Overview!$B$76</f>
        <v>18</v>
      </c>
      <c r="H940" s="23">
        <f t="shared" si="313"/>
        <v>18</v>
      </c>
      <c r="I940" s="114">
        <f>Overview!$E$76</f>
        <v>0</v>
      </c>
      <c r="J940" s="24">
        <f t="shared" si="314"/>
        <v>0</v>
      </c>
      <c r="K940" s="116">
        <f>Overview!$H$76</f>
        <v>0</v>
      </c>
      <c r="L940" s="51" t="e">
        <f t="shared" si="315"/>
        <v>#DIV/0!</v>
      </c>
      <c r="M940" s="179"/>
      <c r="N940" s="179" t="s">
        <v>990</v>
      </c>
      <c r="O940" s="141">
        <f t="shared" si="316"/>
        <v>0</v>
      </c>
      <c r="P940" s="181" t="b">
        <f>COUNTIF('Facility Data'!$A$1:$A$1500,"*"&amp;A940&amp;"*")&gt;0</f>
        <v>0</v>
      </c>
      <c r="Q940" s="181" t="b">
        <f>COUNTIF('Account Data'!$A$1:$A$1000,"*"&amp;A940&amp;"*")&gt;0</f>
        <v>1</v>
      </c>
      <c r="R940" s="182" t="b">
        <f t="shared" si="317"/>
        <v>0</v>
      </c>
      <c r="S940" s="182" t="b">
        <f t="shared" si="318"/>
        <v>1</v>
      </c>
      <c r="T940" s="181" t="b">
        <f>COUNTIF('New Items'!$A$1:$A$175,A940)&gt;0</f>
        <v>0</v>
      </c>
      <c r="U940" s="181" t="b">
        <f>COUNTIF(Discontinued!$A$1:$A$150,A940)&gt;0</f>
        <v>0</v>
      </c>
    </row>
    <row r="941" spans="1:21" s="8" customFormat="1" ht="11.25" x14ac:dyDescent="0.2">
      <c r="A941" s="152">
        <v>10120837</v>
      </c>
      <c r="B941" s="9" t="s">
        <v>576</v>
      </c>
      <c r="C941" s="15" t="s">
        <v>580</v>
      </c>
      <c r="D941" s="11" t="s">
        <v>751</v>
      </c>
      <c r="E941" s="12" t="s">
        <v>772</v>
      </c>
      <c r="F941" s="13">
        <v>12</v>
      </c>
      <c r="G941" s="121">
        <f>Overview!$B$76</f>
        <v>18</v>
      </c>
      <c r="H941" s="23">
        <f t="shared" si="313"/>
        <v>18</v>
      </c>
      <c r="I941" s="114">
        <f>Overview!$E$76</f>
        <v>0</v>
      </c>
      <c r="J941" s="24">
        <f t="shared" si="314"/>
        <v>0</v>
      </c>
      <c r="K941" s="116">
        <f>Overview!$H$76</f>
        <v>0</v>
      </c>
      <c r="L941" s="51" t="e">
        <f t="shared" si="315"/>
        <v>#DIV/0!</v>
      </c>
      <c r="M941" s="179"/>
      <c r="N941" s="179" t="s">
        <v>990</v>
      </c>
      <c r="O941" s="141">
        <f t="shared" si="316"/>
        <v>0</v>
      </c>
      <c r="P941" s="181" t="b">
        <f>COUNTIF('Facility Data'!$A$1:$A$1500,"*"&amp;A941&amp;"*")&gt;0</f>
        <v>0</v>
      </c>
      <c r="Q941" s="181" t="b">
        <f>COUNTIF('Account Data'!$A$1:$A$1000,"*"&amp;A941&amp;"*")&gt;0</f>
        <v>1</v>
      </c>
      <c r="R941" s="182" t="b">
        <f t="shared" si="317"/>
        <v>0</v>
      </c>
      <c r="S941" s="182" t="b">
        <f t="shared" si="318"/>
        <v>1</v>
      </c>
      <c r="T941" s="181" t="b">
        <f>COUNTIF('New Items'!$A$1:$A$175,A941)&gt;0</f>
        <v>0</v>
      </c>
      <c r="U941" s="181" t="b">
        <f>COUNTIF(Discontinued!$A$1:$A$150,A941)&gt;0</f>
        <v>0</v>
      </c>
    </row>
    <row r="942" spans="1:21" s="8" customFormat="1" ht="11.25" x14ac:dyDescent="0.2">
      <c r="A942" s="152">
        <v>10120838</v>
      </c>
      <c r="B942" s="9" t="s">
        <v>4057</v>
      </c>
      <c r="C942" s="15" t="s">
        <v>859</v>
      </c>
      <c r="D942" s="11" t="s">
        <v>696</v>
      </c>
      <c r="E942" s="12" t="s">
        <v>772</v>
      </c>
      <c r="F942" s="13">
        <v>12</v>
      </c>
      <c r="G942" s="121">
        <f>Overview!$B$76</f>
        <v>18</v>
      </c>
      <c r="H942" s="23">
        <f t="shared" si="313"/>
        <v>18</v>
      </c>
      <c r="I942" s="114">
        <f>Overview!$E$76</f>
        <v>0</v>
      </c>
      <c r="J942" s="24">
        <f t="shared" si="314"/>
        <v>0</v>
      </c>
      <c r="K942" s="116">
        <f>Overview!$H$76</f>
        <v>0</v>
      </c>
      <c r="L942" s="51" t="e">
        <f t="shared" si="315"/>
        <v>#DIV/0!</v>
      </c>
      <c r="M942" s="179"/>
      <c r="N942" s="179" t="s">
        <v>990</v>
      </c>
      <c r="O942" s="141">
        <f t="shared" si="316"/>
        <v>0</v>
      </c>
      <c r="P942" s="181" t="b">
        <f>COUNTIF('Facility Data'!$A$1:$A$1500,"*"&amp;A942&amp;"*")&gt;0</f>
        <v>1</v>
      </c>
      <c r="Q942" s="181" t="b">
        <f>COUNTIF('Account Data'!$A$1:$A$1000,"*"&amp;A942&amp;"*")&gt;0</f>
        <v>1</v>
      </c>
      <c r="R942" s="182" t="b">
        <f t="shared" si="317"/>
        <v>1</v>
      </c>
      <c r="S942" s="182" t="b">
        <f t="shared" si="318"/>
        <v>1</v>
      </c>
      <c r="T942" s="181" t="b">
        <f>COUNTIF('New Items'!$A$1:$A$175,A942)&gt;0</f>
        <v>0</v>
      </c>
      <c r="U942" s="181" t="b">
        <f>COUNTIF(Discontinued!$A$1:$A$150,A942)&gt;0</f>
        <v>0</v>
      </c>
    </row>
    <row r="943" spans="1:21" s="8" customFormat="1" ht="11.25" x14ac:dyDescent="0.2">
      <c r="A943" s="152">
        <v>10120833</v>
      </c>
      <c r="B943" s="9" t="s">
        <v>4058</v>
      </c>
      <c r="C943" s="15" t="s">
        <v>861</v>
      </c>
      <c r="D943" s="11" t="s">
        <v>860</v>
      </c>
      <c r="E943" s="12" t="s">
        <v>772</v>
      </c>
      <c r="F943" s="13">
        <v>12</v>
      </c>
      <c r="G943" s="121">
        <f>Overview!$B$76</f>
        <v>18</v>
      </c>
      <c r="H943" s="23">
        <f t="shared" si="313"/>
        <v>18</v>
      </c>
      <c r="I943" s="114">
        <f>Overview!$E$76</f>
        <v>0</v>
      </c>
      <c r="J943" s="24">
        <f t="shared" si="314"/>
        <v>0</v>
      </c>
      <c r="K943" s="116">
        <f>Overview!$H$76</f>
        <v>0</v>
      </c>
      <c r="L943" s="51" t="e">
        <f t="shared" si="315"/>
        <v>#DIV/0!</v>
      </c>
      <c r="M943" s="179"/>
      <c r="N943" s="179" t="s">
        <v>990</v>
      </c>
      <c r="O943" s="141">
        <f t="shared" si="316"/>
        <v>0</v>
      </c>
      <c r="P943" s="181" t="b">
        <f>COUNTIF('Facility Data'!$A$1:$A$1500,"*"&amp;A943&amp;"*")&gt;0</f>
        <v>1</v>
      </c>
      <c r="Q943" s="181" t="b">
        <f>COUNTIF('Account Data'!$A$1:$A$1000,"*"&amp;A943&amp;"*")&gt;0</f>
        <v>1</v>
      </c>
      <c r="R943" s="182" t="b">
        <f t="shared" si="317"/>
        <v>1</v>
      </c>
      <c r="S943" s="182" t="b">
        <f t="shared" si="318"/>
        <v>1</v>
      </c>
      <c r="T943" s="181" t="b">
        <f>COUNTIF('New Items'!$A$1:$A$175,A943)&gt;0</f>
        <v>0</v>
      </c>
      <c r="U943" s="181" t="b">
        <f>COUNTIF(Discontinued!$A$1:$A$150,A943)&gt;0</f>
        <v>0</v>
      </c>
    </row>
    <row r="944" spans="1:21" s="8" customFormat="1" ht="12" thickBot="1" x14ac:dyDescent="0.25">
      <c r="A944" s="152">
        <v>10120832</v>
      </c>
      <c r="B944" s="9" t="s">
        <v>577</v>
      </c>
      <c r="C944" s="15" t="s">
        <v>581</v>
      </c>
      <c r="D944" s="11" t="s">
        <v>752</v>
      </c>
      <c r="E944" s="12" t="s">
        <v>772</v>
      </c>
      <c r="F944" s="13">
        <v>12</v>
      </c>
      <c r="G944" s="121">
        <f>Overview!$B$76</f>
        <v>18</v>
      </c>
      <c r="H944" s="23">
        <f t="shared" si="313"/>
        <v>18</v>
      </c>
      <c r="I944" s="114">
        <f>Overview!$E$76</f>
        <v>0</v>
      </c>
      <c r="J944" s="24">
        <f t="shared" si="314"/>
        <v>0</v>
      </c>
      <c r="K944" s="116">
        <f>Overview!$H$76</f>
        <v>0</v>
      </c>
      <c r="L944" s="51" t="e">
        <f t="shared" si="315"/>
        <v>#DIV/0!</v>
      </c>
      <c r="M944" s="179"/>
      <c r="N944" s="179" t="s">
        <v>990</v>
      </c>
      <c r="O944" s="141">
        <f t="shared" si="316"/>
        <v>0</v>
      </c>
      <c r="P944" s="181" t="b">
        <f>COUNTIF('Facility Data'!$A$1:$A$1500,"*"&amp;A944&amp;"*")&gt;0</f>
        <v>0</v>
      </c>
      <c r="Q944" s="181" t="b">
        <f>COUNTIF('Account Data'!$A$1:$A$1000,"*"&amp;A944&amp;"*")&gt;0</f>
        <v>1</v>
      </c>
      <c r="R944" s="182" t="b">
        <f t="shared" si="317"/>
        <v>0</v>
      </c>
      <c r="S944" s="182" t="b">
        <f t="shared" si="318"/>
        <v>1</v>
      </c>
      <c r="T944" s="181" t="b">
        <f>COUNTIF('New Items'!$A$1:$A$175,A944)&gt;0</f>
        <v>0</v>
      </c>
      <c r="U944" s="181" t="b">
        <f>COUNTIF(Discontinued!$A$1:$A$150,A944)&gt;0</f>
        <v>0</v>
      </c>
    </row>
    <row r="945" spans="1:21" s="8" customFormat="1" ht="13.5" thickBot="1" x14ac:dyDescent="0.25">
      <c r="A945" s="300" t="s">
        <v>1457</v>
      </c>
      <c r="B945" s="301"/>
      <c r="C945" s="301"/>
      <c r="D945" s="301"/>
      <c r="E945" s="301"/>
      <c r="F945" s="301"/>
      <c r="G945" s="301"/>
      <c r="H945" s="301"/>
      <c r="I945" s="301"/>
      <c r="J945" s="301"/>
      <c r="K945" s="301"/>
      <c r="L945" s="302"/>
      <c r="M945" s="179"/>
      <c r="N945" s="179" t="s">
        <v>3144</v>
      </c>
      <c r="O945" s="141">
        <f>AVERAGE(O946:O958)</f>
        <v>0</v>
      </c>
      <c r="P945" s="181" t="b">
        <f>COUNTIF(P946:P958,TRUE)&gt;0</f>
        <v>0</v>
      </c>
      <c r="Q945" s="181" t="b">
        <f>COUNTIF(Q946:Q958,TRUE)&gt;0</f>
        <v>0</v>
      </c>
      <c r="R945" s="181" t="b">
        <f>COUNTIF(R946:R958,TRUE)&gt;0</f>
        <v>0</v>
      </c>
      <c r="S945" s="181" t="b">
        <f>COUNTIF(S946:S958,TRUE)&gt;0</f>
        <v>0</v>
      </c>
      <c r="T945" s="181" t="b">
        <f>COUNTIF(T946:T958,TRUE)&gt;0</f>
        <v>0</v>
      </c>
      <c r="U945" s="249"/>
    </row>
    <row r="946" spans="1:21" s="8" customFormat="1" ht="11.25" x14ac:dyDescent="0.2">
      <c r="A946" s="152">
        <v>10003150</v>
      </c>
      <c r="B946" s="10" t="s">
        <v>3313</v>
      </c>
      <c r="C946" s="12" t="s">
        <v>1464</v>
      </c>
      <c r="D946" s="11" t="s">
        <v>1475</v>
      </c>
      <c r="E946" s="12" t="s">
        <v>772</v>
      </c>
      <c r="F946" s="13">
        <v>12</v>
      </c>
      <c r="G946" s="22">
        <f>Overview!$B$97</f>
        <v>30</v>
      </c>
      <c r="H946" s="23">
        <f t="shared" ref="H946:H958" si="319">G946-I946</f>
        <v>30</v>
      </c>
      <c r="I946" s="114">
        <f>Overview!$E$97</f>
        <v>0</v>
      </c>
      <c r="J946" s="24">
        <f t="shared" ref="J946:J958" si="320">I946/F946</f>
        <v>0</v>
      </c>
      <c r="K946" s="116">
        <f>Overview!$H$97</f>
        <v>0</v>
      </c>
      <c r="L946" s="51" t="e">
        <f t="shared" ref="L946:L958" si="321">(K946-J946)/K946</f>
        <v>#DIV/0!</v>
      </c>
      <c r="M946" s="179"/>
      <c r="N946" s="179" t="s">
        <v>3144</v>
      </c>
      <c r="O946" s="141">
        <f t="shared" ref="O946:O958" si="322">I946</f>
        <v>0</v>
      </c>
      <c r="P946" s="181" t="b">
        <f>COUNTIF('Facility Data'!$A$1:$A$1500,"*"&amp;A946&amp;"*")&gt;0</f>
        <v>0</v>
      </c>
      <c r="Q946" s="181" t="b">
        <f>COUNTIF('Account Data'!$A$1:$A$1000,"*"&amp;A946&amp;"*")&gt;0</f>
        <v>0</v>
      </c>
      <c r="R946" s="182" t="b">
        <f t="shared" ref="R946:R958" si="323">IF(OR(P946=TRUE,T946=TRUE),TRUE,FALSE)</f>
        <v>0</v>
      </c>
      <c r="S946" s="182" t="b">
        <f t="shared" ref="S946:S958" si="324">IF(OR(Q946=TRUE,T946=TRUE),TRUE,FALSE)</f>
        <v>0</v>
      </c>
      <c r="T946" s="181" t="b">
        <f>COUNTIF('New Items'!$A$1:$A$175,A946)&gt;0</f>
        <v>0</v>
      </c>
      <c r="U946" s="181" t="b">
        <f>COUNTIF(Discontinued!$A$1:$A$150,A946)&gt;0</f>
        <v>0</v>
      </c>
    </row>
    <row r="947" spans="1:21" s="8" customFormat="1" ht="11.25" x14ac:dyDescent="0.2">
      <c r="A947" s="152">
        <v>10003149</v>
      </c>
      <c r="B947" s="10" t="s">
        <v>3316</v>
      </c>
      <c r="C947" s="12" t="s">
        <v>1467</v>
      </c>
      <c r="D947" s="11" t="s">
        <v>1477</v>
      </c>
      <c r="E947" s="12" t="s">
        <v>772</v>
      </c>
      <c r="F947" s="13">
        <v>12</v>
      </c>
      <c r="G947" s="22">
        <f>Overview!$B$97</f>
        <v>30</v>
      </c>
      <c r="H947" s="23">
        <f t="shared" si="319"/>
        <v>30</v>
      </c>
      <c r="I947" s="114">
        <f>Overview!$E$97</f>
        <v>0</v>
      </c>
      <c r="J947" s="24">
        <f t="shared" si="320"/>
        <v>0</v>
      </c>
      <c r="K947" s="116">
        <f>Overview!$H$97</f>
        <v>0</v>
      </c>
      <c r="L947" s="51" t="e">
        <f t="shared" si="321"/>
        <v>#DIV/0!</v>
      </c>
      <c r="M947" s="179"/>
      <c r="N947" s="179" t="s">
        <v>3144</v>
      </c>
      <c r="O947" s="141">
        <f t="shared" si="322"/>
        <v>0</v>
      </c>
      <c r="P947" s="181" t="b">
        <f>COUNTIF('Facility Data'!$A$1:$A$1500,"*"&amp;A947&amp;"*")&gt;0</f>
        <v>0</v>
      </c>
      <c r="Q947" s="181" t="b">
        <f>COUNTIF('Account Data'!$A$1:$A$1000,"*"&amp;A947&amp;"*")&gt;0</f>
        <v>0</v>
      </c>
      <c r="R947" s="182" t="b">
        <f t="shared" si="323"/>
        <v>0</v>
      </c>
      <c r="S947" s="182" t="b">
        <f t="shared" si="324"/>
        <v>0</v>
      </c>
      <c r="T947" s="181" t="b">
        <f>COUNTIF('New Items'!$A$1:$A$175,A947)&gt;0</f>
        <v>0</v>
      </c>
      <c r="U947" s="181" t="b">
        <f>COUNTIF(Discontinued!$A$1:$A$150,A947)&gt;0</f>
        <v>0</v>
      </c>
    </row>
    <row r="948" spans="1:21" s="8" customFormat="1" ht="11.25" x14ac:dyDescent="0.2">
      <c r="A948" s="152">
        <v>10003158</v>
      </c>
      <c r="B948" s="10" t="s">
        <v>3315</v>
      </c>
      <c r="C948" s="12" t="s">
        <v>1466</v>
      </c>
      <c r="D948" s="11" t="s">
        <v>691</v>
      </c>
      <c r="E948" s="12" t="s">
        <v>772</v>
      </c>
      <c r="F948" s="13">
        <v>12</v>
      </c>
      <c r="G948" s="22">
        <f>Overview!$B$97</f>
        <v>30</v>
      </c>
      <c r="H948" s="23">
        <f t="shared" si="319"/>
        <v>30</v>
      </c>
      <c r="I948" s="114">
        <f>Overview!$E$97</f>
        <v>0</v>
      </c>
      <c r="J948" s="24">
        <f t="shared" si="320"/>
        <v>0</v>
      </c>
      <c r="K948" s="116">
        <f>Overview!$H$97</f>
        <v>0</v>
      </c>
      <c r="L948" s="51" t="e">
        <f t="shared" si="321"/>
        <v>#DIV/0!</v>
      </c>
      <c r="M948" s="179"/>
      <c r="N948" s="179" t="s">
        <v>3144</v>
      </c>
      <c r="O948" s="141">
        <f t="shared" si="322"/>
        <v>0</v>
      </c>
      <c r="P948" s="181" t="b">
        <f>COUNTIF('Facility Data'!$A$1:$A$1500,"*"&amp;A948&amp;"*")&gt;0</f>
        <v>0</v>
      </c>
      <c r="Q948" s="181" t="b">
        <f>COUNTIF('Account Data'!$A$1:$A$1000,"*"&amp;A948&amp;"*")&gt;0</f>
        <v>0</v>
      </c>
      <c r="R948" s="182" t="b">
        <f t="shared" si="323"/>
        <v>0</v>
      </c>
      <c r="S948" s="182" t="b">
        <f t="shared" si="324"/>
        <v>0</v>
      </c>
      <c r="T948" s="181" t="b">
        <f>COUNTIF('New Items'!$A$1:$A$175,A948)&gt;0</f>
        <v>0</v>
      </c>
      <c r="U948" s="181" t="b">
        <f>COUNTIF(Discontinued!$A$1:$A$150,A948)&gt;0</f>
        <v>0</v>
      </c>
    </row>
    <row r="949" spans="1:21" s="8" customFormat="1" ht="11.25" x14ac:dyDescent="0.2">
      <c r="A949" s="152">
        <v>10056913</v>
      </c>
      <c r="B949" s="10" t="s">
        <v>3318</v>
      </c>
      <c r="C949" s="12" t="s">
        <v>1469</v>
      </c>
      <c r="D949" s="11" t="s">
        <v>1479</v>
      </c>
      <c r="E949" s="12" t="s">
        <v>772</v>
      </c>
      <c r="F949" s="13">
        <v>12</v>
      </c>
      <c r="G949" s="22">
        <f>Overview!$B$97</f>
        <v>30</v>
      </c>
      <c r="H949" s="23">
        <f t="shared" si="319"/>
        <v>30</v>
      </c>
      <c r="I949" s="114">
        <f>Overview!$E$97</f>
        <v>0</v>
      </c>
      <c r="J949" s="24">
        <f t="shared" si="320"/>
        <v>0</v>
      </c>
      <c r="K949" s="116">
        <f>Overview!$H$97</f>
        <v>0</v>
      </c>
      <c r="L949" s="51" t="e">
        <f t="shared" si="321"/>
        <v>#DIV/0!</v>
      </c>
      <c r="M949" s="179"/>
      <c r="N949" s="179" t="s">
        <v>3144</v>
      </c>
      <c r="O949" s="141">
        <f t="shared" si="322"/>
        <v>0</v>
      </c>
      <c r="P949" s="181" t="b">
        <f>COUNTIF('Facility Data'!$A$1:$A$1500,"*"&amp;A949&amp;"*")&gt;0</f>
        <v>0</v>
      </c>
      <c r="Q949" s="181" t="b">
        <f>COUNTIF('Account Data'!$A$1:$A$1000,"*"&amp;A949&amp;"*")&gt;0</f>
        <v>0</v>
      </c>
      <c r="R949" s="182" t="b">
        <f t="shared" si="323"/>
        <v>0</v>
      </c>
      <c r="S949" s="182" t="b">
        <f t="shared" si="324"/>
        <v>0</v>
      </c>
      <c r="T949" s="181" t="b">
        <f>COUNTIF('New Items'!$A$1:$A$175,A949)&gt;0</f>
        <v>0</v>
      </c>
      <c r="U949" s="181" t="b">
        <f>COUNTIF(Discontinued!$A$1:$A$150,A949)&gt;0</f>
        <v>0</v>
      </c>
    </row>
    <row r="950" spans="1:21" s="8" customFormat="1" ht="11.25" x14ac:dyDescent="0.2">
      <c r="A950" s="152">
        <v>10003151</v>
      </c>
      <c r="B950" s="10" t="s">
        <v>3308</v>
      </c>
      <c r="C950" s="12" t="s">
        <v>1459</v>
      </c>
      <c r="D950" s="11" t="s">
        <v>1472</v>
      </c>
      <c r="E950" s="12" t="s">
        <v>772</v>
      </c>
      <c r="F950" s="13">
        <v>12</v>
      </c>
      <c r="G950" s="22">
        <f>Overview!$B$97</f>
        <v>30</v>
      </c>
      <c r="H950" s="23">
        <f t="shared" si="319"/>
        <v>30</v>
      </c>
      <c r="I950" s="114">
        <f>Overview!$E$97</f>
        <v>0</v>
      </c>
      <c r="J950" s="24">
        <f t="shared" si="320"/>
        <v>0</v>
      </c>
      <c r="K950" s="116">
        <f>Overview!$H$97</f>
        <v>0</v>
      </c>
      <c r="L950" s="51" t="e">
        <f t="shared" si="321"/>
        <v>#DIV/0!</v>
      </c>
      <c r="M950" s="179"/>
      <c r="N950" s="179" t="s">
        <v>3144</v>
      </c>
      <c r="O950" s="141">
        <f t="shared" si="322"/>
        <v>0</v>
      </c>
      <c r="P950" s="181" t="b">
        <f>COUNTIF('Facility Data'!$A$1:$A$1500,"*"&amp;A950&amp;"*")&gt;0</f>
        <v>0</v>
      </c>
      <c r="Q950" s="181" t="b">
        <f>COUNTIF('Account Data'!$A$1:$A$1000,"*"&amp;A950&amp;"*")&gt;0</f>
        <v>0</v>
      </c>
      <c r="R950" s="182" t="b">
        <f t="shared" si="323"/>
        <v>0</v>
      </c>
      <c r="S950" s="182" t="b">
        <f t="shared" si="324"/>
        <v>0</v>
      </c>
      <c r="T950" s="181" t="b">
        <f>COUNTIF('New Items'!$A$1:$A$175,A950)&gt;0</f>
        <v>0</v>
      </c>
      <c r="U950" s="181" t="b">
        <f>COUNTIF(Discontinued!$A$1:$A$150,A950)&gt;0</f>
        <v>0</v>
      </c>
    </row>
    <row r="951" spans="1:21" s="8" customFormat="1" ht="11.25" x14ac:dyDescent="0.2">
      <c r="A951" s="152">
        <v>10003152</v>
      </c>
      <c r="B951" s="10" t="s">
        <v>3307</v>
      </c>
      <c r="C951" s="12" t="s">
        <v>1458</v>
      </c>
      <c r="D951" s="11" t="s">
        <v>1471</v>
      </c>
      <c r="E951" s="12" t="s">
        <v>772</v>
      </c>
      <c r="F951" s="13">
        <v>12</v>
      </c>
      <c r="G951" s="22">
        <f>Overview!$B$97</f>
        <v>30</v>
      </c>
      <c r="H951" s="23">
        <f t="shared" si="319"/>
        <v>30</v>
      </c>
      <c r="I951" s="114">
        <f>Overview!$E$97</f>
        <v>0</v>
      </c>
      <c r="J951" s="24">
        <f t="shared" si="320"/>
        <v>0</v>
      </c>
      <c r="K951" s="116">
        <f>Overview!$H$97</f>
        <v>0</v>
      </c>
      <c r="L951" s="51" t="e">
        <f t="shared" si="321"/>
        <v>#DIV/0!</v>
      </c>
      <c r="M951" s="179"/>
      <c r="N951" s="179" t="s">
        <v>3144</v>
      </c>
      <c r="O951" s="141">
        <f t="shared" si="322"/>
        <v>0</v>
      </c>
      <c r="P951" s="181" t="b">
        <f>COUNTIF('Facility Data'!$A$1:$A$1500,"*"&amp;A951&amp;"*")&gt;0</f>
        <v>0</v>
      </c>
      <c r="Q951" s="181" t="b">
        <f>COUNTIF('Account Data'!$A$1:$A$1000,"*"&amp;A951&amp;"*")&gt;0</f>
        <v>0</v>
      </c>
      <c r="R951" s="182" t="b">
        <f t="shared" si="323"/>
        <v>0</v>
      </c>
      <c r="S951" s="182" t="b">
        <f t="shared" si="324"/>
        <v>0</v>
      </c>
      <c r="T951" s="181" t="b">
        <f>COUNTIF('New Items'!$A$1:$A$175,A951)&gt;0</f>
        <v>0</v>
      </c>
      <c r="U951" s="181" t="b">
        <f>COUNTIF(Discontinued!$A$1:$A$150,A951)&gt;0</f>
        <v>0</v>
      </c>
    </row>
    <row r="952" spans="1:21" s="8" customFormat="1" ht="11.25" x14ac:dyDescent="0.2">
      <c r="A952" s="152">
        <v>10002911</v>
      </c>
      <c r="B952" s="10" t="s">
        <v>3312</v>
      </c>
      <c r="C952" s="12" t="s">
        <v>1463</v>
      </c>
      <c r="D952" s="11" t="s">
        <v>697</v>
      </c>
      <c r="E952" s="12" t="s">
        <v>772</v>
      </c>
      <c r="F952" s="13">
        <v>12</v>
      </c>
      <c r="G952" s="22">
        <f>Overview!$B$97</f>
        <v>30</v>
      </c>
      <c r="H952" s="23">
        <f t="shared" si="319"/>
        <v>30</v>
      </c>
      <c r="I952" s="114">
        <f>Overview!$E$97</f>
        <v>0</v>
      </c>
      <c r="J952" s="24">
        <f t="shared" si="320"/>
        <v>0</v>
      </c>
      <c r="K952" s="116">
        <f>Overview!$H$97</f>
        <v>0</v>
      </c>
      <c r="L952" s="51" t="e">
        <f t="shared" si="321"/>
        <v>#DIV/0!</v>
      </c>
      <c r="M952" s="179"/>
      <c r="N952" s="179" t="s">
        <v>3144</v>
      </c>
      <c r="O952" s="141">
        <f t="shared" si="322"/>
        <v>0</v>
      </c>
      <c r="P952" s="181" t="b">
        <f>COUNTIF('Facility Data'!$A$1:$A$1500,"*"&amp;A952&amp;"*")&gt;0</f>
        <v>0</v>
      </c>
      <c r="Q952" s="181" t="b">
        <f>COUNTIF('Account Data'!$A$1:$A$1000,"*"&amp;A952&amp;"*")&gt;0</f>
        <v>0</v>
      </c>
      <c r="R952" s="182" t="b">
        <f t="shared" si="323"/>
        <v>0</v>
      </c>
      <c r="S952" s="182" t="b">
        <f t="shared" si="324"/>
        <v>0</v>
      </c>
      <c r="T952" s="181" t="b">
        <f>COUNTIF('New Items'!$A$1:$A$175,A952)&gt;0</f>
        <v>0</v>
      </c>
      <c r="U952" s="181" t="b">
        <f>COUNTIF(Discontinued!$A$1:$A$150,A952)&gt;0</f>
        <v>0</v>
      </c>
    </row>
    <row r="953" spans="1:21" s="8" customFormat="1" ht="11.25" x14ac:dyDescent="0.2">
      <c r="A953" s="152">
        <v>10003156</v>
      </c>
      <c r="B953" s="10" t="s">
        <v>3317</v>
      </c>
      <c r="C953" s="12" t="s">
        <v>1468</v>
      </c>
      <c r="D953" s="11" t="s">
        <v>1478</v>
      </c>
      <c r="E953" s="12" t="s">
        <v>772</v>
      </c>
      <c r="F953" s="13">
        <v>12</v>
      </c>
      <c r="G953" s="22">
        <f>Overview!$B$97</f>
        <v>30</v>
      </c>
      <c r="H953" s="23">
        <f t="shared" si="319"/>
        <v>30</v>
      </c>
      <c r="I953" s="114">
        <f>Overview!$E$97</f>
        <v>0</v>
      </c>
      <c r="J953" s="24">
        <f t="shared" si="320"/>
        <v>0</v>
      </c>
      <c r="K953" s="116">
        <f>Overview!$H$97</f>
        <v>0</v>
      </c>
      <c r="L953" s="51" t="e">
        <f t="shared" si="321"/>
        <v>#DIV/0!</v>
      </c>
      <c r="M953" s="179"/>
      <c r="N953" s="179" t="s">
        <v>3144</v>
      </c>
      <c r="O953" s="141">
        <f t="shared" si="322"/>
        <v>0</v>
      </c>
      <c r="P953" s="181" t="b">
        <f>COUNTIF('Facility Data'!$A$1:$A$1500,"*"&amp;A953&amp;"*")&gt;0</f>
        <v>0</v>
      </c>
      <c r="Q953" s="181" t="b">
        <f>COUNTIF('Account Data'!$A$1:$A$1000,"*"&amp;A953&amp;"*")&gt;0</f>
        <v>0</v>
      </c>
      <c r="R953" s="182" t="b">
        <f t="shared" si="323"/>
        <v>0</v>
      </c>
      <c r="S953" s="182" t="b">
        <f t="shared" si="324"/>
        <v>0</v>
      </c>
      <c r="T953" s="181" t="b">
        <f>COUNTIF('New Items'!$A$1:$A$175,A953)&gt;0</f>
        <v>0</v>
      </c>
      <c r="U953" s="181" t="b">
        <f>COUNTIF(Discontinued!$A$1:$A$150,A953)&gt;0</f>
        <v>0</v>
      </c>
    </row>
    <row r="954" spans="1:21" s="8" customFormat="1" ht="11.25" x14ac:dyDescent="0.2">
      <c r="A954" s="152">
        <v>10003157</v>
      </c>
      <c r="B954" s="10" t="s">
        <v>3310</v>
      </c>
      <c r="C954" s="12" t="s">
        <v>1461</v>
      </c>
      <c r="D954" s="11" t="s">
        <v>1474</v>
      </c>
      <c r="E954" s="12" t="s">
        <v>772</v>
      </c>
      <c r="F954" s="13">
        <v>12</v>
      </c>
      <c r="G954" s="22">
        <f>Overview!$B$97</f>
        <v>30</v>
      </c>
      <c r="H954" s="23">
        <f t="shared" si="319"/>
        <v>30</v>
      </c>
      <c r="I954" s="114">
        <f>Overview!$E$97</f>
        <v>0</v>
      </c>
      <c r="J954" s="24">
        <f t="shared" si="320"/>
        <v>0</v>
      </c>
      <c r="K954" s="116">
        <f>Overview!$H$97</f>
        <v>0</v>
      </c>
      <c r="L954" s="51" t="e">
        <f t="shared" si="321"/>
        <v>#DIV/0!</v>
      </c>
      <c r="M954" s="179"/>
      <c r="N954" s="179" t="s">
        <v>3144</v>
      </c>
      <c r="O954" s="141">
        <f t="shared" si="322"/>
        <v>0</v>
      </c>
      <c r="P954" s="181" t="b">
        <f>COUNTIF('Facility Data'!$A$1:$A$1500,"*"&amp;A954&amp;"*")&gt;0</f>
        <v>0</v>
      </c>
      <c r="Q954" s="181" t="b">
        <f>COUNTIF('Account Data'!$A$1:$A$1000,"*"&amp;A954&amp;"*")&gt;0</f>
        <v>0</v>
      </c>
      <c r="R954" s="182" t="b">
        <f t="shared" si="323"/>
        <v>0</v>
      </c>
      <c r="S954" s="182" t="b">
        <f t="shared" si="324"/>
        <v>0</v>
      </c>
      <c r="T954" s="181" t="b">
        <f>COUNTIF('New Items'!$A$1:$A$175,A954)&gt;0</f>
        <v>0</v>
      </c>
      <c r="U954" s="181" t="b">
        <f>COUNTIF(Discontinued!$A$1:$A$150,A954)&gt;0</f>
        <v>0</v>
      </c>
    </row>
    <row r="955" spans="1:21" s="8" customFormat="1" ht="11.25" x14ac:dyDescent="0.2">
      <c r="A955" s="152">
        <v>10003153</v>
      </c>
      <c r="B955" s="10" t="s">
        <v>3311</v>
      </c>
      <c r="C955" s="12" t="s">
        <v>1462</v>
      </c>
      <c r="D955" s="11" t="s">
        <v>724</v>
      </c>
      <c r="E955" s="12" t="s">
        <v>772</v>
      </c>
      <c r="F955" s="13">
        <v>12</v>
      </c>
      <c r="G955" s="22">
        <f>Overview!$B$97</f>
        <v>30</v>
      </c>
      <c r="H955" s="23">
        <f t="shared" si="319"/>
        <v>30</v>
      </c>
      <c r="I955" s="114">
        <f>Overview!$E$97</f>
        <v>0</v>
      </c>
      <c r="J955" s="24">
        <f t="shared" si="320"/>
        <v>0</v>
      </c>
      <c r="K955" s="116">
        <f>Overview!$H$97</f>
        <v>0</v>
      </c>
      <c r="L955" s="51" t="e">
        <f t="shared" si="321"/>
        <v>#DIV/0!</v>
      </c>
      <c r="M955" s="179"/>
      <c r="N955" s="179" t="s">
        <v>3144</v>
      </c>
      <c r="O955" s="141">
        <f t="shared" si="322"/>
        <v>0</v>
      </c>
      <c r="P955" s="181" t="b">
        <f>COUNTIF('Facility Data'!$A$1:$A$1500,"*"&amp;A955&amp;"*")&gt;0</f>
        <v>0</v>
      </c>
      <c r="Q955" s="181" t="b">
        <f>COUNTIF('Account Data'!$A$1:$A$1000,"*"&amp;A955&amp;"*")&gt;0</f>
        <v>0</v>
      </c>
      <c r="R955" s="182" t="b">
        <f t="shared" si="323"/>
        <v>0</v>
      </c>
      <c r="S955" s="182" t="b">
        <f t="shared" si="324"/>
        <v>0</v>
      </c>
      <c r="T955" s="181" t="b">
        <f>COUNTIF('New Items'!$A$1:$A$175,A955)&gt;0</f>
        <v>0</v>
      </c>
      <c r="U955" s="181" t="b">
        <f>COUNTIF(Discontinued!$A$1:$A$150,A955)&gt;0</f>
        <v>0</v>
      </c>
    </row>
    <row r="956" spans="1:21" s="8" customFormat="1" ht="11.25" x14ac:dyDescent="0.2">
      <c r="A956" s="152">
        <v>10003154</v>
      </c>
      <c r="B956" s="10" t="s">
        <v>3309</v>
      </c>
      <c r="C956" s="12" t="s">
        <v>1460</v>
      </c>
      <c r="D956" s="11" t="s">
        <v>1473</v>
      </c>
      <c r="E956" s="12" t="s">
        <v>772</v>
      </c>
      <c r="F956" s="13">
        <v>12</v>
      </c>
      <c r="G956" s="22">
        <f>Overview!$B$97</f>
        <v>30</v>
      </c>
      <c r="H956" s="23">
        <f t="shared" si="319"/>
        <v>30</v>
      </c>
      <c r="I956" s="114">
        <f>Overview!$E$97</f>
        <v>0</v>
      </c>
      <c r="J956" s="24">
        <f t="shared" si="320"/>
        <v>0</v>
      </c>
      <c r="K956" s="116">
        <f>Overview!$H$97</f>
        <v>0</v>
      </c>
      <c r="L956" s="51" t="e">
        <f t="shared" si="321"/>
        <v>#DIV/0!</v>
      </c>
      <c r="M956" s="179"/>
      <c r="N956" s="179" t="s">
        <v>3144</v>
      </c>
      <c r="O956" s="141">
        <f t="shared" si="322"/>
        <v>0</v>
      </c>
      <c r="P956" s="181" t="b">
        <f>COUNTIF('Facility Data'!$A$1:$A$1500,"*"&amp;A956&amp;"*")&gt;0</f>
        <v>0</v>
      </c>
      <c r="Q956" s="181" t="b">
        <f>COUNTIF('Account Data'!$A$1:$A$1000,"*"&amp;A956&amp;"*")&gt;0</f>
        <v>0</v>
      </c>
      <c r="R956" s="182" t="b">
        <f t="shared" si="323"/>
        <v>0</v>
      </c>
      <c r="S956" s="182" t="b">
        <f t="shared" si="324"/>
        <v>0</v>
      </c>
      <c r="T956" s="181" t="b">
        <f>COUNTIF('New Items'!$A$1:$A$175,A956)&gt;0</f>
        <v>0</v>
      </c>
      <c r="U956" s="181" t="b">
        <f>COUNTIF(Discontinued!$A$1:$A$150,A956)&gt;0</f>
        <v>0</v>
      </c>
    </row>
    <row r="957" spans="1:21" s="8" customFormat="1" ht="11.25" x14ac:dyDescent="0.2">
      <c r="A957" s="152">
        <v>10003155</v>
      </c>
      <c r="B957" s="10" t="s">
        <v>3314</v>
      </c>
      <c r="C957" s="12" t="s">
        <v>1465</v>
      </c>
      <c r="D957" s="11" t="s">
        <v>1476</v>
      </c>
      <c r="E957" s="12" t="s">
        <v>772</v>
      </c>
      <c r="F957" s="13">
        <v>12</v>
      </c>
      <c r="G957" s="22">
        <f>Overview!$B$97</f>
        <v>30</v>
      </c>
      <c r="H957" s="23">
        <f t="shared" si="319"/>
        <v>30</v>
      </c>
      <c r="I957" s="114">
        <f>Overview!$E$97</f>
        <v>0</v>
      </c>
      <c r="J957" s="24">
        <f t="shared" si="320"/>
        <v>0</v>
      </c>
      <c r="K957" s="116">
        <f>Overview!$H$97</f>
        <v>0</v>
      </c>
      <c r="L957" s="51" t="e">
        <f t="shared" si="321"/>
        <v>#DIV/0!</v>
      </c>
      <c r="M957" s="179"/>
      <c r="N957" s="179" t="s">
        <v>3144</v>
      </c>
      <c r="O957" s="141">
        <f t="shared" si="322"/>
        <v>0</v>
      </c>
      <c r="P957" s="181" t="b">
        <f>COUNTIF('Facility Data'!$A$1:$A$1500,"*"&amp;A957&amp;"*")&gt;0</f>
        <v>0</v>
      </c>
      <c r="Q957" s="181" t="b">
        <f>COUNTIF('Account Data'!$A$1:$A$1000,"*"&amp;A957&amp;"*")&gt;0</f>
        <v>0</v>
      </c>
      <c r="R957" s="182" t="b">
        <f t="shared" si="323"/>
        <v>0</v>
      </c>
      <c r="S957" s="182" t="b">
        <f t="shared" si="324"/>
        <v>0</v>
      </c>
      <c r="T957" s="181" t="b">
        <f>COUNTIF('New Items'!$A$1:$A$175,A957)&gt;0</f>
        <v>0</v>
      </c>
      <c r="U957" s="181" t="b">
        <f>COUNTIF(Discontinued!$A$1:$A$150,A957)&gt;0</f>
        <v>0</v>
      </c>
    </row>
    <row r="958" spans="1:21" s="8" customFormat="1" ht="12" thickBot="1" x14ac:dyDescent="0.25">
      <c r="A958" s="152">
        <v>10056911</v>
      </c>
      <c r="B958" s="10" t="s">
        <v>3319</v>
      </c>
      <c r="C958" s="12" t="s">
        <v>1470</v>
      </c>
      <c r="D958" s="11" t="s">
        <v>1480</v>
      </c>
      <c r="E958" s="12" t="s">
        <v>772</v>
      </c>
      <c r="F958" s="13">
        <v>12</v>
      </c>
      <c r="G958" s="22">
        <f>Overview!$B$97</f>
        <v>30</v>
      </c>
      <c r="H958" s="23">
        <f t="shared" si="319"/>
        <v>30</v>
      </c>
      <c r="I958" s="114">
        <f>Overview!$E$97</f>
        <v>0</v>
      </c>
      <c r="J958" s="24">
        <f t="shared" si="320"/>
        <v>0</v>
      </c>
      <c r="K958" s="116">
        <f>Overview!$H$97</f>
        <v>0</v>
      </c>
      <c r="L958" s="51" t="e">
        <f t="shared" si="321"/>
        <v>#DIV/0!</v>
      </c>
      <c r="M958" s="179"/>
      <c r="N958" s="179" t="s">
        <v>3144</v>
      </c>
      <c r="O958" s="141">
        <f t="shared" si="322"/>
        <v>0</v>
      </c>
      <c r="P958" s="181" t="b">
        <f>COUNTIF('Facility Data'!$A$1:$A$1500,"*"&amp;A958&amp;"*")&gt;0</f>
        <v>0</v>
      </c>
      <c r="Q958" s="181" t="b">
        <f>COUNTIF('Account Data'!$A$1:$A$1000,"*"&amp;A958&amp;"*")&gt;0</f>
        <v>0</v>
      </c>
      <c r="R958" s="182" t="b">
        <f t="shared" si="323"/>
        <v>0</v>
      </c>
      <c r="S958" s="182" t="b">
        <f t="shared" si="324"/>
        <v>0</v>
      </c>
      <c r="T958" s="181" t="b">
        <f>COUNTIF('New Items'!$A$1:$A$175,A958)&gt;0</f>
        <v>0</v>
      </c>
      <c r="U958" s="181" t="b">
        <f>COUNTIF(Discontinued!$A$1:$A$150,A958)&gt;0</f>
        <v>0</v>
      </c>
    </row>
    <row r="959" spans="1:21" s="8" customFormat="1" ht="13.5" thickBot="1" x14ac:dyDescent="0.25">
      <c r="A959" s="300" t="s">
        <v>3027</v>
      </c>
      <c r="B959" s="301"/>
      <c r="C959" s="301"/>
      <c r="D959" s="301"/>
      <c r="E959" s="301"/>
      <c r="F959" s="301"/>
      <c r="G959" s="301"/>
      <c r="H959" s="301"/>
      <c r="I959" s="301"/>
      <c r="J959" s="301"/>
      <c r="K959" s="301"/>
      <c r="L959" s="302"/>
      <c r="M959" s="179"/>
      <c r="N959" s="179" t="s">
        <v>3145</v>
      </c>
      <c r="O959" s="141">
        <f>AVERAGE(O960:O968)</f>
        <v>0</v>
      </c>
      <c r="P959" s="181" t="b">
        <f>COUNTIF(P960:P968,TRUE)&gt;0</f>
        <v>0</v>
      </c>
      <c r="Q959" s="181" t="b">
        <f>COUNTIF(Q960:Q968,TRUE)&gt;0</f>
        <v>0</v>
      </c>
      <c r="R959" s="181" t="b">
        <f>COUNTIF(R960:R968,TRUE)&gt;0</f>
        <v>0</v>
      </c>
      <c r="S959" s="181" t="b">
        <f>COUNTIF(S960:S968,TRUE)&gt;0</f>
        <v>0</v>
      </c>
      <c r="T959" s="181" t="b">
        <f>COUNTIF(T960:T968,TRUE)&gt;0</f>
        <v>0</v>
      </c>
      <c r="U959" s="249"/>
    </row>
    <row r="960" spans="1:21" s="8" customFormat="1" ht="11.25" x14ac:dyDescent="0.2">
      <c r="A960" s="152">
        <v>10002917</v>
      </c>
      <c r="B960" s="10" t="s">
        <v>3320</v>
      </c>
      <c r="C960" s="12" t="s">
        <v>1464</v>
      </c>
      <c r="D960" s="11" t="s">
        <v>1475</v>
      </c>
      <c r="E960" s="12" t="s">
        <v>772</v>
      </c>
      <c r="F960" s="13">
        <v>24</v>
      </c>
      <c r="G960" s="22">
        <f>Overview!$B$98</f>
        <v>30</v>
      </c>
      <c r="H960" s="23">
        <f t="shared" ref="H960:H968" si="325">G960-I960</f>
        <v>30</v>
      </c>
      <c r="I960" s="114">
        <f>Overview!$E$98</f>
        <v>0</v>
      </c>
      <c r="J960" s="24">
        <f t="shared" ref="J960:J968" si="326">I960/F960</f>
        <v>0</v>
      </c>
      <c r="K960" s="116">
        <f>Overview!$H$98</f>
        <v>0</v>
      </c>
      <c r="L960" s="51" t="e">
        <f t="shared" ref="L960:L968" si="327">(K960-J960)/K960</f>
        <v>#DIV/0!</v>
      </c>
      <c r="M960" s="179"/>
      <c r="N960" s="179" t="s">
        <v>3145</v>
      </c>
      <c r="O960" s="141">
        <f t="shared" ref="O960:O968" si="328">I960</f>
        <v>0</v>
      </c>
      <c r="P960" s="181" t="b">
        <f>COUNTIF('Facility Data'!$A$1:$A$1500,"*"&amp;A960&amp;"*")&gt;0</f>
        <v>0</v>
      </c>
      <c r="Q960" s="181" t="b">
        <f>COUNTIF('Account Data'!$A$1:$A$1000,"*"&amp;A960&amp;"*")&gt;0</f>
        <v>0</v>
      </c>
      <c r="R960" s="182" t="b">
        <f t="shared" ref="R960:R968" si="329">IF(OR(P960=TRUE,T960=TRUE),TRUE,FALSE)</f>
        <v>0</v>
      </c>
      <c r="S960" s="182" t="b">
        <f t="shared" ref="S960:S968" si="330">IF(OR(Q960=TRUE,T960=TRUE),TRUE,FALSE)</f>
        <v>0</v>
      </c>
      <c r="T960" s="181" t="b">
        <f>COUNTIF('New Items'!$A$1:$A$175,A960)&gt;0</f>
        <v>0</v>
      </c>
      <c r="U960" s="181" t="b">
        <f>COUNTIF(Discontinued!$A$1:$A$150,A960)&gt;0</f>
        <v>0</v>
      </c>
    </row>
    <row r="961" spans="1:21" s="8" customFormat="1" ht="11.25" x14ac:dyDescent="0.2">
      <c r="A961" s="152">
        <v>10002919</v>
      </c>
      <c r="B961" s="10" t="s">
        <v>3323</v>
      </c>
      <c r="C961" s="12" t="s">
        <v>1467</v>
      </c>
      <c r="D961" s="11" t="s">
        <v>1477</v>
      </c>
      <c r="E961" s="12" t="s">
        <v>772</v>
      </c>
      <c r="F961" s="13">
        <v>24</v>
      </c>
      <c r="G961" s="22">
        <f>Overview!$B$98</f>
        <v>30</v>
      </c>
      <c r="H961" s="23">
        <f t="shared" si="325"/>
        <v>30</v>
      </c>
      <c r="I961" s="114">
        <f>Overview!$E$98</f>
        <v>0</v>
      </c>
      <c r="J961" s="24">
        <f t="shared" si="326"/>
        <v>0</v>
      </c>
      <c r="K961" s="116">
        <f>Overview!$H$98</f>
        <v>0</v>
      </c>
      <c r="L961" s="51" t="e">
        <f t="shared" si="327"/>
        <v>#DIV/0!</v>
      </c>
      <c r="M961" s="179"/>
      <c r="N961" s="179" t="s">
        <v>3145</v>
      </c>
      <c r="O961" s="141">
        <f t="shared" si="328"/>
        <v>0</v>
      </c>
      <c r="P961" s="181" t="b">
        <f>COUNTIF('Facility Data'!$A$1:$A$1500,"*"&amp;A961&amp;"*")&gt;0</f>
        <v>0</v>
      </c>
      <c r="Q961" s="181" t="b">
        <f>COUNTIF('Account Data'!$A$1:$A$1000,"*"&amp;A961&amp;"*")&gt;0</f>
        <v>0</v>
      </c>
      <c r="R961" s="182" t="b">
        <f t="shared" si="329"/>
        <v>0</v>
      </c>
      <c r="S961" s="182" t="b">
        <f t="shared" si="330"/>
        <v>0</v>
      </c>
      <c r="T961" s="181" t="b">
        <f>COUNTIF('New Items'!$A$1:$A$175,A961)&gt;0</f>
        <v>0</v>
      </c>
      <c r="U961" s="181" t="b">
        <f>COUNTIF(Discontinued!$A$1:$A$150,A961)&gt;0</f>
        <v>0</v>
      </c>
    </row>
    <row r="962" spans="1:21" s="8" customFormat="1" ht="11.25" x14ac:dyDescent="0.2">
      <c r="A962" s="152">
        <v>10002921</v>
      </c>
      <c r="B962" s="10" t="s">
        <v>3322</v>
      </c>
      <c r="C962" s="12" t="s">
        <v>1466</v>
      </c>
      <c r="D962" s="11" t="s">
        <v>691</v>
      </c>
      <c r="E962" s="12" t="s">
        <v>772</v>
      </c>
      <c r="F962" s="13">
        <v>24</v>
      </c>
      <c r="G962" s="22">
        <f>Overview!$B$98</f>
        <v>30</v>
      </c>
      <c r="H962" s="23">
        <f t="shared" si="325"/>
        <v>30</v>
      </c>
      <c r="I962" s="114">
        <f>Overview!$E$98</f>
        <v>0</v>
      </c>
      <c r="J962" s="24">
        <f t="shared" si="326"/>
        <v>0</v>
      </c>
      <c r="K962" s="116">
        <f>Overview!$H$98</f>
        <v>0</v>
      </c>
      <c r="L962" s="51" t="e">
        <f t="shared" si="327"/>
        <v>#DIV/0!</v>
      </c>
      <c r="M962" s="179"/>
      <c r="N962" s="179" t="s">
        <v>3145</v>
      </c>
      <c r="O962" s="141">
        <f t="shared" si="328"/>
        <v>0</v>
      </c>
      <c r="P962" s="181" t="b">
        <f>COUNTIF('Facility Data'!$A$1:$A$1500,"*"&amp;A962&amp;"*")&gt;0</f>
        <v>0</v>
      </c>
      <c r="Q962" s="181" t="b">
        <f>COUNTIF('Account Data'!$A$1:$A$1000,"*"&amp;A962&amp;"*")&gt;0</f>
        <v>0</v>
      </c>
      <c r="R962" s="182" t="b">
        <f t="shared" si="329"/>
        <v>0</v>
      </c>
      <c r="S962" s="182" t="b">
        <f t="shared" si="330"/>
        <v>0</v>
      </c>
      <c r="T962" s="181" t="b">
        <f>COUNTIF('New Items'!$A$1:$A$175,A962)&gt;0</f>
        <v>0</v>
      </c>
      <c r="U962" s="181" t="b">
        <f>COUNTIF(Discontinued!$A$1:$A$150,A962)&gt;0</f>
        <v>0</v>
      </c>
    </row>
    <row r="963" spans="1:21" s="8" customFormat="1" ht="11.25" x14ac:dyDescent="0.2">
      <c r="A963" s="152">
        <v>10002918</v>
      </c>
      <c r="B963" s="10" t="s">
        <v>3328</v>
      </c>
      <c r="C963" s="12" t="s">
        <v>3030</v>
      </c>
      <c r="D963" s="11" t="s">
        <v>3033</v>
      </c>
      <c r="E963" s="12" t="s">
        <v>772</v>
      </c>
      <c r="F963" s="13">
        <v>24</v>
      </c>
      <c r="G963" s="22">
        <f>Overview!$B$98</f>
        <v>30</v>
      </c>
      <c r="H963" s="23">
        <f t="shared" si="325"/>
        <v>30</v>
      </c>
      <c r="I963" s="114">
        <f>Overview!$E$98</f>
        <v>0</v>
      </c>
      <c r="J963" s="24">
        <f t="shared" si="326"/>
        <v>0</v>
      </c>
      <c r="K963" s="116">
        <f>Overview!$H$98</f>
        <v>0</v>
      </c>
      <c r="L963" s="51" t="e">
        <f t="shared" si="327"/>
        <v>#DIV/0!</v>
      </c>
      <c r="M963" s="179"/>
      <c r="N963" s="179" t="s">
        <v>3145</v>
      </c>
      <c r="O963" s="141">
        <f t="shared" si="328"/>
        <v>0</v>
      </c>
      <c r="P963" s="181" t="b">
        <f>COUNTIF('Facility Data'!$A$1:$A$1500,"*"&amp;A963&amp;"*")&gt;0</f>
        <v>0</v>
      </c>
      <c r="Q963" s="181" t="b">
        <f>COUNTIF('Account Data'!$A$1:$A$1000,"*"&amp;A963&amp;"*")&gt;0</f>
        <v>0</v>
      </c>
      <c r="R963" s="182" t="b">
        <f t="shared" si="329"/>
        <v>0</v>
      </c>
      <c r="S963" s="182" t="b">
        <f t="shared" si="330"/>
        <v>0</v>
      </c>
      <c r="T963" s="181" t="b">
        <f>COUNTIF('New Items'!$A$1:$A$175,A963)&gt;0</f>
        <v>0</v>
      </c>
      <c r="U963" s="181" t="b">
        <f>COUNTIF(Discontinued!$A$1:$A$150,A963)&gt;0</f>
        <v>0</v>
      </c>
    </row>
    <row r="964" spans="1:21" s="8" customFormat="1" ht="11.25" x14ac:dyDescent="0.2">
      <c r="A964" s="152">
        <v>10002925</v>
      </c>
      <c r="B964" s="10" t="s">
        <v>3326</v>
      </c>
      <c r="C964" s="12" t="s">
        <v>1469</v>
      </c>
      <c r="D964" s="11" t="s">
        <v>1479</v>
      </c>
      <c r="E964" s="12" t="s">
        <v>772</v>
      </c>
      <c r="F964" s="13">
        <v>24</v>
      </c>
      <c r="G964" s="22">
        <f>Overview!$B$98</f>
        <v>30</v>
      </c>
      <c r="H964" s="23">
        <f t="shared" si="325"/>
        <v>30</v>
      </c>
      <c r="I964" s="114">
        <f>Overview!$E$98</f>
        <v>0</v>
      </c>
      <c r="J964" s="24">
        <f t="shared" si="326"/>
        <v>0</v>
      </c>
      <c r="K964" s="116">
        <f>Overview!$H$98</f>
        <v>0</v>
      </c>
      <c r="L964" s="51" t="e">
        <f t="shared" si="327"/>
        <v>#DIV/0!</v>
      </c>
      <c r="M964" s="179"/>
      <c r="N964" s="179" t="s">
        <v>3145</v>
      </c>
      <c r="O964" s="141">
        <f t="shared" si="328"/>
        <v>0</v>
      </c>
      <c r="P964" s="181" t="b">
        <f>COUNTIF('Facility Data'!$A$1:$A$1500,"*"&amp;A964&amp;"*")&gt;0</f>
        <v>0</v>
      </c>
      <c r="Q964" s="181" t="b">
        <f>COUNTIF('Account Data'!$A$1:$A$1000,"*"&amp;A964&amp;"*")&gt;0</f>
        <v>0</v>
      </c>
      <c r="R964" s="182" t="b">
        <f t="shared" si="329"/>
        <v>0</v>
      </c>
      <c r="S964" s="182" t="b">
        <f t="shared" si="330"/>
        <v>0</v>
      </c>
      <c r="T964" s="181" t="b">
        <f>COUNTIF('New Items'!$A$1:$A$175,A964)&gt;0</f>
        <v>0</v>
      </c>
      <c r="U964" s="181" t="b">
        <f>COUNTIF(Discontinued!$A$1:$A$150,A964)&gt;0</f>
        <v>0</v>
      </c>
    </row>
    <row r="965" spans="1:21" s="8" customFormat="1" ht="11.25" x14ac:dyDescent="0.2">
      <c r="A965" s="152">
        <v>10002923</v>
      </c>
      <c r="B965" s="10" t="s">
        <v>3325</v>
      </c>
      <c r="C965" s="12" t="s">
        <v>3029</v>
      </c>
      <c r="D965" s="11" t="s">
        <v>3031</v>
      </c>
      <c r="E965" s="12" t="s">
        <v>772</v>
      </c>
      <c r="F965" s="13">
        <v>24</v>
      </c>
      <c r="G965" s="22">
        <f>Overview!$B$98</f>
        <v>30</v>
      </c>
      <c r="H965" s="23">
        <f t="shared" si="325"/>
        <v>30</v>
      </c>
      <c r="I965" s="114">
        <f>Overview!$E$98</f>
        <v>0</v>
      </c>
      <c r="J965" s="24">
        <f t="shared" si="326"/>
        <v>0</v>
      </c>
      <c r="K965" s="116">
        <f>Overview!$H$98</f>
        <v>0</v>
      </c>
      <c r="L965" s="51" t="e">
        <f t="shared" si="327"/>
        <v>#DIV/0!</v>
      </c>
      <c r="M965" s="179"/>
      <c r="N965" s="179" t="s">
        <v>3145</v>
      </c>
      <c r="O965" s="141">
        <f t="shared" si="328"/>
        <v>0</v>
      </c>
      <c r="P965" s="181" t="b">
        <f>COUNTIF('Facility Data'!$A$1:$A$1500,"*"&amp;A965&amp;"*")&gt;0</f>
        <v>0</v>
      </c>
      <c r="Q965" s="181" t="b">
        <f>COUNTIF('Account Data'!$A$1:$A$1000,"*"&amp;A965&amp;"*")&gt;0</f>
        <v>0</v>
      </c>
      <c r="R965" s="182" t="b">
        <f t="shared" si="329"/>
        <v>0</v>
      </c>
      <c r="S965" s="182" t="b">
        <f t="shared" si="330"/>
        <v>0</v>
      </c>
      <c r="T965" s="181" t="b">
        <f>COUNTIF('New Items'!$A$1:$A$175,A965)&gt;0</f>
        <v>0</v>
      </c>
      <c r="U965" s="181" t="b">
        <f>COUNTIF(Discontinued!$A$1:$A$150,A965)&gt;0</f>
        <v>0</v>
      </c>
    </row>
    <row r="966" spans="1:21" s="8" customFormat="1" ht="11.25" x14ac:dyDescent="0.2">
      <c r="A966" s="152">
        <v>10002920</v>
      </c>
      <c r="B966" s="10" t="s">
        <v>3321</v>
      </c>
      <c r="C966" s="12" t="s">
        <v>1465</v>
      </c>
      <c r="D966" s="11" t="s">
        <v>1476</v>
      </c>
      <c r="E966" s="12" t="s">
        <v>772</v>
      </c>
      <c r="F966" s="13">
        <v>24</v>
      </c>
      <c r="G966" s="22">
        <f>Overview!$B$98</f>
        <v>30</v>
      </c>
      <c r="H966" s="23">
        <f t="shared" si="325"/>
        <v>30</v>
      </c>
      <c r="I966" s="114">
        <f>Overview!$E$98</f>
        <v>0</v>
      </c>
      <c r="J966" s="24">
        <f t="shared" si="326"/>
        <v>0</v>
      </c>
      <c r="K966" s="116">
        <f>Overview!$H$98</f>
        <v>0</v>
      </c>
      <c r="L966" s="51" t="e">
        <f t="shared" si="327"/>
        <v>#DIV/0!</v>
      </c>
      <c r="M966" s="179"/>
      <c r="N966" s="179" t="s">
        <v>3145</v>
      </c>
      <c r="O966" s="141">
        <f t="shared" si="328"/>
        <v>0</v>
      </c>
      <c r="P966" s="181" t="b">
        <f>COUNTIF('Facility Data'!$A$1:$A$1500,"*"&amp;A966&amp;"*")&gt;0</f>
        <v>0</v>
      </c>
      <c r="Q966" s="181" t="b">
        <f>COUNTIF('Account Data'!$A$1:$A$1000,"*"&amp;A966&amp;"*")&gt;0</f>
        <v>0</v>
      </c>
      <c r="R966" s="182" t="b">
        <f t="shared" si="329"/>
        <v>0</v>
      </c>
      <c r="S966" s="182" t="b">
        <f t="shared" si="330"/>
        <v>0</v>
      </c>
      <c r="T966" s="181" t="b">
        <f>COUNTIF('New Items'!$A$1:$A$175,A966)&gt;0</f>
        <v>0</v>
      </c>
      <c r="U966" s="181" t="b">
        <f>COUNTIF(Discontinued!$A$1:$A$150,A966)&gt;0</f>
        <v>0</v>
      </c>
    </row>
    <row r="967" spans="1:21" s="8" customFormat="1" ht="11.25" x14ac:dyDescent="0.2">
      <c r="A967" s="152">
        <v>10002924</v>
      </c>
      <c r="B967" s="10" t="s">
        <v>3324</v>
      </c>
      <c r="C967" s="12" t="s">
        <v>3028</v>
      </c>
      <c r="D967" s="11" t="s">
        <v>3032</v>
      </c>
      <c r="E967" s="12" t="s">
        <v>772</v>
      </c>
      <c r="F967" s="13">
        <v>24</v>
      </c>
      <c r="G967" s="22">
        <f>Overview!$B$98</f>
        <v>30</v>
      </c>
      <c r="H967" s="23">
        <f t="shared" si="325"/>
        <v>30</v>
      </c>
      <c r="I967" s="114">
        <f>Overview!$E$98</f>
        <v>0</v>
      </c>
      <c r="J967" s="24">
        <f t="shared" si="326"/>
        <v>0</v>
      </c>
      <c r="K967" s="116">
        <f>Overview!$H$98</f>
        <v>0</v>
      </c>
      <c r="L967" s="51" t="e">
        <f t="shared" si="327"/>
        <v>#DIV/0!</v>
      </c>
      <c r="M967" s="179"/>
      <c r="N967" s="179" t="s">
        <v>3145</v>
      </c>
      <c r="O967" s="141">
        <f t="shared" si="328"/>
        <v>0</v>
      </c>
      <c r="P967" s="181" t="b">
        <f>COUNTIF('Facility Data'!$A$1:$A$1500,"*"&amp;A967&amp;"*")&gt;0</f>
        <v>0</v>
      </c>
      <c r="Q967" s="181" t="b">
        <f>COUNTIF('Account Data'!$A$1:$A$1000,"*"&amp;A967&amp;"*")&gt;0</f>
        <v>0</v>
      </c>
      <c r="R967" s="182" t="b">
        <f t="shared" si="329"/>
        <v>0</v>
      </c>
      <c r="S967" s="182" t="b">
        <f t="shared" si="330"/>
        <v>0</v>
      </c>
      <c r="T967" s="181" t="b">
        <f>COUNTIF('New Items'!$A$1:$A$175,A967)&gt;0</f>
        <v>0</v>
      </c>
      <c r="U967" s="181" t="b">
        <f>COUNTIF(Discontinued!$A$1:$A$150,A967)&gt;0</f>
        <v>0</v>
      </c>
    </row>
    <row r="968" spans="1:21" s="8" customFormat="1" ht="12" thickBot="1" x14ac:dyDescent="0.25">
      <c r="A968" s="152">
        <v>10002922</v>
      </c>
      <c r="B968" s="10" t="s">
        <v>3327</v>
      </c>
      <c r="C968" s="12" t="s">
        <v>1470</v>
      </c>
      <c r="D968" s="11" t="s">
        <v>1480</v>
      </c>
      <c r="E968" s="12" t="s">
        <v>772</v>
      </c>
      <c r="F968" s="13">
        <v>24</v>
      </c>
      <c r="G968" s="22">
        <f>Overview!$B$98</f>
        <v>30</v>
      </c>
      <c r="H968" s="23">
        <f t="shared" si="325"/>
        <v>30</v>
      </c>
      <c r="I968" s="114">
        <f>Overview!$E$98</f>
        <v>0</v>
      </c>
      <c r="J968" s="24">
        <f t="shared" si="326"/>
        <v>0</v>
      </c>
      <c r="K968" s="116">
        <f>Overview!$H$98</f>
        <v>0</v>
      </c>
      <c r="L968" s="51" t="e">
        <f t="shared" si="327"/>
        <v>#DIV/0!</v>
      </c>
      <c r="M968" s="179"/>
      <c r="N968" s="179" t="s">
        <v>3145</v>
      </c>
      <c r="O968" s="141">
        <f t="shared" si="328"/>
        <v>0</v>
      </c>
      <c r="P968" s="181" t="b">
        <f>COUNTIF('Facility Data'!$A$1:$A$1500,"*"&amp;A968&amp;"*")&gt;0</f>
        <v>0</v>
      </c>
      <c r="Q968" s="181" t="b">
        <f>COUNTIF('Account Data'!$A$1:$A$1000,"*"&amp;A968&amp;"*")&gt;0</f>
        <v>0</v>
      </c>
      <c r="R968" s="182" t="b">
        <f t="shared" si="329"/>
        <v>0</v>
      </c>
      <c r="S968" s="182" t="b">
        <f t="shared" si="330"/>
        <v>0</v>
      </c>
      <c r="T968" s="181" t="b">
        <f>COUNTIF('New Items'!$A$1:$A$175,A968)&gt;0</f>
        <v>0</v>
      </c>
      <c r="U968" s="181" t="b">
        <f>COUNTIF(Discontinued!$A$1:$A$150,A968)&gt;0</f>
        <v>0</v>
      </c>
    </row>
    <row r="969" spans="1:21" s="8" customFormat="1" ht="13.5" thickBot="1" x14ac:dyDescent="0.25">
      <c r="A969" s="300" t="s">
        <v>3034</v>
      </c>
      <c r="B969" s="301"/>
      <c r="C969" s="301"/>
      <c r="D969" s="301"/>
      <c r="E969" s="301"/>
      <c r="F969" s="301"/>
      <c r="G969" s="301"/>
      <c r="H969" s="301"/>
      <c r="I969" s="301"/>
      <c r="J969" s="301"/>
      <c r="K969" s="301"/>
      <c r="L969" s="302"/>
      <c r="M969" s="179"/>
      <c r="N969" s="179" t="s">
        <v>3146</v>
      </c>
      <c r="O969" s="141">
        <f>AVERAGE(O970:O973)</f>
        <v>0</v>
      </c>
      <c r="P969" s="181" t="b">
        <f>COUNTIF(P970:P973,TRUE)&gt;0</f>
        <v>0</v>
      </c>
      <c r="Q969" s="181" t="b">
        <f>COUNTIF(Q970:Q973,TRUE)&gt;0</f>
        <v>0</v>
      </c>
      <c r="R969" s="181" t="b">
        <f>COUNTIF(R970:R973,TRUE)&gt;0</f>
        <v>0</v>
      </c>
      <c r="S969" s="181" t="b">
        <f>COUNTIF(S970:S973,TRUE)&gt;0</f>
        <v>0</v>
      </c>
      <c r="T969" s="181" t="b">
        <f>COUNTIF(T970:T973,TRUE)&gt;0</f>
        <v>0</v>
      </c>
      <c r="U969" s="249"/>
    </row>
    <row r="970" spans="1:21" s="8" customFormat="1" ht="11.25" x14ac:dyDescent="0.2">
      <c r="A970" s="152">
        <v>10002698</v>
      </c>
      <c r="B970" s="10" t="s">
        <v>3039</v>
      </c>
      <c r="C970" s="12" t="s">
        <v>3040</v>
      </c>
      <c r="D970" s="11" t="s">
        <v>1472</v>
      </c>
      <c r="E970" s="12" t="s">
        <v>780</v>
      </c>
      <c r="F970" s="13">
        <v>8</v>
      </c>
      <c r="G970" s="22">
        <f>Overview!$B$99</f>
        <v>24</v>
      </c>
      <c r="H970" s="23">
        <f>G970-I970</f>
        <v>24</v>
      </c>
      <c r="I970" s="114">
        <f>Overview!$E$99</f>
        <v>0</v>
      </c>
      <c r="J970" s="24">
        <f>I970/F970</f>
        <v>0</v>
      </c>
      <c r="K970" s="116">
        <f>Overview!$H$99</f>
        <v>0</v>
      </c>
      <c r="L970" s="51" t="e">
        <f>(K970-J970)/K970</f>
        <v>#DIV/0!</v>
      </c>
      <c r="M970" s="179"/>
      <c r="N970" s="179" t="s">
        <v>3146</v>
      </c>
      <c r="O970" s="141">
        <f>I970</f>
        <v>0</v>
      </c>
      <c r="P970" s="181" t="b">
        <f>COUNTIF('Facility Data'!$A$1:$A$1500,"*"&amp;A970&amp;"*")&gt;0</f>
        <v>0</v>
      </c>
      <c r="Q970" s="181" t="b">
        <f>COUNTIF('Account Data'!$A$1:$A$1000,"*"&amp;A970&amp;"*")&gt;0</f>
        <v>0</v>
      </c>
      <c r="R970" s="182" t="b">
        <f>IF(OR(P970=TRUE,T970=TRUE),TRUE,FALSE)</f>
        <v>0</v>
      </c>
      <c r="S970" s="182" t="b">
        <f>IF(OR(Q970=TRUE,T970=TRUE),TRUE,FALSE)</f>
        <v>0</v>
      </c>
      <c r="T970" s="181" t="b">
        <f>COUNTIF('New Items'!$A$1:$A$175,A970)&gt;0</f>
        <v>0</v>
      </c>
      <c r="U970" s="181" t="b">
        <f>COUNTIF(Discontinued!$A$1:$A$150,A970)&gt;0</f>
        <v>0</v>
      </c>
    </row>
    <row r="971" spans="1:21" s="8" customFormat="1" ht="11.25" x14ac:dyDescent="0.2">
      <c r="A971" s="152">
        <v>10002731</v>
      </c>
      <c r="B971" s="10" t="s">
        <v>3038</v>
      </c>
      <c r="C971" s="12" t="s">
        <v>3037</v>
      </c>
      <c r="D971" s="11" t="s">
        <v>1471</v>
      </c>
      <c r="E971" s="12" t="s">
        <v>780</v>
      </c>
      <c r="F971" s="13">
        <v>8</v>
      </c>
      <c r="G971" s="22">
        <f>Overview!$B$99</f>
        <v>24</v>
      </c>
      <c r="H971" s="23">
        <f>G971-I971</f>
        <v>24</v>
      </c>
      <c r="I971" s="114">
        <f>Overview!$E$99</f>
        <v>0</v>
      </c>
      <c r="J971" s="24">
        <f>I971/F971</f>
        <v>0</v>
      </c>
      <c r="K971" s="116">
        <f>Overview!$H$99</f>
        <v>0</v>
      </c>
      <c r="L971" s="51" t="e">
        <f>(K971-J971)/K971</f>
        <v>#DIV/0!</v>
      </c>
      <c r="M971" s="179"/>
      <c r="N971" s="179" t="s">
        <v>3146</v>
      </c>
      <c r="O971" s="141">
        <f>I971</f>
        <v>0</v>
      </c>
      <c r="P971" s="181" t="b">
        <f>COUNTIF('Facility Data'!$A$1:$A$1500,"*"&amp;A971&amp;"*")&gt;0</f>
        <v>0</v>
      </c>
      <c r="Q971" s="181" t="b">
        <f>COUNTIF('Account Data'!$A$1:$A$1000,"*"&amp;A971&amp;"*")&gt;0</f>
        <v>0</v>
      </c>
      <c r="R971" s="182" t="b">
        <f>IF(OR(P971=TRUE,T971=TRUE),TRUE,FALSE)</f>
        <v>0</v>
      </c>
      <c r="S971" s="182" t="b">
        <f>IF(OR(Q971=TRUE,T971=TRUE),TRUE,FALSE)</f>
        <v>0</v>
      </c>
      <c r="T971" s="181" t="b">
        <f>COUNTIF('New Items'!$A$1:$A$175,A971)&gt;0</f>
        <v>0</v>
      </c>
      <c r="U971" s="181" t="b">
        <f>COUNTIF(Discontinued!$A$1:$A$150,A971)&gt;0</f>
        <v>0</v>
      </c>
    </row>
    <row r="972" spans="1:21" s="8" customFormat="1" ht="11.25" x14ac:dyDescent="0.2">
      <c r="A972" s="152">
        <v>10002760</v>
      </c>
      <c r="B972" s="10" t="s">
        <v>3041</v>
      </c>
      <c r="C972" s="12" t="s">
        <v>3042</v>
      </c>
      <c r="D972" s="11" t="s">
        <v>1473</v>
      </c>
      <c r="E972" s="12" t="s">
        <v>780</v>
      </c>
      <c r="F972" s="13">
        <v>8</v>
      </c>
      <c r="G972" s="22">
        <f>Overview!$B$99</f>
        <v>24</v>
      </c>
      <c r="H972" s="23">
        <f>G972-I972</f>
        <v>24</v>
      </c>
      <c r="I972" s="114">
        <f>Overview!$E$99</f>
        <v>0</v>
      </c>
      <c r="J972" s="24">
        <f>I972/F972</f>
        <v>0</v>
      </c>
      <c r="K972" s="116">
        <f>Overview!$H$99</f>
        <v>0</v>
      </c>
      <c r="L972" s="51" t="e">
        <f>(K972-J972)/K972</f>
        <v>#DIV/0!</v>
      </c>
      <c r="M972" s="179"/>
      <c r="N972" s="179" t="s">
        <v>3146</v>
      </c>
      <c r="O972" s="141">
        <f>I972</f>
        <v>0</v>
      </c>
      <c r="P972" s="181" t="b">
        <f>COUNTIF('Facility Data'!$A$1:$A$1500,"*"&amp;A972&amp;"*")&gt;0</f>
        <v>0</v>
      </c>
      <c r="Q972" s="181" t="b">
        <f>COUNTIF('Account Data'!$A$1:$A$1000,"*"&amp;A972&amp;"*")&gt;0</f>
        <v>0</v>
      </c>
      <c r="R972" s="182" t="b">
        <f>IF(OR(P972=TRUE,T972=TRUE),TRUE,FALSE)</f>
        <v>0</v>
      </c>
      <c r="S972" s="182" t="b">
        <f>IF(OR(Q972=TRUE,T972=TRUE),TRUE,FALSE)</f>
        <v>0</v>
      </c>
      <c r="T972" s="181" t="b">
        <f>COUNTIF('New Items'!$A$1:$A$175,A972)&gt;0</f>
        <v>0</v>
      </c>
      <c r="U972" s="181" t="b">
        <f>COUNTIF(Discontinued!$A$1:$A$150,A972)&gt;0</f>
        <v>0</v>
      </c>
    </row>
    <row r="973" spans="1:21" s="8" customFormat="1" ht="12" thickBot="1" x14ac:dyDescent="0.25">
      <c r="A973" s="152">
        <v>10002752</v>
      </c>
      <c r="B973" s="10" t="s">
        <v>3036</v>
      </c>
      <c r="C973" s="12" t="s">
        <v>3037</v>
      </c>
      <c r="D973" s="11" t="s">
        <v>3035</v>
      </c>
      <c r="E973" s="12" t="s">
        <v>780</v>
      </c>
      <c r="F973" s="13">
        <v>4</v>
      </c>
      <c r="G973" s="22">
        <f>Overview!$B$100</f>
        <v>24</v>
      </c>
      <c r="H973" s="23">
        <f>G973-I973</f>
        <v>24</v>
      </c>
      <c r="I973" s="114">
        <f>Overview!$E$100</f>
        <v>0</v>
      </c>
      <c r="J973" s="24">
        <f>I973/F973</f>
        <v>0</v>
      </c>
      <c r="K973" s="116">
        <f>Overview!$H$100</f>
        <v>0</v>
      </c>
      <c r="L973" s="51" t="e">
        <f>(K973-J973)/K973</f>
        <v>#DIV/0!</v>
      </c>
      <c r="M973" s="179"/>
      <c r="N973" s="179" t="s">
        <v>3146</v>
      </c>
      <c r="O973" s="141">
        <f>I973</f>
        <v>0</v>
      </c>
      <c r="P973" s="181" t="b">
        <f>COUNTIF('Facility Data'!$A$1:$A$1500,"*"&amp;A973&amp;"*")&gt;0</f>
        <v>0</v>
      </c>
      <c r="Q973" s="181" t="b">
        <f>COUNTIF('Account Data'!$A$1:$A$1000,"*"&amp;A973&amp;"*")&gt;0</f>
        <v>0</v>
      </c>
      <c r="R973" s="182" t="b">
        <f>IF(OR(P973=TRUE,T973=TRUE),TRUE,FALSE)</f>
        <v>0</v>
      </c>
      <c r="S973" s="182" t="b">
        <f>IF(OR(Q973=TRUE,T973=TRUE),TRUE,FALSE)</f>
        <v>0</v>
      </c>
      <c r="T973" s="181" t="b">
        <f>COUNTIF('New Items'!$A$1:$A$175,A973)&gt;0</f>
        <v>0</v>
      </c>
      <c r="U973" s="181" t="b">
        <f>COUNTIF(Discontinued!$A$1:$A$150,A973)&gt;0</f>
        <v>0</v>
      </c>
    </row>
    <row r="974" spans="1:21" s="8" customFormat="1" ht="13.5" thickBot="1" x14ac:dyDescent="0.25">
      <c r="A974" s="300" t="s">
        <v>1481</v>
      </c>
      <c r="B974" s="301"/>
      <c r="C974" s="301"/>
      <c r="D974" s="301"/>
      <c r="E974" s="301"/>
      <c r="F974" s="301"/>
      <c r="G974" s="301"/>
      <c r="H974" s="301"/>
      <c r="I974" s="301"/>
      <c r="J974" s="301"/>
      <c r="K974" s="301"/>
      <c r="L974" s="302"/>
      <c r="M974" s="179"/>
      <c r="N974" s="179" t="s">
        <v>3147</v>
      </c>
      <c r="O974" s="141">
        <f>AVERAGE(O975:O990)</f>
        <v>0</v>
      </c>
      <c r="P974" s="181" t="b">
        <f>COUNTIF(P975:P990,TRUE)&gt;0</f>
        <v>0</v>
      </c>
      <c r="Q974" s="181" t="b">
        <f>COUNTIF(Q975:Q990,TRUE)&gt;0</f>
        <v>0</v>
      </c>
      <c r="R974" s="181" t="b">
        <f>COUNTIF(R975:R990,TRUE)&gt;0</f>
        <v>0</v>
      </c>
      <c r="S974" s="181" t="b">
        <f>COUNTIF(S975:S990,TRUE)&gt;0</f>
        <v>0</v>
      </c>
      <c r="T974" s="181" t="b">
        <f>COUNTIF(T975:T990,TRUE)&gt;0</f>
        <v>0</v>
      </c>
      <c r="U974" s="249"/>
    </row>
    <row r="975" spans="1:21" s="8" customFormat="1" ht="11.25" x14ac:dyDescent="0.2">
      <c r="A975" s="152">
        <v>10081667</v>
      </c>
      <c r="B975" s="10" t="s">
        <v>3332</v>
      </c>
      <c r="C975" s="12" t="s">
        <v>1485</v>
      </c>
      <c r="D975" s="11" t="s">
        <v>1501</v>
      </c>
      <c r="E975" s="12" t="s">
        <v>772</v>
      </c>
      <c r="F975" s="13">
        <v>12</v>
      </c>
      <c r="G975" s="22">
        <f>Overview!$B$101</f>
        <v>36</v>
      </c>
      <c r="H975" s="23">
        <f t="shared" ref="H975:H990" si="331">G975-I975</f>
        <v>36</v>
      </c>
      <c r="I975" s="114">
        <f>Overview!$E$101</f>
        <v>0</v>
      </c>
      <c r="J975" s="24">
        <f t="shared" ref="J975:J990" si="332">I975/F975</f>
        <v>0</v>
      </c>
      <c r="K975" s="116">
        <f>Overview!$H$101</f>
        <v>0</v>
      </c>
      <c r="L975" s="51" t="e">
        <f t="shared" ref="L975:L990" si="333">(K975-J975)/K975</f>
        <v>#DIV/0!</v>
      </c>
      <c r="M975" s="179"/>
      <c r="N975" s="179" t="s">
        <v>3147</v>
      </c>
      <c r="O975" s="141">
        <f t="shared" ref="O975:O990" si="334">I975</f>
        <v>0</v>
      </c>
      <c r="P975" s="181" t="b">
        <f>COUNTIF('Facility Data'!$A$1:$A$1500,"*"&amp;A975&amp;"*")&gt;0</f>
        <v>0</v>
      </c>
      <c r="Q975" s="181" t="b">
        <f>COUNTIF('Account Data'!$A$1:$A$1000,"*"&amp;A975&amp;"*")&gt;0</f>
        <v>0</v>
      </c>
      <c r="R975" s="182" t="b">
        <f t="shared" ref="R975:R990" si="335">IF(OR(P975=TRUE,T975=TRUE),TRUE,FALSE)</f>
        <v>0</v>
      </c>
      <c r="S975" s="182" t="b">
        <f t="shared" ref="S975:S990" si="336">IF(OR(Q975=TRUE,T975=TRUE),TRUE,FALSE)</f>
        <v>0</v>
      </c>
      <c r="T975" s="181" t="b">
        <f>COUNTIF('New Items'!$A$1:$A$175,A975)&gt;0</f>
        <v>0</v>
      </c>
      <c r="U975" s="181" t="b">
        <f>COUNTIF(Discontinued!$A$1:$A$150,A975)&gt;0</f>
        <v>0</v>
      </c>
    </row>
    <row r="976" spans="1:21" s="8" customFormat="1" ht="11.25" x14ac:dyDescent="0.2">
      <c r="A976" s="152">
        <v>10081672</v>
      </c>
      <c r="B976" s="10" t="s">
        <v>3342</v>
      </c>
      <c r="C976" s="12" t="s">
        <v>1499</v>
      </c>
      <c r="D976" s="11" t="s">
        <v>1502</v>
      </c>
      <c r="E976" s="12" t="s">
        <v>772</v>
      </c>
      <c r="F976" s="13">
        <v>12</v>
      </c>
      <c r="G976" s="22">
        <f>Overview!$B$101</f>
        <v>36</v>
      </c>
      <c r="H976" s="23">
        <f t="shared" si="331"/>
        <v>36</v>
      </c>
      <c r="I976" s="114">
        <f>Overview!$E$101</f>
        <v>0</v>
      </c>
      <c r="J976" s="24">
        <f t="shared" si="332"/>
        <v>0</v>
      </c>
      <c r="K976" s="116">
        <f>Overview!$H$101</f>
        <v>0</v>
      </c>
      <c r="L976" s="51" t="e">
        <f t="shared" si="333"/>
        <v>#DIV/0!</v>
      </c>
      <c r="M976" s="179"/>
      <c r="N976" s="179" t="s">
        <v>3147</v>
      </c>
      <c r="O976" s="141">
        <f t="shared" si="334"/>
        <v>0</v>
      </c>
      <c r="P976" s="181" t="b">
        <f>COUNTIF('Facility Data'!$A$1:$A$1500,"*"&amp;A976&amp;"*")&gt;0</f>
        <v>0</v>
      </c>
      <c r="Q976" s="181" t="b">
        <f>COUNTIF('Account Data'!$A$1:$A$1000,"*"&amp;A976&amp;"*")&gt;0</f>
        <v>0</v>
      </c>
      <c r="R976" s="182" t="b">
        <f t="shared" si="335"/>
        <v>0</v>
      </c>
      <c r="S976" s="182" t="b">
        <f t="shared" si="336"/>
        <v>0</v>
      </c>
      <c r="T976" s="181" t="b">
        <f>COUNTIF('New Items'!$A$1:$A$175,A976)&gt;0</f>
        <v>0</v>
      </c>
      <c r="U976" s="181" t="b">
        <f>COUNTIF(Discontinued!$A$1:$A$150,A976)&gt;0</f>
        <v>0</v>
      </c>
    </row>
    <row r="977" spans="1:21" s="8" customFormat="1" ht="11.25" x14ac:dyDescent="0.2">
      <c r="A977" s="152">
        <v>10081626</v>
      </c>
      <c r="B977" s="10" t="s">
        <v>3337</v>
      </c>
      <c r="C977" s="12" t="s">
        <v>1492</v>
      </c>
      <c r="D977" s="11" t="s">
        <v>1512</v>
      </c>
      <c r="E977" s="12" t="s">
        <v>772</v>
      </c>
      <c r="F977" s="13">
        <v>12</v>
      </c>
      <c r="G977" s="22">
        <f>Overview!$B$101</f>
        <v>36</v>
      </c>
      <c r="H977" s="23">
        <f t="shared" si="331"/>
        <v>36</v>
      </c>
      <c r="I977" s="114">
        <f>Overview!$E$101</f>
        <v>0</v>
      </c>
      <c r="J977" s="24">
        <f t="shared" si="332"/>
        <v>0</v>
      </c>
      <c r="K977" s="116">
        <f>Overview!$H$101</f>
        <v>0</v>
      </c>
      <c r="L977" s="51" t="e">
        <f t="shared" si="333"/>
        <v>#DIV/0!</v>
      </c>
      <c r="M977" s="179"/>
      <c r="N977" s="179" t="s">
        <v>3147</v>
      </c>
      <c r="O977" s="141">
        <f t="shared" si="334"/>
        <v>0</v>
      </c>
      <c r="P977" s="181" t="b">
        <f>COUNTIF('Facility Data'!$A$1:$A$1500,"*"&amp;A977&amp;"*")&gt;0</f>
        <v>0</v>
      </c>
      <c r="Q977" s="181" t="b">
        <f>COUNTIF('Account Data'!$A$1:$A$1000,"*"&amp;A977&amp;"*")&gt;0</f>
        <v>0</v>
      </c>
      <c r="R977" s="182" t="b">
        <f t="shared" si="335"/>
        <v>0</v>
      </c>
      <c r="S977" s="182" t="b">
        <f t="shared" si="336"/>
        <v>0</v>
      </c>
      <c r="T977" s="181" t="b">
        <f>COUNTIF('New Items'!$A$1:$A$175,A977)&gt;0</f>
        <v>0</v>
      </c>
      <c r="U977" s="181" t="b">
        <f>COUNTIF(Discontinued!$A$1:$A$150,A977)&gt;0</f>
        <v>0</v>
      </c>
    </row>
    <row r="978" spans="1:21" s="8" customFormat="1" ht="11.25" x14ac:dyDescent="0.2">
      <c r="A978" s="152">
        <v>10112575</v>
      </c>
      <c r="B978" s="10" t="s">
        <v>3339</v>
      </c>
      <c r="C978" s="12" t="s">
        <v>1494</v>
      </c>
      <c r="D978" s="11" t="s">
        <v>1503</v>
      </c>
      <c r="E978" s="12" t="s">
        <v>772</v>
      </c>
      <c r="F978" s="13">
        <v>12</v>
      </c>
      <c r="G978" s="22">
        <f>Overview!$B$101</f>
        <v>36</v>
      </c>
      <c r="H978" s="23">
        <f t="shared" si="331"/>
        <v>36</v>
      </c>
      <c r="I978" s="114">
        <f>Overview!$E$101</f>
        <v>0</v>
      </c>
      <c r="J978" s="24">
        <f t="shared" si="332"/>
        <v>0</v>
      </c>
      <c r="K978" s="116">
        <f>Overview!$H$101</f>
        <v>0</v>
      </c>
      <c r="L978" s="51" t="e">
        <f t="shared" si="333"/>
        <v>#DIV/0!</v>
      </c>
      <c r="M978" s="179"/>
      <c r="N978" s="179" t="s">
        <v>3147</v>
      </c>
      <c r="O978" s="141">
        <f t="shared" si="334"/>
        <v>0</v>
      </c>
      <c r="P978" s="181" t="b">
        <f>COUNTIF('Facility Data'!$A$1:$A$1500,"*"&amp;A978&amp;"*")&gt;0</f>
        <v>0</v>
      </c>
      <c r="Q978" s="181" t="b">
        <f>COUNTIF('Account Data'!$A$1:$A$1000,"*"&amp;A978&amp;"*")&gt;0</f>
        <v>0</v>
      </c>
      <c r="R978" s="182" t="b">
        <f t="shared" si="335"/>
        <v>0</v>
      </c>
      <c r="S978" s="182" t="b">
        <f t="shared" si="336"/>
        <v>0</v>
      </c>
      <c r="T978" s="181" t="b">
        <f>COUNTIF('New Items'!$A$1:$A$175,A978)&gt;0</f>
        <v>0</v>
      </c>
      <c r="U978" s="181" t="b">
        <f>COUNTIF(Discontinued!$A$1:$A$150,A978)&gt;0</f>
        <v>0</v>
      </c>
    </row>
    <row r="979" spans="1:21" s="8" customFormat="1" ht="11.25" x14ac:dyDescent="0.2">
      <c r="A979" s="152">
        <v>10081663</v>
      </c>
      <c r="B979" s="10" t="s">
        <v>3330</v>
      </c>
      <c r="C979" s="12" t="s">
        <v>1483</v>
      </c>
      <c r="D979" s="11" t="s">
        <v>697</v>
      </c>
      <c r="E979" s="12" t="s">
        <v>772</v>
      </c>
      <c r="F979" s="13">
        <v>12</v>
      </c>
      <c r="G979" s="22">
        <f>Overview!$B$101</f>
        <v>36</v>
      </c>
      <c r="H979" s="23">
        <f t="shared" si="331"/>
        <v>36</v>
      </c>
      <c r="I979" s="114">
        <f>Overview!$E$101</f>
        <v>0</v>
      </c>
      <c r="J979" s="24">
        <f t="shared" si="332"/>
        <v>0</v>
      </c>
      <c r="K979" s="116">
        <f>Overview!$H$101</f>
        <v>0</v>
      </c>
      <c r="L979" s="51" t="e">
        <f t="shared" si="333"/>
        <v>#DIV/0!</v>
      </c>
      <c r="M979" s="179"/>
      <c r="N979" s="179" t="s">
        <v>3147</v>
      </c>
      <c r="O979" s="141">
        <f t="shared" si="334"/>
        <v>0</v>
      </c>
      <c r="P979" s="181" t="b">
        <f>COUNTIF('Facility Data'!$A$1:$A$1500,"*"&amp;A979&amp;"*")&gt;0</f>
        <v>0</v>
      </c>
      <c r="Q979" s="181" t="b">
        <f>COUNTIF('Account Data'!$A$1:$A$1000,"*"&amp;A979&amp;"*")&gt;0</f>
        <v>0</v>
      </c>
      <c r="R979" s="182" t="b">
        <f t="shared" si="335"/>
        <v>0</v>
      </c>
      <c r="S979" s="182" t="b">
        <f t="shared" si="336"/>
        <v>0</v>
      </c>
      <c r="T979" s="181" t="b">
        <f>COUNTIF('New Items'!$A$1:$A$175,A979)&gt;0</f>
        <v>0</v>
      </c>
      <c r="U979" s="181" t="b">
        <f>COUNTIF(Discontinued!$A$1:$A$150,A979)&gt;0</f>
        <v>0</v>
      </c>
    </row>
    <row r="980" spans="1:21" s="8" customFormat="1" ht="11.25" x14ac:dyDescent="0.2">
      <c r="A980" s="152">
        <v>10081664</v>
      </c>
      <c r="B980" s="10" t="s">
        <v>3338</v>
      </c>
      <c r="C980" s="12" t="s">
        <v>1493</v>
      </c>
      <c r="D980" s="11" t="s">
        <v>1505</v>
      </c>
      <c r="E980" s="12" t="s">
        <v>772</v>
      </c>
      <c r="F980" s="13">
        <v>12</v>
      </c>
      <c r="G980" s="22">
        <f>Overview!$B$101</f>
        <v>36</v>
      </c>
      <c r="H980" s="23">
        <f t="shared" si="331"/>
        <v>36</v>
      </c>
      <c r="I980" s="114">
        <f>Overview!$E$101</f>
        <v>0</v>
      </c>
      <c r="J980" s="24">
        <f t="shared" si="332"/>
        <v>0</v>
      </c>
      <c r="K980" s="116">
        <f>Overview!$H$101</f>
        <v>0</v>
      </c>
      <c r="L980" s="51" t="e">
        <f t="shared" si="333"/>
        <v>#DIV/0!</v>
      </c>
      <c r="M980" s="179"/>
      <c r="N980" s="179" t="s">
        <v>3147</v>
      </c>
      <c r="O980" s="141">
        <f t="shared" si="334"/>
        <v>0</v>
      </c>
      <c r="P980" s="181" t="b">
        <f>COUNTIF('Facility Data'!$A$1:$A$1500,"*"&amp;A980&amp;"*")&gt;0</f>
        <v>0</v>
      </c>
      <c r="Q980" s="181" t="b">
        <f>COUNTIF('Account Data'!$A$1:$A$1000,"*"&amp;A980&amp;"*")&gt;0</f>
        <v>0</v>
      </c>
      <c r="R980" s="182" t="b">
        <f t="shared" si="335"/>
        <v>0</v>
      </c>
      <c r="S980" s="182" t="b">
        <f t="shared" si="336"/>
        <v>0</v>
      </c>
      <c r="T980" s="181" t="b">
        <f>COUNTIF('New Items'!$A$1:$A$175,A980)&gt;0</f>
        <v>0</v>
      </c>
      <c r="U980" s="181" t="b">
        <f>COUNTIF(Discontinued!$A$1:$A$150,A980)&gt;0</f>
        <v>0</v>
      </c>
    </row>
    <row r="981" spans="1:21" s="8" customFormat="1" ht="11.25" x14ac:dyDescent="0.2">
      <c r="A981" s="152">
        <v>10081656</v>
      </c>
      <c r="B981" s="10" t="s">
        <v>1490</v>
      </c>
      <c r="C981" s="12" t="s">
        <v>1491</v>
      </c>
      <c r="D981" s="11" t="s">
        <v>1506</v>
      </c>
      <c r="E981" s="12" t="s">
        <v>772</v>
      </c>
      <c r="F981" s="13">
        <v>12</v>
      </c>
      <c r="G981" s="22">
        <f>Overview!$B$101</f>
        <v>36</v>
      </c>
      <c r="H981" s="23">
        <f t="shared" si="331"/>
        <v>36</v>
      </c>
      <c r="I981" s="114">
        <f>Overview!$E$101</f>
        <v>0</v>
      </c>
      <c r="J981" s="24">
        <f t="shared" si="332"/>
        <v>0</v>
      </c>
      <c r="K981" s="116">
        <f>Overview!$H$101</f>
        <v>0</v>
      </c>
      <c r="L981" s="51" t="e">
        <f t="shared" si="333"/>
        <v>#DIV/0!</v>
      </c>
      <c r="M981" s="179"/>
      <c r="N981" s="179" t="s">
        <v>3147</v>
      </c>
      <c r="O981" s="141">
        <f t="shared" si="334"/>
        <v>0</v>
      </c>
      <c r="P981" s="181" t="b">
        <f>COUNTIF('Facility Data'!$A$1:$A$1500,"*"&amp;A981&amp;"*")&gt;0</f>
        <v>0</v>
      </c>
      <c r="Q981" s="181" t="b">
        <f>COUNTIF('Account Data'!$A$1:$A$1000,"*"&amp;A981&amp;"*")&gt;0</f>
        <v>0</v>
      </c>
      <c r="R981" s="182" t="b">
        <f t="shared" si="335"/>
        <v>0</v>
      </c>
      <c r="S981" s="182" t="b">
        <f t="shared" si="336"/>
        <v>0</v>
      </c>
      <c r="T981" s="181" t="b">
        <f>COUNTIF('New Items'!$A$1:$A$175,A981)&gt;0</f>
        <v>0</v>
      </c>
      <c r="U981" s="181" t="b">
        <f>COUNTIF(Discontinued!$A$1:$A$150,A981)&gt;0</f>
        <v>0</v>
      </c>
    </row>
    <row r="982" spans="1:21" s="8" customFormat="1" ht="11.25" x14ac:dyDescent="0.2">
      <c r="A982" s="152">
        <v>10081629</v>
      </c>
      <c r="B982" s="10" t="s">
        <v>3334</v>
      </c>
      <c r="C982" s="12" t="s">
        <v>1487</v>
      </c>
      <c r="D982" s="11" t="s">
        <v>1507</v>
      </c>
      <c r="E982" s="12" t="s">
        <v>772</v>
      </c>
      <c r="F982" s="13">
        <v>12</v>
      </c>
      <c r="G982" s="22">
        <f>Overview!$B$101</f>
        <v>36</v>
      </c>
      <c r="H982" s="23">
        <f t="shared" si="331"/>
        <v>36</v>
      </c>
      <c r="I982" s="114">
        <f>Overview!$E$101</f>
        <v>0</v>
      </c>
      <c r="J982" s="24">
        <f t="shared" si="332"/>
        <v>0</v>
      </c>
      <c r="K982" s="116">
        <f>Overview!$H$101</f>
        <v>0</v>
      </c>
      <c r="L982" s="51" t="e">
        <f t="shared" si="333"/>
        <v>#DIV/0!</v>
      </c>
      <c r="M982" s="179"/>
      <c r="N982" s="179" t="s">
        <v>3147</v>
      </c>
      <c r="O982" s="141">
        <f t="shared" si="334"/>
        <v>0</v>
      </c>
      <c r="P982" s="181" t="b">
        <f>COUNTIF('Facility Data'!$A$1:$A$1500,"*"&amp;A982&amp;"*")&gt;0</f>
        <v>0</v>
      </c>
      <c r="Q982" s="181" t="b">
        <f>COUNTIF('Account Data'!$A$1:$A$1000,"*"&amp;A982&amp;"*")&gt;0</f>
        <v>0</v>
      </c>
      <c r="R982" s="182" t="b">
        <f t="shared" si="335"/>
        <v>0</v>
      </c>
      <c r="S982" s="182" t="b">
        <f t="shared" si="336"/>
        <v>0</v>
      </c>
      <c r="T982" s="181" t="b">
        <f>COUNTIF('New Items'!$A$1:$A$175,A982)&gt;0</f>
        <v>0</v>
      </c>
      <c r="U982" s="181" t="b">
        <f>COUNTIF(Discontinued!$A$1:$A$150,A982)&gt;0</f>
        <v>0</v>
      </c>
    </row>
    <row r="983" spans="1:21" s="8" customFormat="1" ht="11.25" x14ac:dyDescent="0.2">
      <c r="A983" s="152">
        <v>10081670</v>
      </c>
      <c r="B983" s="10" t="s">
        <v>3340</v>
      </c>
      <c r="C983" s="12" t="s">
        <v>1497</v>
      </c>
      <c r="D983" s="11" t="s">
        <v>1508</v>
      </c>
      <c r="E983" s="12" t="s">
        <v>772</v>
      </c>
      <c r="F983" s="13">
        <v>12</v>
      </c>
      <c r="G983" s="22">
        <f>Overview!$B$101</f>
        <v>36</v>
      </c>
      <c r="H983" s="23">
        <f t="shared" si="331"/>
        <v>36</v>
      </c>
      <c r="I983" s="114">
        <f>Overview!$E$101</f>
        <v>0</v>
      </c>
      <c r="J983" s="24">
        <f t="shared" si="332"/>
        <v>0</v>
      </c>
      <c r="K983" s="116">
        <f>Overview!$H$101</f>
        <v>0</v>
      </c>
      <c r="L983" s="51" t="e">
        <f t="shared" si="333"/>
        <v>#DIV/0!</v>
      </c>
      <c r="M983" s="179"/>
      <c r="N983" s="179" t="s">
        <v>3147</v>
      </c>
      <c r="O983" s="141">
        <f t="shared" si="334"/>
        <v>0</v>
      </c>
      <c r="P983" s="181" t="b">
        <f>COUNTIF('Facility Data'!$A$1:$A$1500,"*"&amp;A983&amp;"*")&gt;0</f>
        <v>0</v>
      </c>
      <c r="Q983" s="181" t="b">
        <f>COUNTIF('Account Data'!$A$1:$A$1000,"*"&amp;A983&amp;"*")&gt;0</f>
        <v>0</v>
      </c>
      <c r="R983" s="182" t="b">
        <f t="shared" si="335"/>
        <v>0</v>
      </c>
      <c r="S983" s="182" t="b">
        <f t="shared" si="336"/>
        <v>0</v>
      </c>
      <c r="T983" s="181" t="b">
        <f>COUNTIF('New Items'!$A$1:$A$175,A983)&gt;0</f>
        <v>0</v>
      </c>
      <c r="U983" s="181" t="b">
        <f>COUNTIF(Discontinued!$A$1:$A$150,A983)&gt;0</f>
        <v>0</v>
      </c>
    </row>
    <row r="984" spans="1:21" s="8" customFormat="1" ht="11.25" x14ac:dyDescent="0.2">
      <c r="A984" s="152">
        <v>10081627</v>
      </c>
      <c r="B984" s="10" t="s">
        <v>3336</v>
      </c>
      <c r="C984" s="12" t="s">
        <v>1489</v>
      </c>
      <c r="D984" s="11" t="s">
        <v>1509</v>
      </c>
      <c r="E984" s="12" t="s">
        <v>772</v>
      </c>
      <c r="F984" s="13">
        <v>12</v>
      </c>
      <c r="G984" s="22">
        <f>Overview!$B$101</f>
        <v>36</v>
      </c>
      <c r="H984" s="23">
        <f t="shared" si="331"/>
        <v>36</v>
      </c>
      <c r="I984" s="114">
        <f>Overview!$E$101</f>
        <v>0</v>
      </c>
      <c r="J984" s="24">
        <f t="shared" si="332"/>
        <v>0</v>
      </c>
      <c r="K984" s="116">
        <f>Overview!$H$101</f>
        <v>0</v>
      </c>
      <c r="L984" s="51" t="e">
        <f t="shared" si="333"/>
        <v>#DIV/0!</v>
      </c>
      <c r="M984" s="179"/>
      <c r="N984" s="179" t="s">
        <v>3147</v>
      </c>
      <c r="O984" s="141">
        <f t="shared" si="334"/>
        <v>0</v>
      </c>
      <c r="P984" s="181" t="b">
        <f>COUNTIF('Facility Data'!$A$1:$A$1500,"*"&amp;A984&amp;"*")&gt;0</f>
        <v>0</v>
      </c>
      <c r="Q984" s="181" t="b">
        <f>COUNTIF('Account Data'!$A$1:$A$1000,"*"&amp;A984&amp;"*")&gt;0</f>
        <v>0</v>
      </c>
      <c r="R984" s="182" t="b">
        <f t="shared" si="335"/>
        <v>0</v>
      </c>
      <c r="S984" s="182" t="b">
        <f t="shared" si="336"/>
        <v>0</v>
      </c>
      <c r="T984" s="181" t="b">
        <f>COUNTIF('New Items'!$A$1:$A$175,A984)&gt;0</f>
        <v>0</v>
      </c>
      <c r="U984" s="181" t="b">
        <f>COUNTIF(Discontinued!$A$1:$A$150,A984)&gt;0</f>
        <v>0</v>
      </c>
    </row>
    <row r="985" spans="1:21" s="8" customFormat="1" ht="11.25" x14ac:dyDescent="0.2">
      <c r="A985" s="152">
        <v>10081669</v>
      </c>
      <c r="B985" s="10" t="s">
        <v>3331</v>
      </c>
      <c r="C985" s="12" t="s">
        <v>1484</v>
      </c>
      <c r="D985" s="11" t="s">
        <v>1504</v>
      </c>
      <c r="E985" s="12" t="s">
        <v>772</v>
      </c>
      <c r="F985" s="13">
        <v>12</v>
      </c>
      <c r="G985" s="22">
        <f>Overview!$B$101</f>
        <v>36</v>
      </c>
      <c r="H985" s="23">
        <f t="shared" si="331"/>
        <v>36</v>
      </c>
      <c r="I985" s="114">
        <f>Overview!$E$101</f>
        <v>0</v>
      </c>
      <c r="J985" s="24">
        <f t="shared" si="332"/>
        <v>0</v>
      </c>
      <c r="K985" s="116">
        <f>Overview!$H$101</f>
        <v>0</v>
      </c>
      <c r="L985" s="51" t="e">
        <f t="shared" si="333"/>
        <v>#DIV/0!</v>
      </c>
      <c r="M985" s="179"/>
      <c r="N985" s="179" t="s">
        <v>3147</v>
      </c>
      <c r="O985" s="141">
        <f t="shared" si="334"/>
        <v>0</v>
      </c>
      <c r="P985" s="181" t="b">
        <f>COUNTIF('Facility Data'!$A$1:$A$1500,"*"&amp;A985&amp;"*")&gt;0</f>
        <v>0</v>
      </c>
      <c r="Q985" s="181" t="b">
        <f>COUNTIF('Account Data'!$A$1:$A$1000,"*"&amp;A985&amp;"*")&gt;0</f>
        <v>0</v>
      </c>
      <c r="R985" s="182" t="b">
        <f t="shared" si="335"/>
        <v>0</v>
      </c>
      <c r="S985" s="182" t="b">
        <f t="shared" si="336"/>
        <v>0</v>
      </c>
      <c r="T985" s="181" t="b">
        <f>COUNTIF('New Items'!$A$1:$A$175,A985)&gt;0</f>
        <v>0</v>
      </c>
      <c r="U985" s="181" t="b">
        <f>COUNTIF(Discontinued!$A$1:$A$150,A985)&gt;0</f>
        <v>0</v>
      </c>
    </row>
    <row r="986" spans="1:21" s="8" customFormat="1" ht="11.25" x14ac:dyDescent="0.2">
      <c r="A986" s="152">
        <v>10081665</v>
      </c>
      <c r="B986" s="10" t="s">
        <v>3329</v>
      </c>
      <c r="C986" s="12" t="s">
        <v>1482</v>
      </c>
      <c r="D986" s="11" t="s">
        <v>1500</v>
      </c>
      <c r="E986" s="12" t="s">
        <v>772</v>
      </c>
      <c r="F986" s="13">
        <v>12</v>
      </c>
      <c r="G986" s="22">
        <f>Overview!$B$101</f>
        <v>36</v>
      </c>
      <c r="H986" s="23">
        <f t="shared" si="331"/>
        <v>36</v>
      </c>
      <c r="I986" s="114">
        <f>Overview!$E$101</f>
        <v>0</v>
      </c>
      <c r="J986" s="24">
        <f t="shared" si="332"/>
        <v>0</v>
      </c>
      <c r="K986" s="116">
        <f>Overview!$H$101</f>
        <v>0</v>
      </c>
      <c r="L986" s="51" t="e">
        <f t="shared" si="333"/>
        <v>#DIV/0!</v>
      </c>
      <c r="M986" s="179"/>
      <c r="N986" s="179" t="s">
        <v>3147</v>
      </c>
      <c r="O986" s="141">
        <f t="shared" si="334"/>
        <v>0</v>
      </c>
      <c r="P986" s="181" t="b">
        <f>COUNTIF('Facility Data'!$A$1:$A$1500,"*"&amp;A986&amp;"*")&gt;0</f>
        <v>0</v>
      </c>
      <c r="Q986" s="181" t="b">
        <f>COUNTIF('Account Data'!$A$1:$A$1000,"*"&amp;A986&amp;"*")&gt;0</f>
        <v>0</v>
      </c>
      <c r="R986" s="182" t="b">
        <f t="shared" si="335"/>
        <v>0</v>
      </c>
      <c r="S986" s="182" t="b">
        <f t="shared" si="336"/>
        <v>0</v>
      </c>
      <c r="T986" s="181" t="b">
        <f>COUNTIF('New Items'!$A$1:$A$175,A986)&gt;0</f>
        <v>0</v>
      </c>
      <c r="U986" s="181" t="b">
        <f>COUNTIF(Discontinued!$A$1:$A$150,A986)&gt;0</f>
        <v>0</v>
      </c>
    </row>
    <row r="987" spans="1:21" s="8" customFormat="1" ht="11.25" x14ac:dyDescent="0.2">
      <c r="A987" s="152">
        <v>10081625</v>
      </c>
      <c r="B987" s="10" t="s">
        <v>3333</v>
      </c>
      <c r="C987" s="12" t="s">
        <v>1486</v>
      </c>
      <c r="D987" s="11" t="s">
        <v>1510</v>
      </c>
      <c r="E987" s="12" t="s">
        <v>772</v>
      </c>
      <c r="F987" s="13">
        <v>12</v>
      </c>
      <c r="G987" s="22">
        <f>Overview!$B$101</f>
        <v>36</v>
      </c>
      <c r="H987" s="23">
        <f t="shared" si="331"/>
        <v>36</v>
      </c>
      <c r="I987" s="114">
        <f>Overview!$E$101</f>
        <v>0</v>
      </c>
      <c r="J987" s="24">
        <f t="shared" si="332"/>
        <v>0</v>
      </c>
      <c r="K987" s="116">
        <f>Overview!$H$101</f>
        <v>0</v>
      </c>
      <c r="L987" s="51" t="e">
        <f t="shared" si="333"/>
        <v>#DIV/0!</v>
      </c>
      <c r="M987" s="179"/>
      <c r="N987" s="179" t="s">
        <v>3147</v>
      </c>
      <c r="O987" s="141">
        <f t="shared" si="334"/>
        <v>0</v>
      </c>
      <c r="P987" s="181" t="b">
        <f>COUNTIF('Facility Data'!$A$1:$A$1500,"*"&amp;A987&amp;"*")&gt;0</f>
        <v>0</v>
      </c>
      <c r="Q987" s="181" t="b">
        <f>COUNTIF('Account Data'!$A$1:$A$1000,"*"&amp;A987&amp;"*")&gt;0</f>
        <v>0</v>
      </c>
      <c r="R987" s="182" t="b">
        <f t="shared" si="335"/>
        <v>0</v>
      </c>
      <c r="S987" s="182" t="b">
        <f t="shared" si="336"/>
        <v>0</v>
      </c>
      <c r="T987" s="181" t="b">
        <f>COUNTIF('New Items'!$A$1:$A$175,A987)&gt;0</f>
        <v>0</v>
      </c>
      <c r="U987" s="181" t="b">
        <f>COUNTIF(Discontinued!$A$1:$A$150,A987)&gt;0</f>
        <v>0</v>
      </c>
    </row>
    <row r="988" spans="1:21" s="8" customFormat="1" ht="11.25" x14ac:dyDescent="0.2">
      <c r="A988" s="152">
        <v>10112574</v>
      </c>
      <c r="B988" s="10" t="s">
        <v>1495</v>
      </c>
      <c r="C988" s="12" t="s">
        <v>1496</v>
      </c>
      <c r="D988" s="11" t="s">
        <v>1511</v>
      </c>
      <c r="E988" s="12" t="s">
        <v>772</v>
      </c>
      <c r="F988" s="13">
        <v>12</v>
      </c>
      <c r="G988" s="22">
        <f>Overview!$B$101</f>
        <v>36</v>
      </c>
      <c r="H988" s="23">
        <f t="shared" si="331"/>
        <v>36</v>
      </c>
      <c r="I988" s="114">
        <f>Overview!$E$101</f>
        <v>0</v>
      </c>
      <c r="J988" s="24">
        <f t="shared" si="332"/>
        <v>0</v>
      </c>
      <c r="K988" s="116">
        <f>Overview!$H$101</f>
        <v>0</v>
      </c>
      <c r="L988" s="51" t="e">
        <f t="shared" si="333"/>
        <v>#DIV/0!</v>
      </c>
      <c r="M988" s="179"/>
      <c r="N988" s="179" t="s">
        <v>3147</v>
      </c>
      <c r="O988" s="141">
        <f t="shared" si="334"/>
        <v>0</v>
      </c>
      <c r="P988" s="181" t="b">
        <f>COUNTIF('Facility Data'!$A$1:$A$1500,"*"&amp;A988&amp;"*")&gt;0</f>
        <v>0</v>
      </c>
      <c r="Q988" s="181" t="b">
        <f>COUNTIF('Account Data'!$A$1:$A$1000,"*"&amp;A988&amp;"*")&gt;0</f>
        <v>0</v>
      </c>
      <c r="R988" s="182" t="b">
        <f t="shared" si="335"/>
        <v>0</v>
      </c>
      <c r="S988" s="182" t="b">
        <f t="shared" si="336"/>
        <v>0</v>
      </c>
      <c r="T988" s="181" t="b">
        <f>COUNTIF('New Items'!$A$1:$A$175,A988)&gt;0</f>
        <v>0</v>
      </c>
      <c r="U988" s="181" t="b">
        <f>COUNTIF(Discontinued!$A$1:$A$150,A988)&gt;0</f>
        <v>0</v>
      </c>
    </row>
    <row r="989" spans="1:21" s="8" customFormat="1" ht="11.25" x14ac:dyDescent="0.2">
      <c r="A989" s="152">
        <v>10081666</v>
      </c>
      <c r="B989" s="10" t="s">
        <v>3335</v>
      </c>
      <c r="C989" s="12" t="s">
        <v>1488</v>
      </c>
      <c r="D989" s="11" t="s">
        <v>1513</v>
      </c>
      <c r="E989" s="12" t="s">
        <v>772</v>
      </c>
      <c r="F989" s="13">
        <v>12</v>
      </c>
      <c r="G989" s="22">
        <f>Overview!$B$101</f>
        <v>36</v>
      </c>
      <c r="H989" s="23">
        <f t="shared" si="331"/>
        <v>36</v>
      </c>
      <c r="I989" s="114">
        <f>Overview!$E$101</f>
        <v>0</v>
      </c>
      <c r="J989" s="24">
        <f t="shared" si="332"/>
        <v>0</v>
      </c>
      <c r="K989" s="116">
        <f>Overview!$H$101</f>
        <v>0</v>
      </c>
      <c r="L989" s="51" t="e">
        <f t="shared" si="333"/>
        <v>#DIV/0!</v>
      </c>
      <c r="M989" s="179"/>
      <c r="N989" s="179" t="s">
        <v>3147</v>
      </c>
      <c r="O989" s="141">
        <f t="shared" si="334"/>
        <v>0</v>
      </c>
      <c r="P989" s="181" t="b">
        <f>COUNTIF('Facility Data'!$A$1:$A$1500,"*"&amp;A989&amp;"*")&gt;0</f>
        <v>0</v>
      </c>
      <c r="Q989" s="181" t="b">
        <f>COUNTIF('Account Data'!$A$1:$A$1000,"*"&amp;A989&amp;"*")&gt;0</f>
        <v>0</v>
      </c>
      <c r="R989" s="182" t="b">
        <f t="shared" si="335"/>
        <v>0</v>
      </c>
      <c r="S989" s="182" t="b">
        <f t="shared" si="336"/>
        <v>0</v>
      </c>
      <c r="T989" s="181" t="b">
        <f>COUNTIF('New Items'!$A$1:$A$175,A989)&gt;0</f>
        <v>0</v>
      </c>
      <c r="U989" s="181" t="b">
        <f>COUNTIF(Discontinued!$A$1:$A$150,A989)&gt;0</f>
        <v>0</v>
      </c>
    </row>
    <row r="990" spans="1:21" s="8" customFormat="1" ht="12" thickBot="1" x14ac:dyDescent="0.25">
      <c r="A990" s="152">
        <v>10081668</v>
      </c>
      <c r="B990" s="10" t="s">
        <v>3341</v>
      </c>
      <c r="C990" s="12" t="s">
        <v>1498</v>
      </c>
      <c r="D990" s="11" t="s">
        <v>1514</v>
      </c>
      <c r="E990" s="12" t="s">
        <v>772</v>
      </c>
      <c r="F990" s="13">
        <v>12</v>
      </c>
      <c r="G990" s="22">
        <f>Overview!$B$101</f>
        <v>36</v>
      </c>
      <c r="H990" s="23">
        <f t="shared" si="331"/>
        <v>36</v>
      </c>
      <c r="I990" s="114">
        <f>Overview!$E$101</f>
        <v>0</v>
      </c>
      <c r="J990" s="24">
        <f t="shared" si="332"/>
        <v>0</v>
      </c>
      <c r="K990" s="116">
        <f>Overview!$H$101</f>
        <v>0</v>
      </c>
      <c r="L990" s="51" t="e">
        <f t="shared" si="333"/>
        <v>#DIV/0!</v>
      </c>
      <c r="M990" s="179"/>
      <c r="N990" s="179" t="s">
        <v>3147</v>
      </c>
      <c r="O990" s="141">
        <f t="shared" si="334"/>
        <v>0</v>
      </c>
      <c r="P990" s="181" t="b">
        <f>COUNTIF('Facility Data'!$A$1:$A$1500,"*"&amp;A990&amp;"*")&gt;0</f>
        <v>0</v>
      </c>
      <c r="Q990" s="181" t="b">
        <f>COUNTIF('Account Data'!$A$1:$A$1000,"*"&amp;A990&amp;"*")&gt;0</f>
        <v>0</v>
      </c>
      <c r="R990" s="182" t="b">
        <f t="shared" si="335"/>
        <v>0</v>
      </c>
      <c r="S990" s="182" t="b">
        <f t="shared" si="336"/>
        <v>0</v>
      </c>
      <c r="T990" s="181" t="b">
        <f>COUNTIF('New Items'!$A$1:$A$175,A990)&gt;0</f>
        <v>0</v>
      </c>
      <c r="U990" s="181" t="b">
        <f>COUNTIF(Discontinued!$A$1:$A$150,A990)&gt;0</f>
        <v>0</v>
      </c>
    </row>
    <row r="991" spans="1:21" s="8" customFormat="1" ht="13.5" thickBot="1" x14ac:dyDescent="0.25">
      <c r="A991" s="300" t="s">
        <v>3024</v>
      </c>
      <c r="B991" s="301"/>
      <c r="C991" s="301"/>
      <c r="D991" s="301"/>
      <c r="E991" s="301"/>
      <c r="F991" s="301"/>
      <c r="G991" s="301"/>
      <c r="H991" s="301"/>
      <c r="I991" s="301"/>
      <c r="J991" s="301"/>
      <c r="K991" s="301"/>
      <c r="L991" s="302"/>
      <c r="M991" s="179"/>
      <c r="N991" s="179" t="s">
        <v>3148</v>
      </c>
      <c r="O991" s="141">
        <f>AVERAGE(O992:O993)</f>
        <v>0</v>
      </c>
      <c r="P991" s="181" t="b">
        <f>COUNTIF(P992:P993,TRUE)&gt;0</f>
        <v>0</v>
      </c>
      <c r="Q991" s="181" t="b">
        <f>COUNTIF(Q992:Q993,TRUE)&gt;0</f>
        <v>0</v>
      </c>
      <c r="R991" s="181" t="b">
        <f>COUNTIF(R992:R993,TRUE)&gt;0</f>
        <v>0</v>
      </c>
      <c r="S991" s="181" t="b">
        <f>COUNTIF(S992:S993,TRUE)&gt;0</f>
        <v>0</v>
      </c>
      <c r="T991" s="181" t="b">
        <f>COUNTIF(T992:T993,TRUE)&gt;0</f>
        <v>0</v>
      </c>
      <c r="U991" s="249"/>
    </row>
    <row r="992" spans="1:21" s="8" customFormat="1" ht="11.25" x14ac:dyDescent="0.2">
      <c r="A992" s="152">
        <v>10033521</v>
      </c>
      <c r="B992" s="10" t="s">
        <v>3026</v>
      </c>
      <c r="C992" s="12" t="s">
        <v>1483</v>
      </c>
      <c r="D992" s="11" t="s">
        <v>697</v>
      </c>
      <c r="E992" s="12" t="s">
        <v>772</v>
      </c>
      <c r="F992" s="13">
        <v>24</v>
      </c>
      <c r="G992" s="22">
        <f>Overview!$B$102</f>
        <v>30</v>
      </c>
      <c r="H992" s="23">
        <f>G992-I992</f>
        <v>30</v>
      </c>
      <c r="I992" s="114">
        <f>Overview!$E$102</f>
        <v>0</v>
      </c>
      <c r="J992" s="24">
        <f>I992/F992</f>
        <v>0</v>
      </c>
      <c r="K992" s="116">
        <f>Overview!$H$102</f>
        <v>0</v>
      </c>
      <c r="L992" s="51" t="e">
        <f>(K992-J992)/K992</f>
        <v>#DIV/0!</v>
      </c>
      <c r="M992" s="179"/>
      <c r="N992" s="179" t="s">
        <v>3148</v>
      </c>
      <c r="O992" s="141">
        <f>I992</f>
        <v>0</v>
      </c>
      <c r="P992" s="181" t="b">
        <f>COUNTIF('Facility Data'!$A$1:$A$1500,"*"&amp;A992&amp;"*")&gt;0</f>
        <v>0</v>
      </c>
      <c r="Q992" s="181" t="b">
        <f>COUNTIF('Account Data'!$A$1:$A$1000,"*"&amp;A992&amp;"*")&gt;0</f>
        <v>0</v>
      </c>
      <c r="R992" s="182" t="b">
        <f>IF(OR(P992=TRUE,T992=TRUE),TRUE,FALSE)</f>
        <v>0</v>
      </c>
      <c r="S992" s="182" t="b">
        <f>IF(OR(Q992=TRUE,T992=TRUE),TRUE,FALSE)</f>
        <v>0</v>
      </c>
      <c r="T992" s="181" t="b">
        <f>COUNTIF('New Items'!$A$1:$A$175,A992)&gt;0</f>
        <v>0</v>
      </c>
      <c r="U992" s="181" t="b">
        <f>COUNTIF(Discontinued!$A$1:$A$150,A992)&gt;0</f>
        <v>0</v>
      </c>
    </row>
    <row r="993" spans="1:21" s="8" customFormat="1" ht="12" thickBot="1" x14ac:dyDescent="0.25">
      <c r="A993" s="152">
        <v>10033520</v>
      </c>
      <c r="B993" s="10" t="s">
        <v>3025</v>
      </c>
      <c r="C993" s="12" t="s">
        <v>1482</v>
      </c>
      <c r="D993" s="11" t="s">
        <v>1500</v>
      </c>
      <c r="E993" s="12" t="s">
        <v>772</v>
      </c>
      <c r="F993" s="13">
        <v>24</v>
      </c>
      <c r="G993" s="22">
        <f>Overview!$B$102</f>
        <v>30</v>
      </c>
      <c r="H993" s="23">
        <f>G993-I993</f>
        <v>30</v>
      </c>
      <c r="I993" s="114">
        <f>Overview!$E$102</f>
        <v>0</v>
      </c>
      <c r="J993" s="24">
        <f>I993/F993</f>
        <v>0</v>
      </c>
      <c r="K993" s="116">
        <f>Overview!$H$102</f>
        <v>0</v>
      </c>
      <c r="L993" s="51" t="e">
        <f>(K993-J993)/K993</f>
        <v>#DIV/0!</v>
      </c>
      <c r="M993" s="179"/>
      <c r="N993" s="179" t="s">
        <v>3148</v>
      </c>
      <c r="O993" s="141">
        <f>I993</f>
        <v>0</v>
      </c>
      <c r="P993" s="181" t="b">
        <f>COUNTIF('Facility Data'!$A$1:$A$1500,"*"&amp;A993&amp;"*")&gt;0</f>
        <v>0</v>
      </c>
      <c r="Q993" s="181" t="b">
        <f>COUNTIF('Account Data'!$A$1:$A$1000,"*"&amp;A993&amp;"*")&gt;0</f>
        <v>0</v>
      </c>
      <c r="R993" s="182" t="b">
        <f>IF(OR(P993=TRUE,T993=TRUE),TRUE,FALSE)</f>
        <v>0</v>
      </c>
      <c r="S993" s="182" t="b">
        <f>IF(OR(Q993=TRUE,T993=TRUE),TRUE,FALSE)</f>
        <v>0</v>
      </c>
      <c r="T993" s="181" t="b">
        <f>COUNTIF('New Items'!$A$1:$A$175,A993)&gt;0</f>
        <v>0</v>
      </c>
      <c r="U993" s="181" t="b">
        <f>COUNTIF(Discontinued!$A$1:$A$150,A993)&gt;0</f>
        <v>0</v>
      </c>
    </row>
    <row r="994" spans="1:21" s="8" customFormat="1" ht="13.5" thickBot="1" x14ac:dyDescent="0.25">
      <c r="A994" s="300" t="s">
        <v>534</v>
      </c>
      <c r="B994" s="301"/>
      <c r="C994" s="301"/>
      <c r="D994" s="301"/>
      <c r="E994" s="301"/>
      <c r="F994" s="301"/>
      <c r="G994" s="301"/>
      <c r="H994" s="301"/>
      <c r="I994" s="301"/>
      <c r="J994" s="301"/>
      <c r="K994" s="301"/>
      <c r="L994" s="302"/>
      <c r="M994" s="179"/>
      <c r="N994" s="179" t="s">
        <v>988</v>
      </c>
      <c r="O994" s="141">
        <f>AVERAGE(O995:O1002)</f>
        <v>0</v>
      </c>
      <c r="P994" s="181" t="b">
        <f>COUNTIF(P995:P1002,TRUE)&gt;0</f>
        <v>1</v>
      </c>
      <c r="Q994" s="181" t="b">
        <f>COUNTIF(Q995:Q1002,TRUE)&gt;0</f>
        <v>1</v>
      </c>
      <c r="R994" s="181" t="b">
        <f>COUNTIF(R995:R1002,TRUE)&gt;0</f>
        <v>1</v>
      </c>
      <c r="S994" s="181" t="b">
        <f>COUNTIF(S995:S1002,TRUE)&gt;0</f>
        <v>1</v>
      </c>
      <c r="T994" s="181" t="b">
        <f>COUNTIF(T995:T1002,TRUE)&gt;0</f>
        <v>0</v>
      </c>
      <c r="U994" s="249"/>
    </row>
    <row r="995" spans="1:21" s="8" customFormat="1" ht="11.25" x14ac:dyDescent="0.2">
      <c r="A995" s="152">
        <v>20019291</v>
      </c>
      <c r="B995" s="10" t="s">
        <v>541</v>
      </c>
      <c r="C995" s="14" t="s">
        <v>542</v>
      </c>
      <c r="D995" s="28" t="s">
        <v>880</v>
      </c>
      <c r="E995" s="14" t="s">
        <v>787</v>
      </c>
      <c r="F995" s="13">
        <v>12</v>
      </c>
      <c r="G995" s="22">
        <f>Overview!$B$75</f>
        <v>26</v>
      </c>
      <c r="H995" s="23">
        <f t="shared" ref="H995:H1002" si="337">G995-I995</f>
        <v>26</v>
      </c>
      <c r="I995" s="114">
        <f>Overview!$E$75</f>
        <v>0</v>
      </c>
      <c r="J995" s="24">
        <f t="shared" ref="J995:J1002" si="338">I995/F995</f>
        <v>0</v>
      </c>
      <c r="K995" s="116">
        <f>Overview!$H$75</f>
        <v>0</v>
      </c>
      <c r="L995" s="51" t="e">
        <f t="shared" ref="L995:L1002" si="339">(K995-J995)/K995</f>
        <v>#DIV/0!</v>
      </c>
      <c r="M995" s="179"/>
      <c r="N995" s="179" t="s">
        <v>988</v>
      </c>
      <c r="O995" s="141">
        <f t="shared" ref="O995:O1002" si="340">I995</f>
        <v>0</v>
      </c>
      <c r="P995" s="181" t="b">
        <f>COUNTIF('Facility Data'!$A$1:$A$1500,"*"&amp;A995&amp;"*")&gt;0</f>
        <v>0</v>
      </c>
      <c r="Q995" s="181" t="b">
        <f>COUNTIF('Account Data'!$A$1:$A$1000,"*"&amp;A995&amp;"*")&gt;0</f>
        <v>1</v>
      </c>
      <c r="R995" s="182" t="b">
        <f t="shared" ref="R995:R1002" si="341">IF(OR(P995=TRUE,T995=TRUE),TRUE,FALSE)</f>
        <v>0</v>
      </c>
      <c r="S995" s="182" t="b">
        <f t="shared" ref="S995:S1002" si="342">IF(OR(Q995=TRUE,T995=TRUE),TRUE,FALSE)</f>
        <v>1</v>
      </c>
      <c r="T995" s="181" t="b">
        <f>COUNTIF('New Items'!$A$1:$A$175,A995)&gt;0</f>
        <v>0</v>
      </c>
      <c r="U995" s="181" t="b">
        <f>COUNTIF(Discontinued!$A$1:$A$150,A995)&gt;0</f>
        <v>0</v>
      </c>
    </row>
    <row r="996" spans="1:21" s="8" customFormat="1" ht="11.25" x14ac:dyDescent="0.2">
      <c r="A996" s="152">
        <v>20019290</v>
      </c>
      <c r="B996" s="10" t="s">
        <v>539</v>
      </c>
      <c r="C996" s="14" t="s">
        <v>540</v>
      </c>
      <c r="D996" s="27" t="s">
        <v>738</v>
      </c>
      <c r="E996" s="14" t="s">
        <v>787</v>
      </c>
      <c r="F996" s="13">
        <v>12</v>
      </c>
      <c r="G996" s="22">
        <f>Overview!$B$75</f>
        <v>26</v>
      </c>
      <c r="H996" s="23">
        <f t="shared" si="337"/>
        <v>26</v>
      </c>
      <c r="I996" s="114">
        <f>Overview!$E$75</f>
        <v>0</v>
      </c>
      <c r="J996" s="24">
        <f t="shared" si="338"/>
        <v>0</v>
      </c>
      <c r="K996" s="116">
        <f>Overview!$H$75</f>
        <v>0</v>
      </c>
      <c r="L996" s="51" t="e">
        <f t="shared" si="339"/>
        <v>#DIV/0!</v>
      </c>
      <c r="M996" s="179"/>
      <c r="N996" s="179" t="s">
        <v>988</v>
      </c>
      <c r="O996" s="141">
        <f t="shared" si="340"/>
        <v>0</v>
      </c>
      <c r="P996" s="181" t="b">
        <f>COUNTIF('Facility Data'!$A$1:$A$1500,"*"&amp;A996&amp;"*")&gt;0</f>
        <v>1</v>
      </c>
      <c r="Q996" s="181" t="b">
        <f>COUNTIF('Account Data'!$A$1:$A$1000,"*"&amp;A996&amp;"*")&gt;0</f>
        <v>1</v>
      </c>
      <c r="R996" s="182" t="b">
        <f t="shared" si="341"/>
        <v>1</v>
      </c>
      <c r="S996" s="182" t="b">
        <f t="shared" si="342"/>
        <v>1</v>
      </c>
      <c r="T996" s="181" t="b">
        <f>COUNTIF('New Items'!$A$1:$A$175,A996)&gt;0</f>
        <v>0</v>
      </c>
      <c r="U996" s="181" t="b">
        <f>COUNTIF(Discontinued!$A$1:$A$150,A996)&gt;0</f>
        <v>0</v>
      </c>
    </row>
    <row r="997" spans="1:21" s="8" customFormat="1" ht="11.25" x14ac:dyDescent="0.2">
      <c r="A997" s="152">
        <v>20028806</v>
      </c>
      <c r="B997" s="10" t="s">
        <v>3775</v>
      </c>
      <c r="C997" s="14" t="s">
        <v>3604</v>
      </c>
      <c r="D997" s="254" t="s">
        <v>3605</v>
      </c>
      <c r="E997" s="14" t="s">
        <v>787</v>
      </c>
      <c r="F997" s="13">
        <v>12</v>
      </c>
      <c r="G997" s="22">
        <f>Overview!$B$75</f>
        <v>26</v>
      </c>
      <c r="H997" s="23">
        <f>G997-I997</f>
        <v>26</v>
      </c>
      <c r="I997" s="114">
        <f>Overview!$E$75</f>
        <v>0</v>
      </c>
      <c r="J997" s="24">
        <f>I997/F997</f>
        <v>0</v>
      </c>
      <c r="K997" s="116">
        <f>Overview!$H$75</f>
        <v>0</v>
      </c>
      <c r="L997" s="51" t="e">
        <f>(K997-J997)/K997</f>
        <v>#DIV/0!</v>
      </c>
      <c r="M997" s="179"/>
      <c r="N997" s="179" t="s">
        <v>988</v>
      </c>
      <c r="O997" s="141">
        <f>I997</f>
        <v>0</v>
      </c>
      <c r="P997" s="181" t="b">
        <f>COUNTIF('Facility Data'!$A$1:$A$1500,"*"&amp;A997&amp;"*")&gt;0</f>
        <v>0</v>
      </c>
      <c r="Q997" s="181" t="b">
        <f>COUNTIF('Account Data'!$A$1:$A$1000,"*"&amp;A997&amp;"*")&gt;0</f>
        <v>0</v>
      </c>
      <c r="R997" s="182" t="b">
        <f t="shared" si="341"/>
        <v>0</v>
      </c>
      <c r="S997" s="182" t="b">
        <f>IF(OR(Q997=TRUE,T997=TRUE),TRUE,FALSE)</f>
        <v>0</v>
      </c>
      <c r="T997" s="181" t="b">
        <f>COUNTIF('New Items'!$A$1:$A$175,A997)&gt;0</f>
        <v>0</v>
      </c>
      <c r="U997" s="181" t="b">
        <f>COUNTIF(Discontinued!$A$1:$A$150,A997)&gt;0</f>
        <v>0</v>
      </c>
    </row>
    <row r="998" spans="1:21" s="8" customFormat="1" ht="11.25" x14ac:dyDescent="0.2">
      <c r="A998" s="152">
        <v>20019292</v>
      </c>
      <c r="B998" s="10" t="s">
        <v>543</v>
      </c>
      <c r="C998" s="14" t="s">
        <v>544</v>
      </c>
      <c r="D998" s="29" t="s">
        <v>739</v>
      </c>
      <c r="E998" s="14" t="s">
        <v>787</v>
      </c>
      <c r="F998" s="13">
        <v>12</v>
      </c>
      <c r="G998" s="22">
        <f>Overview!$B$75</f>
        <v>26</v>
      </c>
      <c r="H998" s="23">
        <f t="shared" si="337"/>
        <v>26</v>
      </c>
      <c r="I998" s="114">
        <f>Overview!$E$75</f>
        <v>0</v>
      </c>
      <c r="J998" s="24">
        <f t="shared" si="338"/>
        <v>0</v>
      </c>
      <c r="K998" s="116">
        <f>Overview!$H$75</f>
        <v>0</v>
      </c>
      <c r="L998" s="51" t="e">
        <f t="shared" si="339"/>
        <v>#DIV/0!</v>
      </c>
      <c r="M998" s="179"/>
      <c r="N998" s="179" t="s">
        <v>988</v>
      </c>
      <c r="O998" s="141">
        <f t="shared" si="340"/>
        <v>0</v>
      </c>
      <c r="P998" s="181" t="b">
        <f>COUNTIF('Facility Data'!$A$1:$A$1500,"*"&amp;A998&amp;"*")&gt;0</f>
        <v>1</v>
      </c>
      <c r="Q998" s="181" t="b">
        <f>COUNTIF('Account Data'!$A$1:$A$1000,"*"&amp;A998&amp;"*")&gt;0</f>
        <v>1</v>
      </c>
      <c r="R998" s="182" t="b">
        <f t="shared" si="341"/>
        <v>1</v>
      </c>
      <c r="S998" s="182" t="b">
        <f t="shared" si="342"/>
        <v>1</v>
      </c>
      <c r="T998" s="181" t="b">
        <f>COUNTIF('New Items'!$A$1:$A$175,A998)&gt;0</f>
        <v>0</v>
      </c>
      <c r="U998" s="181" t="b">
        <f>COUNTIF(Discontinued!$A$1:$A$150,A998)&gt;0</f>
        <v>0</v>
      </c>
    </row>
    <row r="999" spans="1:21" s="8" customFormat="1" ht="11.25" x14ac:dyDescent="0.2">
      <c r="A999" s="152">
        <v>20019289</v>
      </c>
      <c r="B999" s="10" t="s">
        <v>545</v>
      </c>
      <c r="C999" s="14" t="s">
        <v>546</v>
      </c>
      <c r="D999" s="30" t="s">
        <v>740</v>
      </c>
      <c r="E999" s="14" t="s">
        <v>787</v>
      </c>
      <c r="F999" s="13">
        <v>12</v>
      </c>
      <c r="G999" s="22">
        <f>Overview!$B$75</f>
        <v>26</v>
      </c>
      <c r="H999" s="23">
        <f t="shared" si="337"/>
        <v>26</v>
      </c>
      <c r="I999" s="114">
        <f>Overview!$E$75</f>
        <v>0</v>
      </c>
      <c r="J999" s="24">
        <f t="shared" si="338"/>
        <v>0</v>
      </c>
      <c r="K999" s="116">
        <f>Overview!$H$75</f>
        <v>0</v>
      </c>
      <c r="L999" s="51" t="e">
        <f t="shared" si="339"/>
        <v>#DIV/0!</v>
      </c>
      <c r="M999" s="179"/>
      <c r="N999" s="179" t="s">
        <v>988</v>
      </c>
      <c r="O999" s="141">
        <f t="shared" si="340"/>
        <v>0</v>
      </c>
      <c r="P999" s="181" t="b">
        <f>COUNTIF('Facility Data'!$A$1:$A$1500,"*"&amp;A999&amp;"*")&gt;0</f>
        <v>1</v>
      </c>
      <c r="Q999" s="181" t="b">
        <f>COUNTIF('Account Data'!$A$1:$A$1000,"*"&amp;A999&amp;"*")&gt;0</f>
        <v>1</v>
      </c>
      <c r="R999" s="182" t="b">
        <f t="shared" si="341"/>
        <v>1</v>
      </c>
      <c r="S999" s="182" t="b">
        <f t="shared" si="342"/>
        <v>1</v>
      </c>
      <c r="T999" s="181" t="b">
        <f>COUNTIF('New Items'!$A$1:$A$175,A999)&gt;0</f>
        <v>0</v>
      </c>
      <c r="U999" s="181" t="b">
        <f>COUNTIF(Discontinued!$A$1:$A$150,A999)&gt;0</f>
        <v>0</v>
      </c>
    </row>
    <row r="1000" spans="1:21" s="8" customFormat="1" ht="11.25" x14ac:dyDescent="0.2">
      <c r="A1000" s="152">
        <v>20019288</v>
      </c>
      <c r="B1000" s="10" t="s">
        <v>537</v>
      </c>
      <c r="C1000" s="14" t="s">
        <v>538</v>
      </c>
      <c r="D1000" s="26" t="s">
        <v>879</v>
      </c>
      <c r="E1000" s="14" t="s">
        <v>787</v>
      </c>
      <c r="F1000" s="13">
        <v>12</v>
      </c>
      <c r="G1000" s="22">
        <f>Overview!$B$75</f>
        <v>26</v>
      </c>
      <c r="H1000" s="23">
        <f t="shared" si="337"/>
        <v>26</v>
      </c>
      <c r="I1000" s="114">
        <f>Overview!$E$75</f>
        <v>0</v>
      </c>
      <c r="J1000" s="24">
        <f t="shared" si="338"/>
        <v>0</v>
      </c>
      <c r="K1000" s="116">
        <f>Overview!$H$75</f>
        <v>0</v>
      </c>
      <c r="L1000" s="51" t="e">
        <f t="shared" si="339"/>
        <v>#DIV/0!</v>
      </c>
      <c r="M1000" s="179"/>
      <c r="N1000" s="179" t="s">
        <v>988</v>
      </c>
      <c r="O1000" s="141">
        <f t="shared" si="340"/>
        <v>0</v>
      </c>
      <c r="P1000" s="181" t="b">
        <f>COUNTIF('Facility Data'!$A$1:$A$1500,"*"&amp;A1000&amp;"*")&gt;0</f>
        <v>1</v>
      </c>
      <c r="Q1000" s="181" t="b">
        <f>COUNTIF('Account Data'!$A$1:$A$1000,"*"&amp;A1000&amp;"*")&gt;0</f>
        <v>1</v>
      </c>
      <c r="R1000" s="182" t="b">
        <f t="shared" si="341"/>
        <v>1</v>
      </c>
      <c r="S1000" s="182" t="b">
        <f t="shared" si="342"/>
        <v>1</v>
      </c>
      <c r="T1000" s="181" t="b">
        <f>COUNTIF('New Items'!$A$1:$A$175,A1000)&gt;0</f>
        <v>0</v>
      </c>
      <c r="U1000" s="181" t="b">
        <f>COUNTIF(Discontinued!$A$1:$A$150,A1000)&gt;0</f>
        <v>0</v>
      </c>
    </row>
    <row r="1001" spans="1:21" s="8" customFormat="1" ht="11.25" x14ac:dyDescent="0.2">
      <c r="A1001" s="152">
        <v>20019287</v>
      </c>
      <c r="B1001" s="10" t="s">
        <v>535</v>
      </c>
      <c r="C1001" s="14" t="s">
        <v>536</v>
      </c>
      <c r="D1001" s="25" t="s">
        <v>881</v>
      </c>
      <c r="E1001" s="14" t="s">
        <v>787</v>
      </c>
      <c r="F1001" s="13">
        <v>12</v>
      </c>
      <c r="G1001" s="22">
        <f>Overview!$B$75</f>
        <v>26</v>
      </c>
      <c r="H1001" s="23">
        <f t="shared" si="337"/>
        <v>26</v>
      </c>
      <c r="I1001" s="114">
        <f>Overview!$E$75</f>
        <v>0</v>
      </c>
      <c r="J1001" s="24">
        <f t="shared" si="338"/>
        <v>0</v>
      </c>
      <c r="K1001" s="116">
        <f>Overview!$H$75</f>
        <v>0</v>
      </c>
      <c r="L1001" s="51" t="e">
        <f t="shared" si="339"/>
        <v>#DIV/0!</v>
      </c>
      <c r="M1001" s="179"/>
      <c r="N1001" s="179" t="s">
        <v>988</v>
      </c>
      <c r="O1001" s="141">
        <f t="shared" si="340"/>
        <v>0</v>
      </c>
      <c r="P1001" s="181" t="b">
        <f>COUNTIF('Facility Data'!$A$1:$A$1500,"*"&amp;A1001&amp;"*")&gt;0</f>
        <v>1</v>
      </c>
      <c r="Q1001" s="181" t="b">
        <f>COUNTIF('Account Data'!$A$1:$A$1000,"*"&amp;A1001&amp;"*")&gt;0</f>
        <v>1</v>
      </c>
      <c r="R1001" s="182" t="b">
        <f t="shared" si="341"/>
        <v>1</v>
      </c>
      <c r="S1001" s="182" t="b">
        <f t="shared" si="342"/>
        <v>1</v>
      </c>
      <c r="T1001" s="181" t="b">
        <f>COUNTIF('New Items'!$A$1:$A$175,A1001)&gt;0</f>
        <v>0</v>
      </c>
      <c r="U1001" s="181" t="b">
        <f>COUNTIF(Discontinued!$A$1:$A$150,A1001)&gt;0</f>
        <v>0</v>
      </c>
    </row>
    <row r="1002" spans="1:21" s="8" customFormat="1" ht="12" thickBot="1" x14ac:dyDescent="0.25">
      <c r="A1002" s="152">
        <v>20002035</v>
      </c>
      <c r="B1002" s="10" t="s">
        <v>547</v>
      </c>
      <c r="C1002" s="14" t="s">
        <v>548</v>
      </c>
      <c r="D1002" s="27" t="s">
        <v>741</v>
      </c>
      <c r="E1002" s="14" t="s">
        <v>787</v>
      </c>
      <c r="F1002" s="13">
        <v>12</v>
      </c>
      <c r="G1002" s="22">
        <f>Overview!$B$75</f>
        <v>26</v>
      </c>
      <c r="H1002" s="23">
        <f t="shared" si="337"/>
        <v>26</v>
      </c>
      <c r="I1002" s="114">
        <f>Overview!$E$75</f>
        <v>0</v>
      </c>
      <c r="J1002" s="24">
        <f t="shared" si="338"/>
        <v>0</v>
      </c>
      <c r="K1002" s="116">
        <f>Overview!$H$75</f>
        <v>0</v>
      </c>
      <c r="L1002" s="51" t="e">
        <f t="shared" si="339"/>
        <v>#DIV/0!</v>
      </c>
      <c r="M1002" s="179"/>
      <c r="N1002" s="179" t="s">
        <v>988</v>
      </c>
      <c r="O1002" s="141">
        <f t="shared" si="340"/>
        <v>0</v>
      </c>
      <c r="P1002" s="181" t="b">
        <f>COUNTIF('Facility Data'!$A$1:$A$1500,"*"&amp;A1002&amp;"*")&gt;0</f>
        <v>0</v>
      </c>
      <c r="Q1002" s="181" t="b">
        <f>COUNTIF('Account Data'!$A$1:$A$1000,"*"&amp;A1002&amp;"*")&gt;0</f>
        <v>0</v>
      </c>
      <c r="R1002" s="182" t="b">
        <f t="shared" si="341"/>
        <v>0</v>
      </c>
      <c r="S1002" s="182" t="b">
        <f t="shared" si="342"/>
        <v>0</v>
      </c>
      <c r="T1002" s="181" t="b">
        <f>COUNTIF('New Items'!$A$1:$A$175,A1002)&gt;0</f>
        <v>0</v>
      </c>
      <c r="U1002" s="181" t="b">
        <f>COUNTIF(Discontinued!$A$1:$A$150,A1002)&gt;0</f>
        <v>0</v>
      </c>
    </row>
    <row r="1003" spans="1:21" s="8" customFormat="1" ht="13.5" thickBot="1" x14ac:dyDescent="0.25">
      <c r="A1003" s="300" t="s">
        <v>2966</v>
      </c>
      <c r="B1003" s="301"/>
      <c r="C1003" s="301"/>
      <c r="D1003" s="301"/>
      <c r="E1003" s="301"/>
      <c r="F1003" s="301"/>
      <c r="G1003" s="301"/>
      <c r="H1003" s="301"/>
      <c r="I1003" s="301"/>
      <c r="J1003" s="301"/>
      <c r="K1003" s="301"/>
      <c r="L1003" s="302"/>
      <c r="M1003" s="179"/>
      <c r="N1003" s="179" t="s">
        <v>2966</v>
      </c>
      <c r="O1003" s="141">
        <f>AVERAGE(O1004:O1008)</f>
        <v>0</v>
      </c>
      <c r="P1003" s="181" t="b">
        <f>COUNTIF(P1004:P1008,TRUE)&gt;0</f>
        <v>0</v>
      </c>
      <c r="Q1003" s="181" t="b">
        <f>COUNTIF(Q1004:Q1008,TRUE)&gt;0</f>
        <v>0</v>
      </c>
      <c r="R1003" s="181" t="b">
        <f>COUNTIF(R1004:R1008,TRUE)&gt;0</f>
        <v>0</v>
      </c>
      <c r="S1003" s="181" t="b">
        <f>COUNTIF(S1004:S1008,TRUE)&gt;0</f>
        <v>0</v>
      </c>
      <c r="T1003" s="181" t="b">
        <f>COUNTIF(T1004:T1008,TRUE)&gt;0</f>
        <v>0</v>
      </c>
      <c r="U1003" s="249"/>
    </row>
    <row r="1004" spans="1:21" s="8" customFormat="1" ht="11.25" x14ac:dyDescent="0.2">
      <c r="A1004" s="152">
        <v>10085234</v>
      </c>
      <c r="B1004" s="10" t="s">
        <v>2971</v>
      </c>
      <c r="C1004" s="12" t="s">
        <v>2972</v>
      </c>
      <c r="D1004" s="11" t="s">
        <v>2975</v>
      </c>
      <c r="E1004" s="12" t="s">
        <v>776</v>
      </c>
      <c r="F1004" s="13">
        <v>6</v>
      </c>
      <c r="G1004" s="98">
        <f>Overview!$B$107</f>
        <v>24</v>
      </c>
      <c r="H1004" s="99">
        <f>G1004-I1004</f>
        <v>24</v>
      </c>
      <c r="I1004" s="169">
        <f>Overview!$E$107</f>
        <v>0</v>
      </c>
      <c r="J1004" s="100">
        <f>I1004/F1004</f>
        <v>0</v>
      </c>
      <c r="K1004" s="171">
        <f>Overview!$H$107</f>
        <v>0</v>
      </c>
      <c r="L1004" s="102" t="e">
        <f>(K1004-J1004)/K1004</f>
        <v>#DIV/0!</v>
      </c>
      <c r="M1004" s="179"/>
      <c r="N1004" s="179" t="s">
        <v>2966</v>
      </c>
      <c r="O1004" s="141">
        <f>I1004</f>
        <v>0</v>
      </c>
      <c r="P1004" s="181" t="b">
        <f>COUNTIF('Facility Data'!$A$1:$A$1500,"*"&amp;A1004&amp;"*")&gt;0</f>
        <v>0</v>
      </c>
      <c r="Q1004" s="181" t="b">
        <f>COUNTIF('Account Data'!$A$1:$A$1000,"*"&amp;A1004&amp;"*")&gt;0</f>
        <v>0</v>
      </c>
      <c r="R1004" s="182" t="b">
        <f>IF(OR(P1004=TRUE,T1004=TRUE),TRUE,FALSE)</f>
        <v>0</v>
      </c>
      <c r="S1004" s="182" t="b">
        <f>IF(OR(Q1004=TRUE,T1004=TRUE),TRUE,FALSE)</f>
        <v>0</v>
      </c>
      <c r="T1004" s="181" t="b">
        <f>COUNTIF('New Items'!$A$1:$A$175,A1004)&gt;0</f>
        <v>0</v>
      </c>
      <c r="U1004" s="181" t="b">
        <f>COUNTIF(Discontinued!$A$1:$A$150,A1004)&gt;0</f>
        <v>0</v>
      </c>
    </row>
    <row r="1005" spans="1:21" s="8" customFormat="1" ht="11.25" x14ac:dyDescent="0.2">
      <c r="A1005" s="152">
        <v>10006322</v>
      </c>
      <c r="B1005" s="10" t="s">
        <v>1689</v>
      </c>
      <c r="C1005" s="12" t="s">
        <v>1690</v>
      </c>
      <c r="D1005" s="11" t="s">
        <v>2978</v>
      </c>
      <c r="E1005" s="12" t="s">
        <v>769</v>
      </c>
      <c r="F1005" s="13">
        <v>4</v>
      </c>
      <c r="G1005" s="98">
        <f>Overview!$B$108</f>
        <v>17</v>
      </c>
      <c r="H1005" s="99">
        <f>G1005-I1005</f>
        <v>17</v>
      </c>
      <c r="I1005" s="169">
        <f>Overview!$E$108</f>
        <v>0</v>
      </c>
      <c r="J1005" s="100">
        <f>I1005/F1005</f>
        <v>0</v>
      </c>
      <c r="K1005" s="171">
        <f>Overview!$H$108</f>
        <v>0</v>
      </c>
      <c r="L1005" s="102" t="e">
        <f>(K1005-J1005)/K1005</f>
        <v>#DIV/0!</v>
      </c>
      <c r="M1005" s="179"/>
      <c r="N1005" s="179" t="s">
        <v>2966</v>
      </c>
      <c r="O1005" s="141">
        <f>I1005</f>
        <v>0</v>
      </c>
      <c r="P1005" s="181" t="b">
        <f>COUNTIF('Facility Data'!$A$1:$A$1500,"*"&amp;A1005&amp;"*")&gt;0</f>
        <v>0</v>
      </c>
      <c r="Q1005" s="181" t="b">
        <f>COUNTIF('Account Data'!$A$1:$A$1000,"*"&amp;A1005&amp;"*")&gt;0</f>
        <v>0</v>
      </c>
      <c r="R1005" s="182" t="b">
        <f>IF(OR(P1005=TRUE,T1005=TRUE),TRUE,FALSE)</f>
        <v>0</v>
      </c>
      <c r="S1005" s="182" t="b">
        <f>IF(OR(Q1005=TRUE,T1005=TRUE),TRUE,FALSE)</f>
        <v>0</v>
      </c>
      <c r="T1005" s="181" t="b">
        <f>COUNTIF('New Items'!$A$1:$A$175,A1005)&gt;0</f>
        <v>0</v>
      </c>
      <c r="U1005" s="181" t="b">
        <f>COUNTIF(Discontinued!$A$1:$A$150,A1005)&gt;0</f>
        <v>0</v>
      </c>
    </row>
    <row r="1006" spans="1:21" s="8" customFormat="1" ht="11.25" x14ac:dyDescent="0.2">
      <c r="A1006" s="152">
        <v>10006319</v>
      </c>
      <c r="B1006" s="10" t="s">
        <v>2967</v>
      </c>
      <c r="C1006" s="12" t="s">
        <v>2968</v>
      </c>
      <c r="D1006" s="11" t="s">
        <v>2979</v>
      </c>
      <c r="E1006" s="12" t="s">
        <v>772</v>
      </c>
      <c r="F1006" s="13">
        <v>24</v>
      </c>
      <c r="G1006" s="98">
        <f>Overview!$B$109</f>
        <v>22.45</v>
      </c>
      <c r="H1006" s="99">
        <f>G1006-I1006</f>
        <v>22.45</v>
      </c>
      <c r="I1006" s="169">
        <f>Overview!$E$109</f>
        <v>0</v>
      </c>
      <c r="J1006" s="100">
        <f>I1006/F1006</f>
        <v>0</v>
      </c>
      <c r="K1006" s="171">
        <f>Overview!$H$109</f>
        <v>0</v>
      </c>
      <c r="L1006" s="102" t="e">
        <f>(K1006-J1006)/K1006</f>
        <v>#DIV/0!</v>
      </c>
      <c r="M1006" s="179"/>
      <c r="N1006" s="179" t="s">
        <v>2966</v>
      </c>
      <c r="O1006" s="141">
        <f>I1006</f>
        <v>0</v>
      </c>
      <c r="P1006" s="181" t="b">
        <f>COUNTIF('Facility Data'!$A$1:$A$1500,"*"&amp;A1006&amp;"*")&gt;0</f>
        <v>0</v>
      </c>
      <c r="Q1006" s="181" t="b">
        <f>COUNTIF('Account Data'!$A$1:$A$1000,"*"&amp;A1006&amp;"*")&gt;0</f>
        <v>0</v>
      </c>
      <c r="R1006" s="182" t="b">
        <f>IF(OR(P1006=TRUE,T1006=TRUE),TRUE,FALSE)</f>
        <v>0</v>
      </c>
      <c r="S1006" s="182" t="b">
        <f>IF(OR(Q1006=TRUE,T1006=TRUE),TRUE,FALSE)</f>
        <v>0</v>
      </c>
      <c r="T1006" s="181" t="b">
        <f>COUNTIF('New Items'!$A$1:$A$175,A1006)&gt;0</f>
        <v>0</v>
      </c>
      <c r="U1006" s="181" t="b">
        <f>COUNTIF(Discontinued!$A$1:$A$150,A1006)&gt;0</f>
        <v>0</v>
      </c>
    </row>
    <row r="1007" spans="1:21" s="8" customFormat="1" ht="11.25" x14ac:dyDescent="0.2">
      <c r="A1007" s="152">
        <v>10006321</v>
      </c>
      <c r="B1007" s="10" t="s">
        <v>2969</v>
      </c>
      <c r="C1007" s="12" t="s">
        <v>2970</v>
      </c>
      <c r="D1007" s="11" t="s">
        <v>2980</v>
      </c>
      <c r="E1007" s="12" t="s">
        <v>761</v>
      </c>
      <c r="F1007" s="13">
        <v>12</v>
      </c>
      <c r="G1007" s="98">
        <f>Overview!$B$110</f>
        <v>21</v>
      </c>
      <c r="H1007" s="99">
        <f>G1007-I1007</f>
        <v>21</v>
      </c>
      <c r="I1007" s="169">
        <f>Overview!$E$110</f>
        <v>0</v>
      </c>
      <c r="J1007" s="100">
        <f>I1007/F1007</f>
        <v>0</v>
      </c>
      <c r="K1007" s="171">
        <f>Overview!$H$110</f>
        <v>0</v>
      </c>
      <c r="L1007" s="102" t="e">
        <f>(K1007-J1007)/K1007</f>
        <v>#DIV/0!</v>
      </c>
      <c r="M1007" s="179"/>
      <c r="N1007" s="179" t="s">
        <v>2966</v>
      </c>
      <c r="O1007" s="141">
        <f>I1007</f>
        <v>0</v>
      </c>
      <c r="P1007" s="181" t="b">
        <f>COUNTIF('Facility Data'!$A$1:$A$1500,"*"&amp;A1007&amp;"*")&gt;0</f>
        <v>0</v>
      </c>
      <c r="Q1007" s="181" t="b">
        <f>COUNTIF('Account Data'!$A$1:$A$1000,"*"&amp;A1007&amp;"*")&gt;0</f>
        <v>0</v>
      </c>
      <c r="R1007" s="182" t="b">
        <f>IF(OR(P1007=TRUE,T1007=TRUE),TRUE,FALSE)</f>
        <v>0</v>
      </c>
      <c r="S1007" s="182" t="b">
        <f>IF(OR(Q1007=TRUE,T1007=TRUE),TRUE,FALSE)</f>
        <v>0</v>
      </c>
      <c r="T1007" s="181" t="b">
        <f>COUNTIF('New Items'!$A$1:$A$175,A1007)&gt;0</f>
        <v>0</v>
      </c>
      <c r="U1007" s="181" t="b">
        <f>COUNTIF(Discontinued!$A$1:$A$150,A1007)&gt;0</f>
        <v>0</v>
      </c>
    </row>
    <row r="1008" spans="1:21" s="8" customFormat="1" ht="12" thickBot="1" x14ac:dyDescent="0.25">
      <c r="A1008" s="152">
        <v>10006324</v>
      </c>
      <c r="B1008" s="10" t="s">
        <v>2973</v>
      </c>
      <c r="C1008" s="12" t="s">
        <v>2974</v>
      </c>
      <c r="D1008" s="11" t="s">
        <v>2976</v>
      </c>
      <c r="E1008" s="12" t="s">
        <v>2977</v>
      </c>
      <c r="F1008" s="13">
        <v>8</v>
      </c>
      <c r="G1008" s="98">
        <f>Overview!$B$111</f>
        <v>17.5</v>
      </c>
      <c r="H1008" s="99">
        <f>G1008-I1008</f>
        <v>17.5</v>
      </c>
      <c r="I1008" s="169">
        <f>Overview!$E$111</f>
        <v>0</v>
      </c>
      <c r="J1008" s="100">
        <f>I1008/F1008</f>
        <v>0</v>
      </c>
      <c r="K1008" s="171">
        <f>Overview!$H$111</f>
        <v>0</v>
      </c>
      <c r="L1008" s="102" t="e">
        <f>(K1008-J1008)/K1008</f>
        <v>#DIV/0!</v>
      </c>
      <c r="M1008" s="179"/>
      <c r="N1008" s="179" t="s">
        <v>2966</v>
      </c>
      <c r="O1008" s="141">
        <f>I1008</f>
        <v>0</v>
      </c>
      <c r="P1008" s="181" t="b">
        <f>COUNTIF('Facility Data'!$A$1:$A$1500,"*"&amp;A1008&amp;"*")&gt;0</f>
        <v>0</v>
      </c>
      <c r="Q1008" s="181" t="b">
        <f>COUNTIF('Account Data'!$A$1:$A$1000,"*"&amp;A1008&amp;"*")&gt;0</f>
        <v>0</v>
      </c>
      <c r="R1008" s="182" t="b">
        <f>IF(OR(P1008=TRUE,T1008=TRUE),TRUE,FALSE)</f>
        <v>0</v>
      </c>
      <c r="S1008" s="182" t="b">
        <f>IF(OR(Q1008=TRUE,T1008=TRUE),TRUE,FALSE)</f>
        <v>0</v>
      </c>
      <c r="T1008" s="181" t="b">
        <f>COUNTIF('New Items'!$A$1:$A$175,A1008)&gt;0</f>
        <v>0</v>
      </c>
      <c r="U1008" s="181" t="b">
        <f>COUNTIF(Discontinued!$A$1:$A$150,A1008)&gt;0</f>
        <v>0</v>
      </c>
    </row>
    <row r="1009" spans="1:21" s="8" customFormat="1" ht="13.5" thickBot="1" x14ac:dyDescent="0.25">
      <c r="A1009" s="300" t="s">
        <v>3915</v>
      </c>
      <c r="B1009" s="301"/>
      <c r="C1009" s="301"/>
      <c r="D1009" s="301"/>
      <c r="E1009" s="301"/>
      <c r="F1009" s="301"/>
      <c r="G1009" s="301"/>
      <c r="H1009" s="301"/>
      <c r="I1009" s="301"/>
      <c r="J1009" s="301"/>
      <c r="K1009" s="301"/>
      <c r="L1009" s="302"/>
      <c r="M1009" s="179"/>
      <c r="N1009" s="179" t="s">
        <v>3914</v>
      </c>
      <c r="O1009" s="141">
        <f>AVERAGE(O1010:O1013)</f>
        <v>0</v>
      </c>
      <c r="P1009" s="181" t="b">
        <f>COUNTIF(P1010:P1013,TRUE)&gt;0</f>
        <v>0</v>
      </c>
      <c r="Q1009" s="181" t="b">
        <f>COUNTIF(Q1010:Q1013,TRUE)&gt;0</f>
        <v>0</v>
      </c>
      <c r="R1009" s="181" t="b">
        <f>COUNTIF(R1010:R1013,TRUE)&gt;0</f>
        <v>0</v>
      </c>
      <c r="S1009" s="181" t="b">
        <f>COUNTIF(S1010:S1013,TRUE)&gt;0</f>
        <v>0</v>
      </c>
      <c r="T1009" s="181" t="b">
        <f>COUNTIF(T1010:T1013,TRUE)&gt;0</f>
        <v>0</v>
      </c>
      <c r="U1009" s="249"/>
    </row>
    <row r="1010" spans="1:21" s="8" customFormat="1" ht="11.25" x14ac:dyDescent="0.2">
      <c r="A1010" s="152">
        <v>20031237</v>
      </c>
      <c r="B1010" s="10" t="s">
        <v>4087</v>
      </c>
      <c r="C1010" s="124" t="s">
        <v>3910</v>
      </c>
      <c r="D1010" s="119" t="s">
        <v>3906</v>
      </c>
      <c r="E1010" s="124" t="s">
        <v>3905</v>
      </c>
      <c r="F1010" s="120">
        <v>12</v>
      </c>
      <c r="G1010" s="121">
        <f>Overview!$B$127</f>
        <v>26</v>
      </c>
      <c r="H1010" s="114">
        <f>G1010-I1010</f>
        <v>26</v>
      </c>
      <c r="I1010" s="114">
        <f>Overview!$E$127</f>
        <v>0</v>
      </c>
      <c r="J1010" s="115">
        <f>I1010/F1010</f>
        <v>0</v>
      </c>
      <c r="K1010" s="116">
        <f>Overview!$H$127</f>
        <v>0</v>
      </c>
      <c r="L1010" s="117" t="e">
        <f>(K1010-J1010)/K1010</f>
        <v>#DIV/0!</v>
      </c>
      <c r="M1010" s="179"/>
      <c r="N1010" s="179" t="s">
        <v>3914</v>
      </c>
      <c r="O1010" s="141">
        <f>I1010</f>
        <v>0</v>
      </c>
      <c r="P1010" s="181" t="b">
        <f>COUNTIF('Facility Data'!$A$1:$A$1500,"*"&amp;A1010&amp;"*")&gt;0</f>
        <v>0</v>
      </c>
      <c r="Q1010" s="181" t="b">
        <f>COUNTIF('Account Data'!$A$1:$A$1000,"*"&amp;A1010&amp;"*")&gt;0</f>
        <v>0</v>
      </c>
      <c r="R1010" s="182" t="b">
        <f>IF(OR(P1010=TRUE,T1010=TRUE),TRUE,FALSE)</f>
        <v>0</v>
      </c>
      <c r="S1010" s="182" t="b">
        <f>IF(OR(Q1010=TRUE,T1010=TRUE),TRUE,FALSE)</f>
        <v>0</v>
      </c>
      <c r="T1010" s="181" t="b">
        <f>COUNTIF('New Items'!$A$1:$A$175,A1010)&gt;0</f>
        <v>0</v>
      </c>
      <c r="U1010" s="181" t="b">
        <f>COUNTIF(Discontinued!$A$1:$A$150,A1010)&gt;0</f>
        <v>0</v>
      </c>
    </row>
    <row r="1011" spans="1:21" s="8" customFormat="1" ht="11.25" x14ac:dyDescent="0.2">
      <c r="A1011" s="152">
        <v>20031238</v>
      </c>
      <c r="B1011" s="10" t="s">
        <v>4088</v>
      </c>
      <c r="C1011" s="124" t="s">
        <v>3911</v>
      </c>
      <c r="D1011" s="119" t="s">
        <v>3907</v>
      </c>
      <c r="E1011" s="124" t="s">
        <v>3905</v>
      </c>
      <c r="F1011" s="120">
        <v>12</v>
      </c>
      <c r="G1011" s="121">
        <f>Overview!$B$127</f>
        <v>26</v>
      </c>
      <c r="H1011" s="114">
        <f>G1011-I1011</f>
        <v>26</v>
      </c>
      <c r="I1011" s="114">
        <f>Overview!$E$127</f>
        <v>0</v>
      </c>
      <c r="J1011" s="115">
        <f>I1011/F1011</f>
        <v>0</v>
      </c>
      <c r="K1011" s="116">
        <f>Overview!$H$127</f>
        <v>0</v>
      </c>
      <c r="L1011" s="117" t="e">
        <f>(K1011-J1011)/K1011</f>
        <v>#DIV/0!</v>
      </c>
      <c r="M1011" s="179"/>
      <c r="N1011" s="179" t="s">
        <v>3914</v>
      </c>
      <c r="O1011" s="141">
        <f>I1011</f>
        <v>0</v>
      </c>
      <c r="P1011" s="181" t="b">
        <f>COUNTIF('Facility Data'!$A$1:$A$1500,"*"&amp;A1011&amp;"*")&gt;0</f>
        <v>0</v>
      </c>
      <c r="Q1011" s="181" t="b">
        <f>COUNTIF('Account Data'!$A$1:$A$1000,"*"&amp;A1011&amp;"*")&gt;0</f>
        <v>0</v>
      </c>
      <c r="R1011" s="182" t="b">
        <f>IF(OR(P1011=TRUE,T1011=TRUE),TRUE,FALSE)</f>
        <v>0</v>
      </c>
      <c r="S1011" s="182" t="b">
        <f>IF(OR(Q1011=TRUE,T1011=TRUE),TRUE,FALSE)</f>
        <v>0</v>
      </c>
      <c r="T1011" s="181" t="b">
        <f>COUNTIF('New Items'!$A$1:$A$175,A1011)&gt;0</f>
        <v>0</v>
      </c>
      <c r="U1011" s="181" t="b">
        <f>COUNTIF(Discontinued!$A$1:$A$150,A1011)&gt;0</f>
        <v>0</v>
      </c>
    </row>
    <row r="1012" spans="1:21" s="8" customFormat="1" ht="11.25" x14ac:dyDescent="0.2">
      <c r="A1012" s="152">
        <v>20031235</v>
      </c>
      <c r="B1012" s="10" t="s">
        <v>4085</v>
      </c>
      <c r="C1012" s="124" t="s">
        <v>3913</v>
      </c>
      <c r="D1012" s="119" t="s">
        <v>3909</v>
      </c>
      <c r="E1012" s="124" t="s">
        <v>3905</v>
      </c>
      <c r="F1012" s="120">
        <v>12</v>
      </c>
      <c r="G1012" s="121">
        <f>Overview!$B$127</f>
        <v>26</v>
      </c>
      <c r="H1012" s="114">
        <f>G1012-I1012</f>
        <v>26</v>
      </c>
      <c r="I1012" s="114">
        <f>Overview!$E$127</f>
        <v>0</v>
      </c>
      <c r="J1012" s="115">
        <f>I1012/F1012</f>
        <v>0</v>
      </c>
      <c r="K1012" s="116">
        <f>Overview!$H$127</f>
        <v>0</v>
      </c>
      <c r="L1012" s="117" t="e">
        <f>(K1012-J1012)/K1012</f>
        <v>#DIV/0!</v>
      </c>
      <c r="M1012" s="179"/>
      <c r="N1012" s="179" t="s">
        <v>3914</v>
      </c>
      <c r="O1012" s="141">
        <f>I1012</f>
        <v>0</v>
      </c>
      <c r="P1012" s="181" t="b">
        <f>COUNTIF('Facility Data'!$A$1:$A$1500,"*"&amp;A1012&amp;"*")&gt;0</f>
        <v>0</v>
      </c>
      <c r="Q1012" s="181" t="b">
        <f>COUNTIF('Account Data'!$A$1:$A$1000,"*"&amp;A1012&amp;"*")&gt;0</f>
        <v>0</v>
      </c>
      <c r="R1012" s="182" t="b">
        <f>IF(OR(P1012=TRUE,T1012=TRUE),TRUE,FALSE)</f>
        <v>0</v>
      </c>
      <c r="S1012" s="182" t="b">
        <f>IF(OR(Q1012=TRUE,T1012=TRUE),TRUE,FALSE)</f>
        <v>0</v>
      </c>
      <c r="T1012" s="181" t="b">
        <f>COUNTIF('New Items'!$A$1:$A$175,A1012)&gt;0</f>
        <v>0</v>
      </c>
      <c r="U1012" s="181" t="b">
        <f>COUNTIF(Discontinued!$A$1:$A$150,A1012)&gt;0</f>
        <v>0</v>
      </c>
    </row>
    <row r="1013" spans="1:21" s="8" customFormat="1" ht="12" thickBot="1" x14ac:dyDescent="0.25">
      <c r="A1013" s="152">
        <v>20031236</v>
      </c>
      <c r="B1013" s="10" t="s">
        <v>4086</v>
      </c>
      <c r="C1013" s="124" t="s">
        <v>3912</v>
      </c>
      <c r="D1013" s="119" t="s">
        <v>3908</v>
      </c>
      <c r="E1013" s="124" t="s">
        <v>3905</v>
      </c>
      <c r="F1013" s="120">
        <v>12</v>
      </c>
      <c r="G1013" s="121">
        <f>Overview!$B$127</f>
        <v>26</v>
      </c>
      <c r="H1013" s="114">
        <f>G1013-I1013</f>
        <v>26</v>
      </c>
      <c r="I1013" s="114">
        <f>Overview!$E$127</f>
        <v>0</v>
      </c>
      <c r="J1013" s="115">
        <f>I1013/F1013</f>
        <v>0</v>
      </c>
      <c r="K1013" s="116">
        <f>Overview!$H$127</f>
        <v>0</v>
      </c>
      <c r="L1013" s="117" t="e">
        <f>(K1013-J1013)/K1013</f>
        <v>#DIV/0!</v>
      </c>
      <c r="M1013" s="179"/>
      <c r="N1013" s="179" t="s">
        <v>3914</v>
      </c>
      <c r="O1013" s="141">
        <f>I1013</f>
        <v>0</v>
      </c>
      <c r="P1013" s="181" t="b">
        <f>COUNTIF('Facility Data'!$A$1:$A$1500,"*"&amp;A1013&amp;"*")&gt;0</f>
        <v>0</v>
      </c>
      <c r="Q1013" s="181" t="b">
        <f>COUNTIF('Account Data'!$A$1:$A$1000,"*"&amp;A1013&amp;"*")&gt;0</f>
        <v>0</v>
      </c>
      <c r="R1013" s="182" t="b">
        <f>IF(OR(P1013=TRUE,T1013=TRUE),TRUE,FALSE)</f>
        <v>0</v>
      </c>
      <c r="S1013" s="182" t="b">
        <f>IF(OR(Q1013=TRUE,T1013=TRUE),TRUE,FALSE)</f>
        <v>0</v>
      </c>
      <c r="T1013" s="181" t="b">
        <f>COUNTIF('New Items'!$A$1:$A$175,A1013)&gt;0</f>
        <v>0</v>
      </c>
      <c r="U1013" s="181" t="b">
        <f>COUNTIF(Discontinued!$A$1:$A$150,A1013)&gt;0</f>
        <v>0</v>
      </c>
    </row>
    <row r="1014" spans="1:21" s="8" customFormat="1" ht="13.5" thickBot="1" x14ac:dyDescent="0.25">
      <c r="A1014" s="300" t="s">
        <v>1034</v>
      </c>
      <c r="B1014" s="301"/>
      <c r="C1014" s="301"/>
      <c r="D1014" s="301"/>
      <c r="E1014" s="301"/>
      <c r="F1014" s="301"/>
      <c r="G1014" s="301"/>
      <c r="H1014" s="301"/>
      <c r="I1014" s="301"/>
      <c r="J1014" s="301"/>
      <c r="K1014" s="301"/>
      <c r="L1014" s="302"/>
      <c r="M1014" s="179"/>
      <c r="N1014" s="179" t="s">
        <v>1265</v>
      </c>
      <c r="O1014" s="141">
        <f>AVERAGE(O1015:O1018)</f>
        <v>0</v>
      </c>
      <c r="P1014" s="181" t="b">
        <f>COUNTIF(P1015:P1018,TRUE)&gt;0</f>
        <v>1</v>
      </c>
      <c r="Q1014" s="181" t="b">
        <f>COUNTIF(Q1015:Q1018,TRUE)&gt;0</f>
        <v>1</v>
      </c>
      <c r="R1014" s="181" t="b">
        <f>COUNTIF(R1015:R1018,TRUE)&gt;0</f>
        <v>1</v>
      </c>
      <c r="S1014" s="181" t="b">
        <f>COUNTIF(S1015:S1018,TRUE)&gt;0</f>
        <v>1</v>
      </c>
      <c r="T1014" s="181" t="b">
        <f>COUNTIF(T1015:T1018,TRUE)&gt;0</f>
        <v>0</v>
      </c>
      <c r="U1014" s="249"/>
    </row>
    <row r="1015" spans="1:21" s="8" customFormat="1" ht="11.25" x14ac:dyDescent="0.2">
      <c r="A1015" s="152">
        <v>20028089</v>
      </c>
      <c r="B1015" s="10" t="s">
        <v>1044</v>
      </c>
      <c r="C1015" s="124" t="s">
        <v>1036</v>
      </c>
      <c r="D1015" s="119" t="s">
        <v>1037</v>
      </c>
      <c r="E1015" s="124" t="s">
        <v>786</v>
      </c>
      <c r="F1015" s="120">
        <v>12</v>
      </c>
      <c r="G1015" s="121">
        <f>Overview!$B$128</f>
        <v>26</v>
      </c>
      <c r="H1015" s="114">
        <f>G1015-I1015</f>
        <v>26</v>
      </c>
      <c r="I1015" s="114">
        <f>Overview!$E$128</f>
        <v>0</v>
      </c>
      <c r="J1015" s="115">
        <f>I1015/F1015</f>
        <v>0</v>
      </c>
      <c r="K1015" s="116">
        <f>Overview!$H$128</f>
        <v>0</v>
      </c>
      <c r="L1015" s="117" t="e">
        <f>(K1015-J1015)/K1015</f>
        <v>#DIV/0!</v>
      </c>
      <c r="M1015" s="179"/>
      <c r="N1015" s="179" t="s">
        <v>1265</v>
      </c>
      <c r="O1015" s="141">
        <f>I1015</f>
        <v>0</v>
      </c>
      <c r="P1015" s="181" t="b">
        <f>COUNTIF('Facility Data'!$A$1:$A$1500,"*"&amp;A1015&amp;"*")&gt;0</f>
        <v>1</v>
      </c>
      <c r="Q1015" s="181" t="b">
        <f>COUNTIF('Account Data'!$A$1:$A$1000,"*"&amp;A1015&amp;"*")&gt;0</f>
        <v>1</v>
      </c>
      <c r="R1015" s="182" t="b">
        <f>IF(OR(P1015=TRUE,T1015=TRUE),TRUE,FALSE)</f>
        <v>1</v>
      </c>
      <c r="S1015" s="182" t="b">
        <f>IF(OR(Q1015=TRUE,T1015=TRUE),TRUE,FALSE)</f>
        <v>1</v>
      </c>
      <c r="T1015" s="181" t="b">
        <f>COUNTIF('New Items'!$A$1:$A$175,A1015)&gt;0</f>
        <v>0</v>
      </c>
      <c r="U1015" s="181" t="b">
        <f>COUNTIF(Discontinued!$A$1:$A$150,A1015)&gt;0</f>
        <v>0</v>
      </c>
    </row>
    <row r="1016" spans="1:21" s="8" customFormat="1" ht="11.25" x14ac:dyDescent="0.2">
      <c r="A1016" s="152">
        <v>20028087</v>
      </c>
      <c r="B1016" s="10" t="s">
        <v>1035</v>
      </c>
      <c r="C1016" s="124" t="s">
        <v>1042</v>
      </c>
      <c r="D1016" s="119" t="s">
        <v>1039</v>
      </c>
      <c r="E1016" s="124" t="s">
        <v>786</v>
      </c>
      <c r="F1016" s="120">
        <v>12</v>
      </c>
      <c r="G1016" s="121">
        <f>Overview!$B$128</f>
        <v>26</v>
      </c>
      <c r="H1016" s="114">
        <f>G1016-I1016</f>
        <v>26</v>
      </c>
      <c r="I1016" s="114">
        <f>Overview!$E$128</f>
        <v>0</v>
      </c>
      <c r="J1016" s="115">
        <f>I1016/F1016</f>
        <v>0</v>
      </c>
      <c r="K1016" s="116">
        <f>Overview!$H$128</f>
        <v>0</v>
      </c>
      <c r="L1016" s="117" t="e">
        <f>(K1016-J1016)/K1016</f>
        <v>#DIV/0!</v>
      </c>
      <c r="M1016" s="179"/>
      <c r="N1016" s="179" t="s">
        <v>1265</v>
      </c>
      <c r="O1016" s="141">
        <f>I1016</f>
        <v>0</v>
      </c>
      <c r="P1016" s="181" t="b">
        <f>COUNTIF('Facility Data'!$A$1:$A$1500,"*"&amp;A1016&amp;"*")&gt;0</f>
        <v>1</v>
      </c>
      <c r="Q1016" s="181" t="b">
        <f>COUNTIF('Account Data'!$A$1:$A$1000,"*"&amp;A1016&amp;"*")&gt;0</f>
        <v>1</v>
      </c>
      <c r="R1016" s="182" t="b">
        <f>IF(OR(P1016=TRUE,T1016=TRUE),TRUE,FALSE)</f>
        <v>1</v>
      </c>
      <c r="S1016" s="182" t="b">
        <f>IF(OR(Q1016=TRUE,T1016=TRUE),TRUE,FALSE)</f>
        <v>1</v>
      </c>
      <c r="T1016" s="181" t="b">
        <f>COUNTIF('New Items'!$A$1:$A$175,A1016)&gt;0</f>
        <v>0</v>
      </c>
      <c r="U1016" s="181" t="b">
        <f>COUNTIF(Discontinued!$A$1:$A$150,A1016)&gt;0</f>
        <v>0</v>
      </c>
    </row>
    <row r="1017" spans="1:21" s="8" customFormat="1" ht="11.25" x14ac:dyDescent="0.2">
      <c r="A1017" s="152">
        <v>20028088</v>
      </c>
      <c r="B1017" s="10" t="s">
        <v>1046</v>
      </c>
      <c r="C1017" s="124" t="s">
        <v>1043</v>
      </c>
      <c r="D1017" s="119" t="s">
        <v>1040</v>
      </c>
      <c r="E1017" s="124" t="s">
        <v>786</v>
      </c>
      <c r="F1017" s="120">
        <v>12</v>
      </c>
      <c r="G1017" s="121">
        <f>Overview!$B$128</f>
        <v>26</v>
      </c>
      <c r="H1017" s="114">
        <f>G1017-I1017</f>
        <v>26</v>
      </c>
      <c r="I1017" s="114">
        <f>Overview!$E$128</f>
        <v>0</v>
      </c>
      <c r="J1017" s="115">
        <f>I1017/F1017</f>
        <v>0</v>
      </c>
      <c r="K1017" s="116">
        <f>Overview!$H$128</f>
        <v>0</v>
      </c>
      <c r="L1017" s="117" t="e">
        <f>(K1017-J1017)/K1017</f>
        <v>#DIV/0!</v>
      </c>
      <c r="M1017" s="179"/>
      <c r="N1017" s="179" t="s">
        <v>1265</v>
      </c>
      <c r="O1017" s="141">
        <f>I1017</f>
        <v>0</v>
      </c>
      <c r="P1017" s="181" t="b">
        <f>COUNTIF('Facility Data'!$A$1:$A$1500,"*"&amp;A1017&amp;"*")&gt;0</f>
        <v>1</v>
      </c>
      <c r="Q1017" s="181" t="b">
        <f>COUNTIF('Account Data'!$A$1:$A$1000,"*"&amp;A1017&amp;"*")&gt;0</f>
        <v>1</v>
      </c>
      <c r="R1017" s="182" t="b">
        <f>IF(OR(P1017=TRUE,T1017=TRUE),TRUE,FALSE)</f>
        <v>1</v>
      </c>
      <c r="S1017" s="182" t="b">
        <f>IF(OR(Q1017=TRUE,T1017=TRUE),TRUE,FALSE)</f>
        <v>1</v>
      </c>
      <c r="T1017" s="181" t="b">
        <f>COUNTIF('New Items'!$A$1:$A$175,A1017)&gt;0</f>
        <v>0</v>
      </c>
      <c r="U1017" s="181" t="b">
        <f>COUNTIF(Discontinued!$A$1:$A$150,A1017)&gt;0</f>
        <v>0</v>
      </c>
    </row>
    <row r="1018" spans="1:21" s="8" customFormat="1" ht="12" thickBot="1" x14ac:dyDescent="0.25">
      <c r="A1018" s="152">
        <v>20028090</v>
      </c>
      <c r="B1018" s="10" t="s">
        <v>1045</v>
      </c>
      <c r="C1018" s="124" t="s">
        <v>1041</v>
      </c>
      <c r="D1018" s="119" t="s">
        <v>1038</v>
      </c>
      <c r="E1018" s="124" t="s">
        <v>786</v>
      </c>
      <c r="F1018" s="120">
        <v>12</v>
      </c>
      <c r="G1018" s="121">
        <f>Overview!$B$128</f>
        <v>26</v>
      </c>
      <c r="H1018" s="114">
        <f>G1018-I1018</f>
        <v>26</v>
      </c>
      <c r="I1018" s="114">
        <f>Overview!$E$128</f>
        <v>0</v>
      </c>
      <c r="J1018" s="115">
        <f>I1018/F1018</f>
        <v>0</v>
      </c>
      <c r="K1018" s="116">
        <f>Overview!$H$128</f>
        <v>0</v>
      </c>
      <c r="L1018" s="117" t="e">
        <f>(K1018-J1018)/K1018</f>
        <v>#DIV/0!</v>
      </c>
      <c r="M1018" s="179"/>
      <c r="N1018" s="179" t="s">
        <v>1265</v>
      </c>
      <c r="O1018" s="141">
        <f>I1018</f>
        <v>0</v>
      </c>
      <c r="P1018" s="181" t="b">
        <f>COUNTIF('Facility Data'!$A$1:$A$1500,"*"&amp;A1018&amp;"*")&gt;0</f>
        <v>1</v>
      </c>
      <c r="Q1018" s="181" t="b">
        <f>COUNTIF('Account Data'!$A$1:$A$1000,"*"&amp;A1018&amp;"*")&gt;0</f>
        <v>1</v>
      </c>
      <c r="R1018" s="182" t="b">
        <f>IF(OR(P1018=TRUE,T1018=TRUE),TRUE,FALSE)</f>
        <v>1</v>
      </c>
      <c r="S1018" s="182" t="b">
        <f>IF(OR(Q1018=TRUE,T1018=TRUE),TRUE,FALSE)</f>
        <v>1</v>
      </c>
      <c r="T1018" s="181" t="b">
        <f>COUNTIF('New Items'!$A$1:$A$175,A1018)&gt;0</f>
        <v>0</v>
      </c>
      <c r="U1018" s="181" t="b">
        <f>COUNTIF(Discontinued!$A$1:$A$150,A1018)&gt;0</f>
        <v>0</v>
      </c>
    </row>
    <row r="1019" spans="1:21" s="8" customFormat="1" ht="13.5" thickBot="1" x14ac:dyDescent="0.25">
      <c r="A1019" s="300" t="s">
        <v>1151</v>
      </c>
      <c r="B1019" s="301"/>
      <c r="C1019" s="301"/>
      <c r="D1019" s="301"/>
      <c r="E1019" s="301"/>
      <c r="F1019" s="301"/>
      <c r="G1019" s="301"/>
      <c r="H1019" s="301"/>
      <c r="I1019" s="301"/>
      <c r="J1019" s="301"/>
      <c r="K1019" s="301"/>
      <c r="L1019" s="302"/>
      <c r="M1019" s="179"/>
      <c r="N1019" s="179" t="s">
        <v>3149</v>
      </c>
      <c r="O1019" s="141">
        <f>AVERAGE(O1020:O1028)</f>
        <v>0</v>
      </c>
      <c r="P1019" s="181" t="b">
        <f>COUNTIF(P1020:P1028,TRUE)&gt;0</f>
        <v>0</v>
      </c>
      <c r="Q1019" s="181" t="b">
        <f>COUNTIF(Q1020:Q1028,TRUE)&gt;0</f>
        <v>1</v>
      </c>
      <c r="R1019" s="181" t="b">
        <f>COUNTIF(R1020:R1028,TRUE)&gt;0</f>
        <v>0</v>
      </c>
      <c r="S1019" s="181" t="b">
        <f>COUNTIF(S1020:S1028,TRUE)&gt;0</f>
        <v>1</v>
      </c>
      <c r="T1019" s="181" t="b">
        <f>COUNTIF(T1020:T1028,TRUE)&gt;0</f>
        <v>0</v>
      </c>
      <c r="U1019" s="249"/>
    </row>
    <row r="1020" spans="1:21" s="8" customFormat="1" ht="11.25" x14ac:dyDescent="0.2">
      <c r="A1020" s="152">
        <v>20020466</v>
      </c>
      <c r="B1020" s="9" t="s">
        <v>592</v>
      </c>
      <c r="C1020" s="12" t="s">
        <v>611</v>
      </c>
      <c r="D1020" s="11" t="s">
        <v>1152</v>
      </c>
      <c r="E1020" s="12" t="s">
        <v>788</v>
      </c>
      <c r="F1020" s="13">
        <v>12</v>
      </c>
      <c r="G1020" s="121">
        <f>Overview!$B$153</f>
        <v>12</v>
      </c>
      <c r="H1020" s="23">
        <f t="shared" ref="H1020:H1028" si="343">G1020-I1020</f>
        <v>12</v>
      </c>
      <c r="I1020" s="114">
        <f>Overview!$E$153</f>
        <v>0</v>
      </c>
      <c r="J1020" s="24">
        <f t="shared" ref="J1020:J1028" si="344">I1020/F1020</f>
        <v>0</v>
      </c>
      <c r="K1020" s="116">
        <f>Overview!$H$153</f>
        <v>0</v>
      </c>
      <c r="L1020" s="51" t="e">
        <f t="shared" ref="L1020:L1028" si="345">(K1020-J1020)/K1020</f>
        <v>#DIV/0!</v>
      </c>
      <c r="M1020" s="179"/>
      <c r="N1020" s="179" t="s">
        <v>3149</v>
      </c>
      <c r="O1020" s="141">
        <f t="shared" ref="O1020:O1028" si="346">I1020</f>
        <v>0</v>
      </c>
      <c r="P1020" s="181" t="b">
        <f>COUNTIF('Facility Data'!$A$1:$A$1500,"*"&amp;A1020&amp;"*")&gt;0</f>
        <v>0</v>
      </c>
      <c r="Q1020" s="181" t="b">
        <f>COUNTIF('Account Data'!$A$1:$A$1000,"*"&amp;A1020&amp;"*")&gt;0</f>
        <v>1</v>
      </c>
      <c r="R1020" s="182" t="b">
        <f t="shared" ref="R1020:R1028" si="347">IF(OR(P1020=TRUE,T1020=TRUE),TRUE,FALSE)</f>
        <v>0</v>
      </c>
      <c r="S1020" s="182" t="b">
        <f t="shared" ref="S1020:S1028" si="348">IF(OR(Q1020=TRUE,T1020=TRUE),TRUE,FALSE)</f>
        <v>1</v>
      </c>
      <c r="T1020" s="181" t="b">
        <f>COUNTIF('New Items'!$A$1:$A$175,A1020)&gt;0</f>
        <v>0</v>
      </c>
      <c r="U1020" s="181" t="b">
        <f>COUNTIF(Discontinued!$A$1:$A$150,A1020)&gt;0</f>
        <v>0</v>
      </c>
    </row>
    <row r="1021" spans="1:21" s="8" customFormat="1" ht="11.25" x14ac:dyDescent="0.2">
      <c r="A1021" s="152">
        <v>20020467</v>
      </c>
      <c r="B1021" s="9" t="s">
        <v>1371</v>
      </c>
      <c r="C1021" s="12" t="s">
        <v>1372</v>
      </c>
      <c r="D1021" s="11" t="s">
        <v>1368</v>
      </c>
      <c r="E1021" s="12" t="s">
        <v>788</v>
      </c>
      <c r="F1021" s="13">
        <v>12</v>
      </c>
      <c r="G1021" s="121">
        <f>Overview!$B$153</f>
        <v>12</v>
      </c>
      <c r="H1021" s="23">
        <f t="shared" si="343"/>
        <v>12</v>
      </c>
      <c r="I1021" s="114">
        <f>Overview!$E$153</f>
        <v>0</v>
      </c>
      <c r="J1021" s="24">
        <f t="shared" si="344"/>
        <v>0</v>
      </c>
      <c r="K1021" s="116">
        <f>Overview!$H$153</f>
        <v>0</v>
      </c>
      <c r="L1021" s="51" t="e">
        <f t="shared" si="345"/>
        <v>#DIV/0!</v>
      </c>
      <c r="M1021" s="179"/>
      <c r="N1021" s="179" t="s">
        <v>3149</v>
      </c>
      <c r="O1021" s="141">
        <f t="shared" si="346"/>
        <v>0</v>
      </c>
      <c r="P1021" s="181" t="b">
        <f>COUNTIF('Facility Data'!$A$1:$A$1500,"*"&amp;A1021&amp;"*")&gt;0</f>
        <v>0</v>
      </c>
      <c r="Q1021" s="181" t="b">
        <f>COUNTIF('Account Data'!$A$1:$A$1000,"*"&amp;A1021&amp;"*")&gt;0</f>
        <v>0</v>
      </c>
      <c r="R1021" s="182" t="b">
        <f t="shared" si="347"/>
        <v>0</v>
      </c>
      <c r="S1021" s="182" t="b">
        <f t="shared" si="348"/>
        <v>0</v>
      </c>
      <c r="T1021" s="181" t="b">
        <f>COUNTIF('New Items'!$A$1:$A$175,A1021)&gt;0</f>
        <v>0</v>
      </c>
      <c r="U1021" s="181" t="b">
        <f>COUNTIF(Discontinued!$A$1:$A$150,A1021)&gt;0</f>
        <v>0</v>
      </c>
    </row>
    <row r="1022" spans="1:21" s="8" customFormat="1" ht="11.25" x14ac:dyDescent="0.2">
      <c r="A1022" s="152">
        <v>20020468</v>
      </c>
      <c r="B1022" s="9" t="s">
        <v>590</v>
      </c>
      <c r="C1022" s="12" t="s">
        <v>610</v>
      </c>
      <c r="D1022" s="11" t="s">
        <v>1153</v>
      </c>
      <c r="E1022" s="12" t="s">
        <v>788</v>
      </c>
      <c r="F1022" s="13">
        <v>12</v>
      </c>
      <c r="G1022" s="121">
        <f>Overview!$B$153</f>
        <v>12</v>
      </c>
      <c r="H1022" s="23">
        <f t="shared" si="343"/>
        <v>12</v>
      </c>
      <c r="I1022" s="114">
        <f>Overview!$E$153</f>
        <v>0</v>
      </c>
      <c r="J1022" s="24">
        <f t="shared" si="344"/>
        <v>0</v>
      </c>
      <c r="K1022" s="116">
        <f>Overview!$H$153</f>
        <v>0</v>
      </c>
      <c r="L1022" s="51" t="e">
        <f t="shared" si="345"/>
        <v>#DIV/0!</v>
      </c>
      <c r="M1022" s="179"/>
      <c r="N1022" s="179" t="s">
        <v>3149</v>
      </c>
      <c r="O1022" s="141">
        <f t="shared" si="346"/>
        <v>0</v>
      </c>
      <c r="P1022" s="181" t="b">
        <f>COUNTIF('Facility Data'!$A$1:$A$1500,"*"&amp;A1022&amp;"*")&gt;0</f>
        <v>0</v>
      </c>
      <c r="Q1022" s="181" t="b">
        <f>COUNTIF('Account Data'!$A$1:$A$1000,"*"&amp;A1022&amp;"*")&gt;0</f>
        <v>1</v>
      </c>
      <c r="R1022" s="182" t="b">
        <f t="shared" si="347"/>
        <v>0</v>
      </c>
      <c r="S1022" s="182" t="b">
        <f t="shared" si="348"/>
        <v>1</v>
      </c>
      <c r="T1022" s="181" t="b">
        <f>COUNTIF('New Items'!$A$1:$A$175,A1022)&gt;0</f>
        <v>0</v>
      </c>
      <c r="U1022" s="181" t="b">
        <f>COUNTIF(Discontinued!$A$1:$A$150,A1022)&gt;0</f>
        <v>0</v>
      </c>
    </row>
    <row r="1023" spans="1:21" s="8" customFormat="1" ht="11.25" x14ac:dyDescent="0.2">
      <c r="A1023" s="152">
        <v>20020669</v>
      </c>
      <c r="B1023" s="9" t="s">
        <v>1552</v>
      </c>
      <c r="C1023" s="12" t="s">
        <v>1553</v>
      </c>
      <c r="D1023" s="11" t="s">
        <v>1551</v>
      </c>
      <c r="E1023" s="12" t="s">
        <v>788</v>
      </c>
      <c r="F1023" s="13">
        <v>12</v>
      </c>
      <c r="G1023" s="121">
        <f>Overview!$B$153</f>
        <v>12</v>
      </c>
      <c r="H1023" s="23">
        <f t="shared" si="343"/>
        <v>12</v>
      </c>
      <c r="I1023" s="114">
        <f>Overview!$E$153</f>
        <v>0</v>
      </c>
      <c r="J1023" s="24">
        <f t="shared" si="344"/>
        <v>0</v>
      </c>
      <c r="K1023" s="116">
        <f>Overview!$H$153</f>
        <v>0</v>
      </c>
      <c r="L1023" s="51" t="e">
        <f t="shared" si="345"/>
        <v>#DIV/0!</v>
      </c>
      <c r="M1023" s="179"/>
      <c r="N1023" s="179" t="s">
        <v>3149</v>
      </c>
      <c r="O1023" s="141">
        <f t="shared" si="346"/>
        <v>0</v>
      </c>
      <c r="P1023" s="181" t="b">
        <f>COUNTIF('Facility Data'!$A$1:$A$1500,"*"&amp;A1023&amp;"*")&gt;0</f>
        <v>0</v>
      </c>
      <c r="Q1023" s="181" t="b">
        <f>COUNTIF('Account Data'!$A$1:$A$1000,"*"&amp;A1023&amp;"*")&gt;0</f>
        <v>0</v>
      </c>
      <c r="R1023" s="182" t="b">
        <f t="shared" si="347"/>
        <v>0</v>
      </c>
      <c r="S1023" s="182" t="b">
        <f t="shared" si="348"/>
        <v>0</v>
      </c>
      <c r="T1023" s="181" t="b">
        <f>COUNTIF('New Items'!$A$1:$A$175,A1023)&gt;0</f>
        <v>0</v>
      </c>
      <c r="U1023" s="181" t="b">
        <f>COUNTIF(Discontinued!$A$1:$A$150,A1023)&gt;0</f>
        <v>0</v>
      </c>
    </row>
    <row r="1024" spans="1:21" s="8" customFormat="1" ht="11.25" x14ac:dyDescent="0.2">
      <c r="A1024" s="152">
        <v>20020668</v>
      </c>
      <c r="B1024" s="123" t="s">
        <v>1375</v>
      </c>
      <c r="C1024" s="118" t="s">
        <v>1376</v>
      </c>
      <c r="D1024" s="119" t="s">
        <v>1370</v>
      </c>
      <c r="E1024" s="118" t="s">
        <v>788</v>
      </c>
      <c r="F1024" s="120">
        <v>12</v>
      </c>
      <c r="G1024" s="121">
        <f>Overview!$B$153</f>
        <v>12</v>
      </c>
      <c r="H1024" s="114">
        <f t="shared" si="343"/>
        <v>12</v>
      </c>
      <c r="I1024" s="114">
        <f>Overview!$E$153</f>
        <v>0</v>
      </c>
      <c r="J1024" s="115">
        <f t="shared" si="344"/>
        <v>0</v>
      </c>
      <c r="K1024" s="116">
        <f>Overview!$H$153</f>
        <v>0</v>
      </c>
      <c r="L1024" s="117" t="e">
        <f t="shared" si="345"/>
        <v>#DIV/0!</v>
      </c>
      <c r="M1024" s="179"/>
      <c r="N1024" s="179" t="s">
        <v>3149</v>
      </c>
      <c r="O1024" s="141">
        <f t="shared" si="346"/>
        <v>0</v>
      </c>
      <c r="P1024" s="181" t="b">
        <f>COUNTIF('Facility Data'!$A$1:$A$1500,"*"&amp;A1024&amp;"*")&gt;0</f>
        <v>0</v>
      </c>
      <c r="Q1024" s="181" t="b">
        <f>COUNTIF('Account Data'!$A$1:$A$1000,"*"&amp;A1024&amp;"*")&gt;0</f>
        <v>0</v>
      </c>
      <c r="R1024" s="182" t="b">
        <f t="shared" si="347"/>
        <v>0</v>
      </c>
      <c r="S1024" s="182" t="b">
        <f t="shared" si="348"/>
        <v>0</v>
      </c>
      <c r="T1024" s="181" t="b">
        <f>COUNTIF('New Items'!$A$1:$A$175,A1024)&gt;0</f>
        <v>0</v>
      </c>
      <c r="U1024" s="181" t="b">
        <f>COUNTIF(Discontinued!$A$1:$A$150,A1024)&gt;0</f>
        <v>0</v>
      </c>
    </row>
    <row r="1025" spans="1:21" s="8" customFormat="1" ht="11.25" x14ac:dyDescent="0.2">
      <c r="A1025" s="152">
        <v>20020470</v>
      </c>
      <c r="B1025" s="123" t="s">
        <v>591</v>
      </c>
      <c r="C1025" s="118" t="s">
        <v>609</v>
      </c>
      <c r="D1025" s="119" t="s">
        <v>1154</v>
      </c>
      <c r="E1025" s="118" t="s">
        <v>788</v>
      </c>
      <c r="F1025" s="120">
        <v>12</v>
      </c>
      <c r="G1025" s="121">
        <f>Overview!$B$153</f>
        <v>12</v>
      </c>
      <c r="H1025" s="114">
        <f t="shared" si="343"/>
        <v>12</v>
      </c>
      <c r="I1025" s="114">
        <f>Overview!$E$153</f>
        <v>0</v>
      </c>
      <c r="J1025" s="115">
        <f t="shared" si="344"/>
        <v>0</v>
      </c>
      <c r="K1025" s="116">
        <f>Overview!$H$153</f>
        <v>0</v>
      </c>
      <c r="L1025" s="117" t="e">
        <f t="shared" si="345"/>
        <v>#DIV/0!</v>
      </c>
      <c r="M1025" s="179"/>
      <c r="N1025" s="179" t="s">
        <v>3149</v>
      </c>
      <c r="O1025" s="141">
        <f t="shared" si="346"/>
        <v>0</v>
      </c>
      <c r="P1025" s="181" t="b">
        <f>COUNTIF('Facility Data'!$A$1:$A$1500,"*"&amp;A1025&amp;"*")&gt;0</f>
        <v>0</v>
      </c>
      <c r="Q1025" s="181" t="b">
        <f>COUNTIF('Account Data'!$A$1:$A$1000,"*"&amp;A1025&amp;"*")&gt;0</f>
        <v>1</v>
      </c>
      <c r="R1025" s="182" t="b">
        <f t="shared" si="347"/>
        <v>0</v>
      </c>
      <c r="S1025" s="182" t="b">
        <f t="shared" si="348"/>
        <v>1</v>
      </c>
      <c r="T1025" s="181" t="b">
        <f>COUNTIF('New Items'!$A$1:$A$175,A1025)&gt;0</f>
        <v>0</v>
      </c>
      <c r="U1025" s="181" t="b">
        <f>COUNTIF(Discontinued!$A$1:$A$150,A1025)&gt;0</f>
        <v>0</v>
      </c>
    </row>
    <row r="1026" spans="1:21" s="8" customFormat="1" ht="11.25" x14ac:dyDescent="0.2">
      <c r="A1026" s="152">
        <v>20026469</v>
      </c>
      <c r="B1026" s="123" t="s">
        <v>1148</v>
      </c>
      <c r="C1026" s="118" t="s">
        <v>1149</v>
      </c>
      <c r="D1026" s="119" t="s">
        <v>1155</v>
      </c>
      <c r="E1026" s="118" t="s">
        <v>788</v>
      </c>
      <c r="F1026" s="120">
        <v>12</v>
      </c>
      <c r="G1026" s="121">
        <f>Overview!$B$153</f>
        <v>12</v>
      </c>
      <c r="H1026" s="114">
        <f t="shared" si="343"/>
        <v>12</v>
      </c>
      <c r="I1026" s="114">
        <f>Overview!$E$153</f>
        <v>0</v>
      </c>
      <c r="J1026" s="115">
        <f t="shared" si="344"/>
        <v>0</v>
      </c>
      <c r="K1026" s="116">
        <f>Overview!$H$153</f>
        <v>0</v>
      </c>
      <c r="L1026" s="117" t="e">
        <f t="shared" si="345"/>
        <v>#DIV/0!</v>
      </c>
      <c r="M1026" s="179"/>
      <c r="N1026" s="179" t="s">
        <v>3149</v>
      </c>
      <c r="O1026" s="141">
        <f t="shared" si="346"/>
        <v>0</v>
      </c>
      <c r="P1026" s="181" t="b">
        <f>COUNTIF('Facility Data'!$A$1:$A$1500,"*"&amp;A1026&amp;"*")&gt;0</f>
        <v>0</v>
      </c>
      <c r="Q1026" s="181" t="b">
        <f>COUNTIF('Account Data'!$A$1:$A$1000,"*"&amp;A1026&amp;"*")&gt;0</f>
        <v>0</v>
      </c>
      <c r="R1026" s="182" t="b">
        <f t="shared" si="347"/>
        <v>0</v>
      </c>
      <c r="S1026" s="182" t="b">
        <f t="shared" si="348"/>
        <v>0</v>
      </c>
      <c r="T1026" s="181" t="b">
        <f>COUNTIF('New Items'!$A$1:$A$175,A1026)&gt;0</f>
        <v>0</v>
      </c>
      <c r="U1026" s="181" t="b">
        <f>COUNTIF(Discontinued!$A$1:$A$150,A1026)&gt;0</f>
        <v>0</v>
      </c>
    </row>
    <row r="1027" spans="1:21" s="8" customFormat="1" ht="11.25" x14ac:dyDescent="0.2">
      <c r="A1027" s="152">
        <v>20026470</v>
      </c>
      <c r="B1027" s="123" t="s">
        <v>1150</v>
      </c>
      <c r="C1027" s="118" t="s">
        <v>1156</v>
      </c>
      <c r="D1027" s="119" t="s">
        <v>1157</v>
      </c>
      <c r="E1027" s="118" t="s">
        <v>788</v>
      </c>
      <c r="F1027" s="120">
        <v>12</v>
      </c>
      <c r="G1027" s="121">
        <f>Overview!$B$153</f>
        <v>12</v>
      </c>
      <c r="H1027" s="114">
        <f t="shared" si="343"/>
        <v>12</v>
      </c>
      <c r="I1027" s="114">
        <f>Overview!$E$153</f>
        <v>0</v>
      </c>
      <c r="J1027" s="115">
        <f t="shared" si="344"/>
        <v>0</v>
      </c>
      <c r="K1027" s="116">
        <f>Overview!$H$153</f>
        <v>0</v>
      </c>
      <c r="L1027" s="117" t="e">
        <f t="shared" si="345"/>
        <v>#DIV/0!</v>
      </c>
      <c r="M1027" s="179"/>
      <c r="N1027" s="179" t="s">
        <v>3149</v>
      </c>
      <c r="O1027" s="141">
        <f t="shared" si="346"/>
        <v>0</v>
      </c>
      <c r="P1027" s="181" t="b">
        <f>COUNTIF('Facility Data'!$A$1:$A$1500,"*"&amp;A1027&amp;"*")&gt;0</f>
        <v>0</v>
      </c>
      <c r="Q1027" s="181" t="b">
        <f>COUNTIF('Account Data'!$A$1:$A$1000,"*"&amp;A1027&amp;"*")&gt;0</f>
        <v>0</v>
      </c>
      <c r="R1027" s="182" t="b">
        <f t="shared" si="347"/>
        <v>0</v>
      </c>
      <c r="S1027" s="182" t="b">
        <f t="shared" si="348"/>
        <v>0</v>
      </c>
      <c r="T1027" s="181" t="b">
        <f>COUNTIF('New Items'!$A$1:$A$175,A1027)&gt;0</f>
        <v>0</v>
      </c>
      <c r="U1027" s="181" t="b">
        <f>COUNTIF(Discontinued!$A$1:$A$150,A1027)&gt;0</f>
        <v>0</v>
      </c>
    </row>
    <row r="1028" spans="1:21" s="8" customFormat="1" ht="12" thickBot="1" x14ac:dyDescent="0.25">
      <c r="A1028" s="152">
        <v>20020469</v>
      </c>
      <c r="B1028" s="123" t="s">
        <v>1373</v>
      </c>
      <c r="C1028" s="118" t="s">
        <v>1374</v>
      </c>
      <c r="D1028" s="119" t="s">
        <v>1369</v>
      </c>
      <c r="E1028" s="118" t="s">
        <v>788</v>
      </c>
      <c r="F1028" s="120">
        <v>12</v>
      </c>
      <c r="G1028" s="121">
        <f>Overview!$B$153</f>
        <v>12</v>
      </c>
      <c r="H1028" s="114">
        <f t="shared" si="343"/>
        <v>12</v>
      </c>
      <c r="I1028" s="114">
        <f>Overview!$E$153</f>
        <v>0</v>
      </c>
      <c r="J1028" s="115">
        <f t="shared" si="344"/>
        <v>0</v>
      </c>
      <c r="K1028" s="116">
        <f>Overview!$H$153</f>
        <v>0</v>
      </c>
      <c r="L1028" s="117" t="e">
        <f t="shared" si="345"/>
        <v>#DIV/0!</v>
      </c>
      <c r="M1028" s="179"/>
      <c r="N1028" s="179" t="s">
        <v>3149</v>
      </c>
      <c r="O1028" s="141">
        <f t="shared" si="346"/>
        <v>0</v>
      </c>
      <c r="P1028" s="181" t="b">
        <f>COUNTIF('Facility Data'!$A$1:$A$1500,"*"&amp;A1028&amp;"*")&gt;0</f>
        <v>0</v>
      </c>
      <c r="Q1028" s="181" t="b">
        <f>COUNTIF('Account Data'!$A$1:$A$1000,"*"&amp;A1028&amp;"*")&gt;0</f>
        <v>0</v>
      </c>
      <c r="R1028" s="182" t="b">
        <f t="shared" si="347"/>
        <v>0</v>
      </c>
      <c r="S1028" s="182" t="b">
        <f t="shared" si="348"/>
        <v>0</v>
      </c>
      <c r="T1028" s="181" t="b">
        <f>COUNTIF('New Items'!$A$1:$A$175,A1028)&gt;0</f>
        <v>0</v>
      </c>
      <c r="U1028" s="181" t="b">
        <f>COUNTIF(Discontinued!$A$1:$A$150,A1028)&gt;0</f>
        <v>0</v>
      </c>
    </row>
    <row r="1029" spans="1:21" s="8" customFormat="1" ht="13.5" thickBot="1" x14ac:dyDescent="0.25">
      <c r="A1029" s="300" t="s">
        <v>1554</v>
      </c>
      <c r="B1029" s="301"/>
      <c r="C1029" s="301"/>
      <c r="D1029" s="301"/>
      <c r="E1029" s="301"/>
      <c r="F1029" s="301"/>
      <c r="G1029" s="301"/>
      <c r="H1029" s="301"/>
      <c r="I1029" s="301"/>
      <c r="J1029" s="301"/>
      <c r="K1029" s="301"/>
      <c r="L1029" s="302"/>
      <c r="M1029" s="179"/>
      <c r="N1029" s="179" t="s">
        <v>3150</v>
      </c>
      <c r="O1029" s="141">
        <f>AVERAGE(O1030:O1034)</f>
        <v>0</v>
      </c>
      <c r="P1029" s="181" t="b">
        <f>COUNTIF(P1030:P1034,TRUE)&gt;0</f>
        <v>0</v>
      </c>
      <c r="Q1029" s="181" t="b">
        <f>COUNTIF(Q1030:Q1034,TRUE)&gt;0</f>
        <v>0</v>
      </c>
      <c r="R1029" s="181" t="b">
        <f>COUNTIF(R1030:R1034,TRUE)&gt;0</f>
        <v>0</v>
      </c>
      <c r="S1029" s="181" t="b">
        <f>COUNTIF(S1030:S1034,TRUE)&gt;0</f>
        <v>0</v>
      </c>
      <c r="T1029" s="181" t="b">
        <f>COUNTIF(T1030:T1034,TRUE)&gt;0</f>
        <v>0</v>
      </c>
      <c r="U1029" s="249"/>
    </row>
    <row r="1030" spans="1:21" s="8" customFormat="1" ht="11.25" x14ac:dyDescent="0.2">
      <c r="A1030" s="152">
        <v>20020524</v>
      </c>
      <c r="B1030" s="9" t="s">
        <v>593</v>
      </c>
      <c r="C1030" s="12" t="s">
        <v>602</v>
      </c>
      <c r="D1030" s="11" t="s">
        <v>1152</v>
      </c>
      <c r="E1030" s="12" t="s">
        <v>763</v>
      </c>
      <c r="F1030" s="13">
        <v>12</v>
      </c>
      <c r="G1030" s="121">
        <f>Overview!$B$154</f>
        <v>15</v>
      </c>
      <c r="H1030" s="23">
        <f>G1030-I1030</f>
        <v>15</v>
      </c>
      <c r="I1030" s="114">
        <f>Overview!$E$154</f>
        <v>0</v>
      </c>
      <c r="J1030" s="24">
        <f>I1030/F1030</f>
        <v>0</v>
      </c>
      <c r="K1030" s="116">
        <f>Overview!$H$154</f>
        <v>0</v>
      </c>
      <c r="L1030" s="51" t="e">
        <f>(K1030-J1030)/K1030</f>
        <v>#DIV/0!</v>
      </c>
      <c r="M1030" s="179"/>
      <c r="N1030" s="179" t="s">
        <v>3150</v>
      </c>
      <c r="O1030" s="141">
        <f>I1030</f>
        <v>0</v>
      </c>
      <c r="P1030" s="181" t="b">
        <f>COUNTIF('Facility Data'!$A$1:$A$1500,"*"&amp;A1030&amp;"*")&gt;0</f>
        <v>0</v>
      </c>
      <c r="Q1030" s="181" t="b">
        <f>COUNTIF('Account Data'!$A$1:$A$1000,"*"&amp;A1030&amp;"*")&gt;0</f>
        <v>0</v>
      </c>
      <c r="R1030" s="182" t="b">
        <f>IF(OR(P1030=TRUE,T1030=TRUE),TRUE,FALSE)</f>
        <v>0</v>
      </c>
      <c r="S1030" s="182" t="b">
        <f>IF(OR(Q1030=TRUE,T1030=TRUE),TRUE,FALSE)</f>
        <v>0</v>
      </c>
      <c r="T1030" s="181" t="b">
        <f>COUNTIF('New Items'!$A$1:$A$175,A1030)&gt;0</f>
        <v>0</v>
      </c>
      <c r="U1030" s="181" t="b">
        <f>COUNTIF(Discontinued!$A$1:$A$150,A1030)&gt;0</f>
        <v>0</v>
      </c>
    </row>
    <row r="1031" spans="1:21" s="8" customFormat="1" ht="11.25" x14ac:dyDescent="0.2">
      <c r="A1031" s="152">
        <v>20020523</v>
      </c>
      <c r="B1031" s="9" t="s">
        <v>1559</v>
      </c>
      <c r="C1031" s="12" t="s">
        <v>1560</v>
      </c>
      <c r="D1031" s="11" t="s">
        <v>1368</v>
      </c>
      <c r="E1031" s="12" t="s">
        <v>763</v>
      </c>
      <c r="F1031" s="13">
        <v>12</v>
      </c>
      <c r="G1031" s="121">
        <f>Overview!$B$154</f>
        <v>15</v>
      </c>
      <c r="H1031" s="23">
        <f>G1031-I1031</f>
        <v>15</v>
      </c>
      <c r="I1031" s="114">
        <f>Overview!$E$154</f>
        <v>0</v>
      </c>
      <c r="J1031" s="24">
        <f>I1031/F1031</f>
        <v>0</v>
      </c>
      <c r="K1031" s="116">
        <f>Overview!$H$154</f>
        <v>0</v>
      </c>
      <c r="L1031" s="51" t="e">
        <f>(K1031-J1031)/K1031</f>
        <v>#DIV/0!</v>
      </c>
      <c r="M1031" s="179"/>
      <c r="N1031" s="179" t="s">
        <v>3150</v>
      </c>
      <c r="O1031" s="141">
        <f>I1031</f>
        <v>0</v>
      </c>
      <c r="P1031" s="181" t="b">
        <f>COUNTIF('Facility Data'!$A$1:$A$1500,"*"&amp;A1031&amp;"*")&gt;0</f>
        <v>0</v>
      </c>
      <c r="Q1031" s="181" t="b">
        <f>COUNTIF('Account Data'!$A$1:$A$1000,"*"&amp;A1031&amp;"*")&gt;0</f>
        <v>0</v>
      </c>
      <c r="R1031" s="182" t="b">
        <f>IF(OR(P1031=TRUE,T1031=TRUE),TRUE,FALSE)</f>
        <v>0</v>
      </c>
      <c r="S1031" s="182" t="b">
        <f>IF(OR(Q1031=TRUE,T1031=TRUE),TRUE,FALSE)</f>
        <v>0</v>
      </c>
      <c r="T1031" s="181" t="b">
        <f>COUNTIF('New Items'!$A$1:$A$175,A1031)&gt;0</f>
        <v>0</v>
      </c>
      <c r="U1031" s="181" t="b">
        <f>COUNTIF(Discontinued!$A$1:$A$150,A1031)&gt;0</f>
        <v>0</v>
      </c>
    </row>
    <row r="1032" spans="1:21" s="8" customFormat="1" ht="11.25" x14ac:dyDescent="0.2">
      <c r="A1032" s="152">
        <v>20023107</v>
      </c>
      <c r="B1032" s="9" t="s">
        <v>1555</v>
      </c>
      <c r="C1032" s="12" t="s">
        <v>1556</v>
      </c>
      <c r="D1032" s="11" t="s">
        <v>1153</v>
      </c>
      <c r="E1032" s="12" t="s">
        <v>763</v>
      </c>
      <c r="F1032" s="13">
        <v>12</v>
      </c>
      <c r="G1032" s="121">
        <f>Overview!$B$154</f>
        <v>15</v>
      </c>
      <c r="H1032" s="23">
        <f>G1032-I1032</f>
        <v>15</v>
      </c>
      <c r="I1032" s="114">
        <f>Overview!$E$154</f>
        <v>0</v>
      </c>
      <c r="J1032" s="24">
        <f>I1032/F1032</f>
        <v>0</v>
      </c>
      <c r="K1032" s="116">
        <f>Overview!$H$154</f>
        <v>0</v>
      </c>
      <c r="L1032" s="51" t="e">
        <f>(K1032-J1032)/K1032</f>
        <v>#DIV/0!</v>
      </c>
      <c r="M1032" s="179"/>
      <c r="N1032" s="179" t="s">
        <v>3150</v>
      </c>
      <c r="O1032" s="141">
        <f>I1032</f>
        <v>0</v>
      </c>
      <c r="P1032" s="181" t="b">
        <f>COUNTIF('Facility Data'!$A$1:$A$1500,"*"&amp;A1032&amp;"*")&gt;0</f>
        <v>0</v>
      </c>
      <c r="Q1032" s="181" t="b">
        <f>COUNTIF('Account Data'!$A$1:$A$1000,"*"&amp;A1032&amp;"*")&gt;0</f>
        <v>0</v>
      </c>
      <c r="R1032" s="182" t="b">
        <f>IF(OR(P1032=TRUE,T1032=TRUE),TRUE,FALSE)</f>
        <v>0</v>
      </c>
      <c r="S1032" s="182" t="b">
        <f>IF(OR(Q1032=TRUE,T1032=TRUE),TRUE,FALSE)</f>
        <v>0</v>
      </c>
      <c r="T1032" s="181" t="b">
        <f>COUNTIF('New Items'!$A$1:$A$175,A1032)&gt;0</f>
        <v>0</v>
      </c>
      <c r="U1032" s="181" t="b">
        <f>COUNTIF(Discontinued!$A$1:$A$150,A1032)&gt;0</f>
        <v>0</v>
      </c>
    </row>
    <row r="1033" spans="1:21" s="8" customFormat="1" ht="11.25" x14ac:dyDescent="0.2">
      <c r="A1033" s="152">
        <v>20023108</v>
      </c>
      <c r="B1033" s="9" t="s">
        <v>1557</v>
      </c>
      <c r="C1033" s="12" t="s">
        <v>1558</v>
      </c>
      <c r="D1033" s="11" t="s">
        <v>1154</v>
      </c>
      <c r="E1033" s="12" t="s">
        <v>763</v>
      </c>
      <c r="F1033" s="13">
        <v>12</v>
      </c>
      <c r="G1033" s="121">
        <f>Overview!$B$154</f>
        <v>15</v>
      </c>
      <c r="H1033" s="23">
        <f>G1033-I1033</f>
        <v>15</v>
      </c>
      <c r="I1033" s="114">
        <f>Overview!$E$154</f>
        <v>0</v>
      </c>
      <c r="J1033" s="24">
        <f>I1033/F1033</f>
        <v>0</v>
      </c>
      <c r="K1033" s="116">
        <f>Overview!$H$154</f>
        <v>0</v>
      </c>
      <c r="L1033" s="51" t="e">
        <f>(K1033-J1033)/K1033</f>
        <v>#DIV/0!</v>
      </c>
      <c r="M1033" s="179"/>
      <c r="N1033" s="179" t="s">
        <v>3150</v>
      </c>
      <c r="O1033" s="141">
        <f>I1033</f>
        <v>0</v>
      </c>
      <c r="P1033" s="181" t="b">
        <f>COUNTIF('Facility Data'!$A$1:$A$1500,"*"&amp;A1033&amp;"*")&gt;0</f>
        <v>0</v>
      </c>
      <c r="Q1033" s="181" t="b">
        <f>COUNTIF('Account Data'!$A$1:$A$1000,"*"&amp;A1033&amp;"*")&gt;0</f>
        <v>0</v>
      </c>
      <c r="R1033" s="182" t="b">
        <f>IF(OR(P1033=TRUE,T1033=TRUE),TRUE,FALSE)</f>
        <v>0</v>
      </c>
      <c r="S1033" s="182" t="b">
        <f>IF(OR(Q1033=TRUE,T1033=TRUE),TRUE,FALSE)</f>
        <v>0</v>
      </c>
      <c r="T1033" s="181" t="b">
        <f>COUNTIF('New Items'!$A$1:$A$175,A1033)&gt;0</f>
        <v>0</v>
      </c>
      <c r="U1033" s="181" t="b">
        <f>COUNTIF(Discontinued!$A$1:$A$150,A1033)&gt;0</f>
        <v>0</v>
      </c>
    </row>
    <row r="1034" spans="1:21" s="8" customFormat="1" ht="12" thickBot="1" x14ac:dyDescent="0.25">
      <c r="A1034" s="152">
        <v>20020525</v>
      </c>
      <c r="B1034" s="9" t="s">
        <v>1561</v>
      </c>
      <c r="C1034" s="12" t="s">
        <v>1562</v>
      </c>
      <c r="D1034" s="11" t="s">
        <v>1369</v>
      </c>
      <c r="E1034" s="12" t="s">
        <v>763</v>
      </c>
      <c r="F1034" s="13">
        <v>12</v>
      </c>
      <c r="G1034" s="121">
        <f>Overview!$B$154</f>
        <v>15</v>
      </c>
      <c r="H1034" s="23">
        <f>G1034-I1034</f>
        <v>15</v>
      </c>
      <c r="I1034" s="114">
        <f>Overview!$E$154</f>
        <v>0</v>
      </c>
      <c r="J1034" s="24">
        <f>I1034/F1034</f>
        <v>0</v>
      </c>
      <c r="K1034" s="116">
        <f>Overview!$H$154</f>
        <v>0</v>
      </c>
      <c r="L1034" s="51" t="e">
        <f>(K1034-J1034)/K1034</f>
        <v>#DIV/0!</v>
      </c>
      <c r="M1034" s="179"/>
      <c r="N1034" s="179" t="s">
        <v>3150</v>
      </c>
      <c r="O1034" s="141">
        <f>I1034</f>
        <v>0</v>
      </c>
      <c r="P1034" s="181" t="b">
        <f>COUNTIF('Facility Data'!$A$1:$A$1500,"*"&amp;A1034&amp;"*")&gt;0</f>
        <v>0</v>
      </c>
      <c r="Q1034" s="181" t="b">
        <f>COUNTIF('Account Data'!$A$1:$A$1000,"*"&amp;A1034&amp;"*")&gt;0</f>
        <v>0</v>
      </c>
      <c r="R1034" s="182" t="b">
        <f>IF(OR(P1034=TRUE,T1034=TRUE),TRUE,FALSE)</f>
        <v>0</v>
      </c>
      <c r="S1034" s="182" t="b">
        <f>IF(OR(Q1034=TRUE,T1034=TRUE),TRUE,FALSE)</f>
        <v>0</v>
      </c>
      <c r="T1034" s="181" t="b">
        <f>COUNTIF('New Items'!$A$1:$A$175,A1034)&gt;0</f>
        <v>0</v>
      </c>
      <c r="U1034" s="181" t="b">
        <f>COUNTIF(Discontinued!$A$1:$A$150,A1034)&gt;0</f>
        <v>0</v>
      </c>
    </row>
    <row r="1035" spans="1:21" s="8" customFormat="1" ht="13.5" thickBot="1" x14ac:dyDescent="0.25">
      <c r="A1035" s="300" t="s">
        <v>3049</v>
      </c>
      <c r="B1035" s="301"/>
      <c r="C1035" s="301"/>
      <c r="D1035" s="301"/>
      <c r="E1035" s="301"/>
      <c r="F1035" s="301"/>
      <c r="G1035" s="301"/>
      <c r="H1035" s="301"/>
      <c r="I1035" s="301"/>
      <c r="J1035" s="301"/>
      <c r="K1035" s="301"/>
      <c r="L1035" s="302"/>
      <c r="M1035" s="179"/>
      <c r="N1035" s="179" t="s">
        <v>3049</v>
      </c>
      <c r="O1035" s="141">
        <f>AVERAGE(O1036:O1042)</f>
        <v>0</v>
      </c>
      <c r="P1035" s="181" t="b">
        <f>COUNTIF(P1036:P1042,TRUE)&gt;0</f>
        <v>0</v>
      </c>
      <c r="Q1035" s="181" t="b">
        <f>COUNTIF(Q1036:Q1042,TRUE)&gt;0</f>
        <v>0</v>
      </c>
      <c r="R1035" s="181" t="b">
        <f>COUNTIF(R1036:R1042,TRUE)&gt;0</f>
        <v>0</v>
      </c>
      <c r="S1035" s="181" t="b">
        <f>COUNTIF(S1036:S1042,TRUE)&gt;0</f>
        <v>0</v>
      </c>
      <c r="T1035" s="181" t="b">
        <f>COUNTIF(T1036:T1042,TRUE)&gt;0</f>
        <v>0</v>
      </c>
      <c r="U1035" s="249"/>
    </row>
    <row r="1036" spans="1:21" s="8" customFormat="1" ht="11.25" x14ac:dyDescent="0.2">
      <c r="A1036" s="152">
        <v>20000015</v>
      </c>
      <c r="B1036" s="9" t="s">
        <v>3052</v>
      </c>
      <c r="C1036" s="14" t="s">
        <v>3053</v>
      </c>
      <c r="D1036" s="11" t="s">
        <v>3245</v>
      </c>
      <c r="E1036" s="14" t="s">
        <v>762</v>
      </c>
      <c r="F1036" s="13">
        <v>6</v>
      </c>
      <c r="G1036" s="121">
        <f>Overview!$B$155</f>
        <v>20</v>
      </c>
      <c r="H1036" s="23">
        <f t="shared" ref="H1036:H1042" si="349">G1036-I1036</f>
        <v>20</v>
      </c>
      <c r="I1036" s="114">
        <f>Overview!$E$155</f>
        <v>0</v>
      </c>
      <c r="J1036" s="52">
        <f t="shared" ref="J1036:J1042" si="350">I1036/F1036</f>
        <v>0</v>
      </c>
      <c r="K1036" s="174">
        <f>Overview!$H$155</f>
        <v>0</v>
      </c>
      <c r="L1036" s="54" t="e">
        <f t="shared" ref="L1036:L1042" si="351">(K1036-J1036)/K1036</f>
        <v>#DIV/0!</v>
      </c>
      <c r="M1036" s="179"/>
      <c r="N1036" s="179" t="s">
        <v>3049</v>
      </c>
      <c r="O1036" s="141">
        <f t="shared" ref="O1036:O1042" si="352">I1036</f>
        <v>0</v>
      </c>
      <c r="P1036" s="181" t="b">
        <f>COUNTIF('Facility Data'!$A$1:$A$1500,"*"&amp;A1036&amp;"*")&gt;0</f>
        <v>0</v>
      </c>
      <c r="Q1036" s="181" t="b">
        <f>COUNTIF('Account Data'!$A$1:$A$1000,"*"&amp;A1036&amp;"*")&gt;0</f>
        <v>0</v>
      </c>
      <c r="R1036" s="182" t="b">
        <f t="shared" ref="R1036:R1042" si="353">IF(OR(P1036=TRUE,T1036=TRUE),TRUE,FALSE)</f>
        <v>0</v>
      </c>
      <c r="S1036" s="182" t="b">
        <f t="shared" ref="S1036:S1042" si="354">IF(OR(Q1036=TRUE,T1036=TRUE),TRUE,FALSE)</f>
        <v>0</v>
      </c>
      <c r="T1036" s="181" t="b">
        <f>COUNTIF('New Items'!$A$1:$A$175,A1036)&gt;0</f>
        <v>0</v>
      </c>
      <c r="U1036" s="181" t="b">
        <f>COUNTIF(Discontinued!$A$1:$A$150,A1036)&gt;0</f>
        <v>0</v>
      </c>
    </row>
    <row r="1037" spans="1:21" s="8" customFormat="1" ht="11.25" x14ac:dyDescent="0.2">
      <c r="A1037" s="152">
        <v>20000016</v>
      </c>
      <c r="B1037" s="9" t="s">
        <v>3054</v>
      </c>
      <c r="C1037" s="14" t="s">
        <v>3055</v>
      </c>
      <c r="D1037" s="11" t="s">
        <v>3246</v>
      </c>
      <c r="E1037" s="14" t="s">
        <v>762</v>
      </c>
      <c r="F1037" s="13">
        <v>6</v>
      </c>
      <c r="G1037" s="121">
        <f>Overview!$B$155</f>
        <v>20</v>
      </c>
      <c r="H1037" s="23">
        <f t="shared" si="349"/>
        <v>20</v>
      </c>
      <c r="I1037" s="114">
        <f>Overview!$E$155</f>
        <v>0</v>
      </c>
      <c r="J1037" s="52">
        <f t="shared" si="350"/>
        <v>0</v>
      </c>
      <c r="K1037" s="174">
        <f>Overview!$H$155</f>
        <v>0</v>
      </c>
      <c r="L1037" s="54" t="e">
        <f t="shared" si="351"/>
        <v>#DIV/0!</v>
      </c>
      <c r="M1037" s="179"/>
      <c r="N1037" s="179" t="s">
        <v>3049</v>
      </c>
      <c r="O1037" s="141">
        <f t="shared" si="352"/>
        <v>0</v>
      </c>
      <c r="P1037" s="181" t="b">
        <f>COUNTIF('Facility Data'!$A$1:$A$1500,"*"&amp;A1037&amp;"*")&gt;0</f>
        <v>0</v>
      </c>
      <c r="Q1037" s="181" t="b">
        <f>COUNTIF('Account Data'!$A$1:$A$1000,"*"&amp;A1037&amp;"*")&gt;0</f>
        <v>0</v>
      </c>
      <c r="R1037" s="182" t="b">
        <f t="shared" si="353"/>
        <v>0</v>
      </c>
      <c r="S1037" s="182" t="b">
        <f t="shared" si="354"/>
        <v>0</v>
      </c>
      <c r="T1037" s="181" t="b">
        <f>COUNTIF('New Items'!$A$1:$A$175,A1037)&gt;0</f>
        <v>0</v>
      </c>
      <c r="U1037" s="181" t="b">
        <f>COUNTIF(Discontinued!$A$1:$A$150,A1037)&gt;0</f>
        <v>0</v>
      </c>
    </row>
    <row r="1038" spans="1:21" s="8" customFormat="1" ht="11.25" x14ac:dyDescent="0.2">
      <c r="A1038" s="152">
        <v>20000014</v>
      </c>
      <c r="B1038" s="9" t="s">
        <v>3050</v>
      </c>
      <c r="C1038" s="14" t="s">
        <v>3051</v>
      </c>
      <c r="D1038" s="11" t="s">
        <v>3244</v>
      </c>
      <c r="E1038" s="14" t="s">
        <v>762</v>
      </c>
      <c r="F1038" s="13">
        <v>6</v>
      </c>
      <c r="G1038" s="121">
        <f>Overview!$B$155</f>
        <v>20</v>
      </c>
      <c r="H1038" s="23">
        <f t="shared" si="349"/>
        <v>20</v>
      </c>
      <c r="I1038" s="114">
        <f>Overview!$E$155</f>
        <v>0</v>
      </c>
      <c r="J1038" s="52">
        <f t="shared" si="350"/>
        <v>0</v>
      </c>
      <c r="K1038" s="174">
        <f>Overview!$H$155</f>
        <v>0</v>
      </c>
      <c r="L1038" s="54" t="e">
        <f t="shared" si="351"/>
        <v>#DIV/0!</v>
      </c>
      <c r="M1038" s="179"/>
      <c r="N1038" s="179" t="s">
        <v>3049</v>
      </c>
      <c r="O1038" s="141">
        <f t="shared" si="352"/>
        <v>0</v>
      </c>
      <c r="P1038" s="181" t="b">
        <f>COUNTIF('Facility Data'!$A$1:$A$1500,"*"&amp;A1038&amp;"*")&gt;0</f>
        <v>0</v>
      </c>
      <c r="Q1038" s="181" t="b">
        <f>COUNTIF('Account Data'!$A$1:$A$1000,"*"&amp;A1038&amp;"*")&gt;0</f>
        <v>0</v>
      </c>
      <c r="R1038" s="182" t="b">
        <f t="shared" si="353"/>
        <v>0</v>
      </c>
      <c r="S1038" s="182" t="b">
        <f t="shared" si="354"/>
        <v>0</v>
      </c>
      <c r="T1038" s="181" t="b">
        <f>COUNTIF('New Items'!$A$1:$A$175,A1038)&gt;0</f>
        <v>0</v>
      </c>
      <c r="U1038" s="181" t="b">
        <f>COUNTIF(Discontinued!$A$1:$A$150,A1038)&gt;0</f>
        <v>0</v>
      </c>
    </row>
    <row r="1039" spans="1:21" s="8" customFormat="1" ht="11.25" x14ac:dyDescent="0.2">
      <c r="A1039" s="152">
        <v>20000022</v>
      </c>
      <c r="B1039" s="9" t="s">
        <v>3056</v>
      </c>
      <c r="C1039" s="14" t="s">
        <v>3057</v>
      </c>
      <c r="D1039" s="11" t="s">
        <v>3064</v>
      </c>
      <c r="E1039" s="14" t="s">
        <v>774</v>
      </c>
      <c r="F1039" s="13">
        <v>24</v>
      </c>
      <c r="G1039" s="121">
        <f>Overview!$B$156</f>
        <v>24</v>
      </c>
      <c r="H1039" s="23">
        <f t="shared" si="349"/>
        <v>24</v>
      </c>
      <c r="I1039" s="114">
        <f>Overview!$E$156</f>
        <v>0</v>
      </c>
      <c r="J1039" s="52">
        <f t="shared" si="350"/>
        <v>0</v>
      </c>
      <c r="K1039" s="174">
        <f>Overview!$H$156</f>
        <v>0</v>
      </c>
      <c r="L1039" s="54" t="e">
        <f t="shared" si="351"/>
        <v>#DIV/0!</v>
      </c>
      <c r="M1039" s="179"/>
      <c r="N1039" s="179" t="s">
        <v>3049</v>
      </c>
      <c r="O1039" s="141">
        <f t="shared" si="352"/>
        <v>0</v>
      </c>
      <c r="P1039" s="181" t="b">
        <f>COUNTIF('Facility Data'!$A$1:$A$1500,"*"&amp;A1039&amp;"*")&gt;0</f>
        <v>0</v>
      </c>
      <c r="Q1039" s="181" t="b">
        <f>COUNTIF('Account Data'!$A$1:$A$1000,"*"&amp;A1039&amp;"*")&gt;0</f>
        <v>0</v>
      </c>
      <c r="R1039" s="182" t="b">
        <f t="shared" si="353"/>
        <v>0</v>
      </c>
      <c r="S1039" s="182" t="b">
        <f t="shared" si="354"/>
        <v>0</v>
      </c>
      <c r="T1039" s="181" t="b">
        <f>COUNTIF('New Items'!$A$1:$A$175,A1039)&gt;0</f>
        <v>0</v>
      </c>
      <c r="U1039" s="181" t="b">
        <f>COUNTIF(Discontinued!$A$1:$A$150,A1039)&gt;0</f>
        <v>0</v>
      </c>
    </row>
    <row r="1040" spans="1:21" s="8" customFormat="1" ht="11.25" x14ac:dyDescent="0.2">
      <c r="A1040" s="152">
        <v>20001317</v>
      </c>
      <c r="B1040" s="9" t="s">
        <v>3060</v>
      </c>
      <c r="C1040" s="15" t="s">
        <v>3061</v>
      </c>
      <c r="D1040" s="11" t="s">
        <v>3155</v>
      </c>
      <c r="E1040" s="124" t="s">
        <v>1014</v>
      </c>
      <c r="F1040" s="120">
        <v>12</v>
      </c>
      <c r="G1040" s="121">
        <f>Overview!$B$157</f>
        <v>24</v>
      </c>
      <c r="H1040" s="23">
        <f t="shared" si="349"/>
        <v>24</v>
      </c>
      <c r="I1040" s="114">
        <f>Overview!$E$157</f>
        <v>0</v>
      </c>
      <c r="J1040" s="52">
        <f t="shared" si="350"/>
        <v>0</v>
      </c>
      <c r="K1040" s="174">
        <f>Overview!$H$157</f>
        <v>0</v>
      </c>
      <c r="L1040" s="54" t="e">
        <f t="shared" si="351"/>
        <v>#DIV/0!</v>
      </c>
      <c r="M1040" s="179"/>
      <c r="N1040" s="179" t="s">
        <v>3049</v>
      </c>
      <c r="O1040" s="141">
        <f t="shared" si="352"/>
        <v>0</v>
      </c>
      <c r="P1040" s="181" t="b">
        <f>COUNTIF('Facility Data'!$A$1:$A$1500,"*"&amp;A1040&amp;"*")&gt;0</f>
        <v>0</v>
      </c>
      <c r="Q1040" s="181" t="b">
        <f>COUNTIF('Account Data'!$A$1:$A$1000,"*"&amp;A1040&amp;"*")&gt;0</f>
        <v>0</v>
      </c>
      <c r="R1040" s="182" t="b">
        <f t="shared" si="353"/>
        <v>0</v>
      </c>
      <c r="S1040" s="182" t="b">
        <f t="shared" si="354"/>
        <v>0</v>
      </c>
      <c r="T1040" s="181" t="b">
        <f>COUNTIF('New Items'!$A$1:$A$175,A1040)&gt;0</f>
        <v>0</v>
      </c>
      <c r="U1040" s="181" t="b">
        <f>COUNTIF(Discontinued!$A$1:$A$150,A1040)&gt;0</f>
        <v>0</v>
      </c>
    </row>
    <row r="1041" spans="1:21" s="8" customFormat="1" ht="11.25" x14ac:dyDescent="0.2">
      <c r="A1041" s="154">
        <v>20001318</v>
      </c>
      <c r="B1041" s="58" t="s">
        <v>3062</v>
      </c>
      <c r="C1041" s="14" t="s">
        <v>3063</v>
      </c>
      <c r="D1041" s="11" t="s">
        <v>3156</v>
      </c>
      <c r="E1041" s="124" t="s">
        <v>1014</v>
      </c>
      <c r="F1041" s="120">
        <v>12</v>
      </c>
      <c r="G1041" s="121">
        <f>Overview!$B$157</f>
        <v>24</v>
      </c>
      <c r="H1041" s="23">
        <f t="shared" si="349"/>
        <v>24</v>
      </c>
      <c r="I1041" s="114">
        <f>Overview!$E$157</f>
        <v>0</v>
      </c>
      <c r="J1041" s="52">
        <f t="shared" si="350"/>
        <v>0</v>
      </c>
      <c r="K1041" s="174">
        <f>Overview!$H$157</f>
        <v>0</v>
      </c>
      <c r="L1041" s="54" t="e">
        <f t="shared" si="351"/>
        <v>#DIV/0!</v>
      </c>
      <c r="M1041" s="179"/>
      <c r="N1041" s="179" t="s">
        <v>3049</v>
      </c>
      <c r="O1041" s="141">
        <f t="shared" si="352"/>
        <v>0</v>
      </c>
      <c r="P1041" s="181" t="b">
        <f>COUNTIF('Facility Data'!$A$1:$A$1500,"*"&amp;A1041&amp;"*")&gt;0</f>
        <v>0</v>
      </c>
      <c r="Q1041" s="181" t="b">
        <f>COUNTIF('Account Data'!$A$1:$A$1000,"*"&amp;A1041&amp;"*")&gt;0</f>
        <v>0</v>
      </c>
      <c r="R1041" s="182" t="b">
        <f t="shared" si="353"/>
        <v>0</v>
      </c>
      <c r="S1041" s="182" t="b">
        <f t="shared" si="354"/>
        <v>0</v>
      </c>
      <c r="T1041" s="181" t="b">
        <f>COUNTIF('New Items'!$A$1:$A$175,A1041)&gt;0</f>
        <v>0</v>
      </c>
      <c r="U1041" s="181" t="b">
        <f>COUNTIF(Discontinued!$A$1:$A$150,A1041)&gt;0</f>
        <v>0</v>
      </c>
    </row>
    <row r="1042" spans="1:21" s="8" customFormat="1" ht="12" thickBot="1" x14ac:dyDescent="0.25">
      <c r="A1042" s="152">
        <v>20001316</v>
      </c>
      <c r="B1042" s="9" t="s">
        <v>3058</v>
      </c>
      <c r="C1042" s="14" t="s">
        <v>3059</v>
      </c>
      <c r="D1042" s="11" t="s">
        <v>3154</v>
      </c>
      <c r="E1042" s="124" t="s">
        <v>1014</v>
      </c>
      <c r="F1042" s="120">
        <v>12</v>
      </c>
      <c r="G1042" s="121">
        <f>Overview!$B$157</f>
        <v>24</v>
      </c>
      <c r="H1042" s="23">
        <f t="shared" si="349"/>
        <v>24</v>
      </c>
      <c r="I1042" s="114">
        <f>Overview!$E$157</f>
        <v>0</v>
      </c>
      <c r="J1042" s="52">
        <f t="shared" si="350"/>
        <v>0</v>
      </c>
      <c r="K1042" s="174">
        <f>Overview!$H$157</f>
        <v>0</v>
      </c>
      <c r="L1042" s="54" t="e">
        <f t="shared" si="351"/>
        <v>#DIV/0!</v>
      </c>
      <c r="M1042" s="179"/>
      <c r="N1042" s="179" t="s">
        <v>3049</v>
      </c>
      <c r="O1042" s="141">
        <f t="shared" si="352"/>
        <v>0</v>
      </c>
      <c r="P1042" s="181" t="b">
        <f>COUNTIF('Facility Data'!$A$1:$A$1500,"*"&amp;A1042&amp;"*")&gt;0</f>
        <v>0</v>
      </c>
      <c r="Q1042" s="181" t="b">
        <f>COUNTIF('Account Data'!$A$1:$A$1000,"*"&amp;A1042&amp;"*")&gt;0</f>
        <v>0</v>
      </c>
      <c r="R1042" s="182" t="b">
        <f t="shared" si="353"/>
        <v>0</v>
      </c>
      <c r="S1042" s="182" t="b">
        <f t="shared" si="354"/>
        <v>0</v>
      </c>
      <c r="T1042" s="181" t="b">
        <f>COUNTIF('New Items'!$A$1:$A$175,A1042)&gt;0</f>
        <v>0</v>
      </c>
      <c r="U1042" s="181" t="b">
        <f>COUNTIF(Discontinued!$A$1:$A$150,A1042)&gt;0</f>
        <v>0</v>
      </c>
    </row>
    <row r="1043" spans="1:21" s="8" customFormat="1" ht="13.5" thickBot="1" x14ac:dyDescent="0.25">
      <c r="A1043" s="300" t="s">
        <v>3072</v>
      </c>
      <c r="B1043" s="301"/>
      <c r="C1043" s="301"/>
      <c r="D1043" s="301"/>
      <c r="E1043" s="301"/>
      <c r="F1043" s="301"/>
      <c r="G1043" s="301"/>
      <c r="H1043" s="301"/>
      <c r="I1043" s="301"/>
      <c r="J1043" s="301"/>
      <c r="K1043" s="301"/>
      <c r="L1043" s="302"/>
      <c r="M1043" s="179"/>
      <c r="N1043" s="179" t="s">
        <v>3072</v>
      </c>
      <c r="O1043" s="141">
        <f>AVERAGE(O1044:O1051)</f>
        <v>0</v>
      </c>
      <c r="P1043" s="181" t="b">
        <f>COUNTIF(P1044:P1051,TRUE)&gt;0</f>
        <v>0</v>
      </c>
      <c r="Q1043" s="181" t="b">
        <f>COUNTIF(Q1044:Q1051,TRUE)&gt;0</f>
        <v>0</v>
      </c>
      <c r="R1043" s="181" t="b">
        <f>COUNTIF(R1044:R1051,TRUE)&gt;0</f>
        <v>0</v>
      </c>
      <c r="S1043" s="181" t="b">
        <f>COUNTIF(S1044:S1051,TRUE)&gt;0</f>
        <v>0</v>
      </c>
      <c r="T1043" s="181" t="b">
        <f>COUNTIF(T1044:T1051,TRUE)&gt;0</f>
        <v>0</v>
      </c>
      <c r="U1043" s="249"/>
    </row>
    <row r="1044" spans="1:21" s="8" customFormat="1" ht="11.25" x14ac:dyDescent="0.2">
      <c r="A1044" s="152">
        <v>20000081</v>
      </c>
      <c r="B1044" s="9" t="s">
        <v>3073</v>
      </c>
      <c r="C1044" s="14" t="s">
        <v>3074</v>
      </c>
      <c r="D1044" s="11" t="s">
        <v>3947</v>
      </c>
      <c r="E1044" s="14" t="s">
        <v>772</v>
      </c>
      <c r="F1044" s="13">
        <v>1</v>
      </c>
      <c r="G1044" s="121">
        <f>Overview!$B$180</f>
        <v>10</v>
      </c>
      <c r="H1044" s="23">
        <f t="shared" ref="H1044:H1051" si="355">G1044-I1044</f>
        <v>10</v>
      </c>
      <c r="I1044" s="114">
        <f>Overview!$E$180</f>
        <v>0</v>
      </c>
      <c r="J1044" s="52">
        <f t="shared" ref="J1044:J1051" si="356">I1044/F1044</f>
        <v>0</v>
      </c>
      <c r="K1044" s="174">
        <f>Overview!$H$180</f>
        <v>0</v>
      </c>
      <c r="L1044" s="54" t="e">
        <f t="shared" ref="L1044:L1051" si="357">(K1044-J1044)/K1044</f>
        <v>#DIV/0!</v>
      </c>
      <c r="M1044" s="179"/>
      <c r="N1044" s="179" t="s">
        <v>3072</v>
      </c>
      <c r="O1044" s="141">
        <f>I1044</f>
        <v>0</v>
      </c>
      <c r="P1044" s="181" t="b">
        <f>COUNTIF('Facility Data'!$A$1:$A$1500,"*"&amp;A1044&amp;"*")&gt;0</f>
        <v>0</v>
      </c>
      <c r="Q1044" s="181" t="b">
        <f>COUNTIF('Account Data'!$A$1:$A$1000,"*"&amp;A1044&amp;"*")&gt;0</f>
        <v>0</v>
      </c>
      <c r="R1044" s="182" t="b">
        <f t="shared" ref="R1044:R1051" si="358">IF(OR(P1044=TRUE,T1044=TRUE),TRUE,FALSE)</f>
        <v>0</v>
      </c>
      <c r="S1044" s="182" t="b">
        <f t="shared" ref="S1044:S1051" si="359">IF(OR(Q1044=TRUE,T1044=TRUE),TRUE,FALSE)</f>
        <v>0</v>
      </c>
      <c r="T1044" s="181" t="b">
        <f>COUNTIF('New Items'!$A$1:$A$175,A1044)&gt;0</f>
        <v>0</v>
      </c>
      <c r="U1044" s="181" t="b">
        <f>COUNTIF(Discontinued!$A$1:$A$150,A1044)&gt;0</f>
        <v>0</v>
      </c>
    </row>
    <row r="1045" spans="1:21" s="8" customFormat="1" ht="11.25" x14ac:dyDescent="0.2">
      <c r="A1045" s="152">
        <v>20004180</v>
      </c>
      <c r="B1045" s="9" t="s">
        <v>3075</v>
      </c>
      <c r="C1045" s="14" t="s">
        <v>3076</v>
      </c>
      <c r="D1045" s="11" t="s">
        <v>3948</v>
      </c>
      <c r="E1045" s="14" t="s">
        <v>772</v>
      </c>
      <c r="F1045" s="13">
        <v>1</v>
      </c>
      <c r="G1045" s="121">
        <f>Overview!$B$181</f>
        <v>24</v>
      </c>
      <c r="H1045" s="23">
        <f t="shared" si="355"/>
        <v>24</v>
      </c>
      <c r="I1045" s="114">
        <f>Overview!$E$181</f>
        <v>0</v>
      </c>
      <c r="J1045" s="52">
        <f t="shared" si="356"/>
        <v>0</v>
      </c>
      <c r="K1045" s="174">
        <f>Overview!$H$181</f>
        <v>0</v>
      </c>
      <c r="L1045" s="54" t="e">
        <f t="shared" si="357"/>
        <v>#DIV/0!</v>
      </c>
      <c r="M1045" s="179"/>
      <c r="N1045" s="179" t="s">
        <v>3072</v>
      </c>
      <c r="O1045" s="141">
        <f t="shared" ref="O1045:O1051" si="360">I1045</f>
        <v>0</v>
      </c>
      <c r="P1045" s="181" t="b">
        <f>COUNTIF('Facility Data'!$A$1:$A$1500,"*"&amp;A1045&amp;"*")&gt;0</f>
        <v>0</v>
      </c>
      <c r="Q1045" s="181" t="b">
        <f>COUNTIF('Account Data'!$A$1:$A$1000,"*"&amp;A1045&amp;"*")&gt;0</f>
        <v>0</v>
      </c>
      <c r="R1045" s="182" t="b">
        <f t="shared" si="358"/>
        <v>0</v>
      </c>
      <c r="S1045" s="182" t="b">
        <f t="shared" si="359"/>
        <v>0</v>
      </c>
      <c r="T1045" s="181" t="b">
        <f>COUNTIF('New Items'!$A$1:$A$175,A1045)&gt;0</f>
        <v>0</v>
      </c>
      <c r="U1045" s="181" t="b">
        <f>COUNTIF(Discontinued!$A$1:$A$150,A1045)&gt;0</f>
        <v>0</v>
      </c>
    </row>
    <row r="1046" spans="1:21" s="8" customFormat="1" ht="11.25" x14ac:dyDescent="0.2">
      <c r="A1046" s="152">
        <v>20004230</v>
      </c>
      <c r="B1046" s="9" t="s">
        <v>3077</v>
      </c>
      <c r="C1046" s="14" t="s">
        <v>3078</v>
      </c>
      <c r="D1046" s="11" t="s">
        <v>3229</v>
      </c>
      <c r="E1046" s="14" t="s">
        <v>774</v>
      </c>
      <c r="F1046" s="13">
        <v>24</v>
      </c>
      <c r="G1046" s="121">
        <f>Overview!$B$182</f>
        <v>24</v>
      </c>
      <c r="H1046" s="23">
        <f t="shared" si="355"/>
        <v>24</v>
      </c>
      <c r="I1046" s="114">
        <f>Overview!$E$182</f>
        <v>0</v>
      </c>
      <c r="J1046" s="52">
        <f t="shared" si="356"/>
        <v>0</v>
      </c>
      <c r="K1046" s="174">
        <f>Overview!$H$182</f>
        <v>0</v>
      </c>
      <c r="L1046" s="54" t="e">
        <f t="shared" si="357"/>
        <v>#DIV/0!</v>
      </c>
      <c r="M1046" s="179"/>
      <c r="N1046" s="179" t="s">
        <v>3072</v>
      </c>
      <c r="O1046" s="141">
        <f t="shared" si="360"/>
        <v>0</v>
      </c>
      <c r="P1046" s="181" t="b">
        <f>COUNTIF('Facility Data'!$A$1:$A$1500,"*"&amp;A1046&amp;"*")&gt;0</f>
        <v>0</v>
      </c>
      <c r="Q1046" s="181" t="b">
        <f>COUNTIF('Account Data'!$A$1:$A$1000,"*"&amp;A1046&amp;"*")&gt;0</f>
        <v>0</v>
      </c>
      <c r="R1046" s="182" t="b">
        <f t="shared" si="358"/>
        <v>0</v>
      </c>
      <c r="S1046" s="182" t="b">
        <f t="shared" si="359"/>
        <v>0</v>
      </c>
      <c r="T1046" s="181" t="b">
        <f>COUNTIF('New Items'!$A$1:$A$175,A1046)&gt;0</f>
        <v>0</v>
      </c>
      <c r="U1046" s="181" t="b">
        <f>COUNTIF(Discontinued!$A$1:$A$150,A1046)&gt;0</f>
        <v>0</v>
      </c>
    </row>
    <row r="1047" spans="1:21" s="8" customFormat="1" ht="11.25" x14ac:dyDescent="0.2">
      <c r="A1047" s="152">
        <v>20004183</v>
      </c>
      <c r="B1047" s="9" t="s">
        <v>3079</v>
      </c>
      <c r="C1047" s="14" t="s">
        <v>3078</v>
      </c>
      <c r="D1047" s="11" t="s">
        <v>3230</v>
      </c>
      <c r="E1047" s="14" t="s">
        <v>774</v>
      </c>
      <c r="F1047" s="13">
        <v>24</v>
      </c>
      <c r="G1047" s="121">
        <f>Overview!$B$183</f>
        <v>24</v>
      </c>
      <c r="H1047" s="23">
        <f t="shared" si="355"/>
        <v>24</v>
      </c>
      <c r="I1047" s="114">
        <f>Overview!$E$183</f>
        <v>0</v>
      </c>
      <c r="J1047" s="52">
        <f t="shared" si="356"/>
        <v>0</v>
      </c>
      <c r="K1047" s="174">
        <f>Overview!$H$183</f>
        <v>0</v>
      </c>
      <c r="L1047" s="54" t="e">
        <f t="shared" si="357"/>
        <v>#DIV/0!</v>
      </c>
      <c r="M1047" s="179"/>
      <c r="N1047" s="179" t="s">
        <v>3072</v>
      </c>
      <c r="O1047" s="141">
        <f t="shared" si="360"/>
        <v>0</v>
      </c>
      <c r="P1047" s="181" t="b">
        <f>COUNTIF('Facility Data'!$A$1:$A$1500,"*"&amp;A1047&amp;"*")&gt;0</f>
        <v>0</v>
      </c>
      <c r="Q1047" s="181" t="b">
        <f>COUNTIF('Account Data'!$A$1:$A$1000,"*"&amp;A1047&amp;"*")&gt;0</f>
        <v>0</v>
      </c>
      <c r="R1047" s="182" t="b">
        <f t="shared" si="358"/>
        <v>0</v>
      </c>
      <c r="S1047" s="182" t="b">
        <f t="shared" si="359"/>
        <v>0</v>
      </c>
      <c r="T1047" s="181" t="b">
        <f>COUNTIF('New Items'!$A$1:$A$175,A1047)&gt;0</f>
        <v>0</v>
      </c>
      <c r="U1047" s="181" t="b">
        <f>COUNTIF(Discontinued!$A$1:$A$150,A1047)&gt;0</f>
        <v>0</v>
      </c>
    </row>
    <row r="1048" spans="1:21" s="8" customFormat="1" ht="11.25" x14ac:dyDescent="0.2">
      <c r="A1048" s="152">
        <v>20004228</v>
      </c>
      <c r="B1048" s="9" t="s">
        <v>3088</v>
      </c>
      <c r="C1048" s="14" t="s">
        <v>3089</v>
      </c>
      <c r="D1048" s="11" t="s">
        <v>3231</v>
      </c>
      <c r="E1048" s="14" t="s">
        <v>3095</v>
      </c>
      <c r="F1048" s="13">
        <v>28</v>
      </c>
      <c r="G1048" s="121">
        <f>Overview!$B$184</f>
        <v>30</v>
      </c>
      <c r="H1048" s="23">
        <f t="shared" si="355"/>
        <v>30</v>
      </c>
      <c r="I1048" s="114">
        <f>Overview!$E$184</f>
        <v>0</v>
      </c>
      <c r="J1048" s="52">
        <f t="shared" si="356"/>
        <v>0</v>
      </c>
      <c r="K1048" s="174">
        <f>Overview!$H$184</f>
        <v>0</v>
      </c>
      <c r="L1048" s="54" t="e">
        <f t="shared" si="357"/>
        <v>#DIV/0!</v>
      </c>
      <c r="M1048" s="179"/>
      <c r="N1048" s="179" t="s">
        <v>3072</v>
      </c>
      <c r="O1048" s="141">
        <f t="shared" si="360"/>
        <v>0</v>
      </c>
      <c r="P1048" s="181" t="b">
        <f>COUNTIF('Facility Data'!$A$1:$A$1500,"*"&amp;A1048&amp;"*")&gt;0</f>
        <v>0</v>
      </c>
      <c r="Q1048" s="181" t="b">
        <f>COUNTIF('Account Data'!$A$1:$A$1000,"*"&amp;A1048&amp;"*")&gt;0</f>
        <v>0</v>
      </c>
      <c r="R1048" s="182" t="b">
        <f t="shared" si="358"/>
        <v>0</v>
      </c>
      <c r="S1048" s="182" t="b">
        <f t="shared" si="359"/>
        <v>0</v>
      </c>
      <c r="T1048" s="181" t="b">
        <f>COUNTIF('New Items'!$A$1:$A$175,A1048)&gt;0</f>
        <v>0</v>
      </c>
      <c r="U1048" s="181" t="b">
        <f>COUNTIF(Discontinued!$A$1:$A$150,A1048)&gt;0</f>
        <v>0</v>
      </c>
    </row>
    <row r="1049" spans="1:21" s="8" customFormat="1" ht="11.25" x14ac:dyDescent="0.2">
      <c r="A1049" s="152">
        <v>20004179</v>
      </c>
      <c r="B1049" s="9" t="s">
        <v>3090</v>
      </c>
      <c r="C1049" s="14" t="s">
        <v>3091</v>
      </c>
      <c r="D1049" s="11" t="s">
        <v>3232</v>
      </c>
      <c r="E1049" s="14" t="s">
        <v>3095</v>
      </c>
      <c r="F1049" s="120">
        <v>28</v>
      </c>
      <c r="G1049" s="121">
        <f>Overview!$B$185</f>
        <v>30</v>
      </c>
      <c r="H1049" s="23">
        <f t="shared" si="355"/>
        <v>30</v>
      </c>
      <c r="I1049" s="114">
        <f>Overview!$E$185</f>
        <v>0</v>
      </c>
      <c r="J1049" s="52">
        <f t="shared" si="356"/>
        <v>0</v>
      </c>
      <c r="K1049" s="174">
        <f>Overview!$H$185</f>
        <v>0</v>
      </c>
      <c r="L1049" s="54" t="e">
        <f t="shared" si="357"/>
        <v>#DIV/0!</v>
      </c>
      <c r="M1049" s="179"/>
      <c r="N1049" s="179" t="s">
        <v>3072</v>
      </c>
      <c r="O1049" s="141">
        <f t="shared" si="360"/>
        <v>0</v>
      </c>
      <c r="P1049" s="181" t="b">
        <f>COUNTIF('Facility Data'!$A$1:$A$1500,"*"&amp;A1049&amp;"*")&gt;0</f>
        <v>0</v>
      </c>
      <c r="Q1049" s="181" t="b">
        <f>COUNTIF('Account Data'!$A$1:$A$1000,"*"&amp;A1049&amp;"*")&gt;0</f>
        <v>0</v>
      </c>
      <c r="R1049" s="182" t="b">
        <f t="shared" si="358"/>
        <v>0</v>
      </c>
      <c r="S1049" s="182" t="b">
        <f t="shared" si="359"/>
        <v>0</v>
      </c>
      <c r="T1049" s="181" t="b">
        <f>COUNTIF('New Items'!$A$1:$A$175,A1049)&gt;0</f>
        <v>0</v>
      </c>
      <c r="U1049" s="181" t="b">
        <f>COUNTIF(Discontinued!$A$1:$A$150,A1049)&gt;0</f>
        <v>0</v>
      </c>
    </row>
    <row r="1050" spans="1:21" s="8" customFormat="1" ht="11.25" x14ac:dyDescent="0.2">
      <c r="A1050" s="152">
        <v>20004233</v>
      </c>
      <c r="B1050" s="9" t="s">
        <v>3092</v>
      </c>
      <c r="C1050" s="15" t="s">
        <v>3093</v>
      </c>
      <c r="D1050" s="11" t="s">
        <v>3233</v>
      </c>
      <c r="E1050" s="12" t="s">
        <v>761</v>
      </c>
      <c r="F1050" s="120">
        <v>18</v>
      </c>
      <c r="G1050" s="121">
        <f>Overview!$B$186</f>
        <v>24</v>
      </c>
      <c r="H1050" s="23">
        <f t="shared" si="355"/>
        <v>24</v>
      </c>
      <c r="I1050" s="114">
        <f>Overview!$E$186</f>
        <v>0</v>
      </c>
      <c r="J1050" s="52">
        <f t="shared" si="356"/>
        <v>0</v>
      </c>
      <c r="K1050" s="174">
        <f>Overview!$H$186</f>
        <v>0</v>
      </c>
      <c r="L1050" s="54" t="e">
        <f t="shared" si="357"/>
        <v>#DIV/0!</v>
      </c>
      <c r="M1050" s="179"/>
      <c r="N1050" s="179" t="s">
        <v>3072</v>
      </c>
      <c r="O1050" s="141">
        <f t="shared" si="360"/>
        <v>0</v>
      </c>
      <c r="P1050" s="181" t="b">
        <f>COUNTIF('Facility Data'!$A$1:$A$1500,"*"&amp;A1050&amp;"*")&gt;0</f>
        <v>0</v>
      </c>
      <c r="Q1050" s="181" t="b">
        <f>COUNTIF('Account Data'!$A$1:$A$1000,"*"&amp;A1050&amp;"*")&gt;0</f>
        <v>0</v>
      </c>
      <c r="R1050" s="182" t="b">
        <f t="shared" si="358"/>
        <v>0</v>
      </c>
      <c r="S1050" s="182" t="b">
        <f t="shared" si="359"/>
        <v>0</v>
      </c>
      <c r="T1050" s="181" t="b">
        <f>COUNTIF('New Items'!$A$1:$A$175,A1050)&gt;0</f>
        <v>0</v>
      </c>
      <c r="U1050" s="181" t="b">
        <f>COUNTIF(Discontinued!$A$1:$A$150,A1050)&gt;0</f>
        <v>0</v>
      </c>
    </row>
    <row r="1051" spans="1:21" s="8" customFormat="1" ht="12" thickBot="1" x14ac:dyDescent="0.25">
      <c r="A1051" s="154">
        <v>20004202</v>
      </c>
      <c r="B1051" s="58" t="s">
        <v>3094</v>
      </c>
      <c r="C1051" s="14" t="s">
        <v>3093</v>
      </c>
      <c r="D1051" s="11" t="s">
        <v>3234</v>
      </c>
      <c r="E1051" s="12" t="s">
        <v>761</v>
      </c>
      <c r="F1051" s="120">
        <v>18</v>
      </c>
      <c r="G1051" s="121">
        <f>Overview!$B$187</f>
        <v>24</v>
      </c>
      <c r="H1051" s="23">
        <f t="shared" si="355"/>
        <v>24</v>
      </c>
      <c r="I1051" s="114">
        <f>Overview!$E$187</f>
        <v>0</v>
      </c>
      <c r="J1051" s="52">
        <f t="shared" si="356"/>
        <v>0</v>
      </c>
      <c r="K1051" s="174">
        <f>Overview!$H$187</f>
        <v>0</v>
      </c>
      <c r="L1051" s="54" t="e">
        <f t="shared" si="357"/>
        <v>#DIV/0!</v>
      </c>
      <c r="M1051" s="179"/>
      <c r="N1051" s="179" t="s">
        <v>3072</v>
      </c>
      <c r="O1051" s="141">
        <f t="shared" si="360"/>
        <v>0</v>
      </c>
      <c r="P1051" s="181" t="b">
        <f>COUNTIF('Facility Data'!$A$1:$A$1500,"*"&amp;A1051&amp;"*")&gt;0</f>
        <v>0</v>
      </c>
      <c r="Q1051" s="181" t="b">
        <f>COUNTIF('Account Data'!$A$1:$A$1000,"*"&amp;A1051&amp;"*")&gt;0</f>
        <v>0</v>
      </c>
      <c r="R1051" s="182" t="b">
        <f t="shared" si="358"/>
        <v>0</v>
      </c>
      <c r="S1051" s="182" t="b">
        <f t="shared" si="359"/>
        <v>0</v>
      </c>
      <c r="T1051" s="181" t="b">
        <f>COUNTIF('New Items'!$A$1:$A$175,A1051)&gt;0</f>
        <v>0</v>
      </c>
      <c r="U1051" s="181" t="b">
        <f>COUNTIF(Discontinued!$A$1:$A$150,A1051)&gt;0</f>
        <v>0</v>
      </c>
    </row>
    <row r="1052" spans="1:21" s="8" customFormat="1" ht="13.5" thickBot="1" x14ac:dyDescent="0.25">
      <c r="A1052" s="300" t="s">
        <v>3944</v>
      </c>
      <c r="B1052" s="301"/>
      <c r="C1052" s="301"/>
      <c r="D1052" s="301"/>
      <c r="E1052" s="301"/>
      <c r="F1052" s="301"/>
      <c r="G1052" s="301"/>
      <c r="H1052" s="301"/>
      <c r="I1052" s="301"/>
      <c r="J1052" s="301"/>
      <c r="K1052" s="301"/>
      <c r="L1052" s="302"/>
      <c r="M1052" s="179"/>
      <c r="N1052" s="179" t="s">
        <v>3943</v>
      </c>
      <c r="O1052" s="141">
        <f>AVERAGE(O1053:O1056)</f>
        <v>0</v>
      </c>
      <c r="P1052" s="181" t="b">
        <f>COUNTIF(P1053:P1056,TRUE)&gt;0</f>
        <v>0</v>
      </c>
      <c r="Q1052" s="181" t="b">
        <f>COUNTIF(Q1053:Q1056,TRUE)&gt;0</f>
        <v>0</v>
      </c>
      <c r="R1052" s="181" t="b">
        <f>COUNTIF(R1053:R1056,TRUE)&gt;0</f>
        <v>0</v>
      </c>
      <c r="S1052" s="181" t="b">
        <f>COUNTIF(S1053:S1056,TRUE)&gt;0</f>
        <v>0</v>
      </c>
      <c r="T1052" s="181" t="b">
        <f>COUNTIF(T1053:T1056,TRUE)&gt;0</f>
        <v>0</v>
      </c>
      <c r="U1052" s="249"/>
    </row>
    <row r="1053" spans="1:21" s="8" customFormat="1" ht="11.25" x14ac:dyDescent="0.2">
      <c r="A1053" s="152">
        <v>20028118</v>
      </c>
      <c r="B1053" s="9" t="s">
        <v>3084</v>
      </c>
      <c r="C1053" s="15" t="s">
        <v>3085</v>
      </c>
      <c r="D1053" s="11" t="s">
        <v>3941</v>
      </c>
      <c r="E1053" s="14" t="s">
        <v>774</v>
      </c>
      <c r="F1053" s="13">
        <v>24</v>
      </c>
      <c r="G1053" s="98">
        <f>Overview!$B$65</f>
        <v>24</v>
      </c>
      <c r="H1053" s="99">
        <f>G1053-I1053</f>
        <v>24</v>
      </c>
      <c r="I1053" s="169">
        <f>Overview!$E$65</f>
        <v>0</v>
      </c>
      <c r="J1053" s="100">
        <f>I1053/F1053</f>
        <v>0</v>
      </c>
      <c r="K1053" s="171">
        <f>Overview!$H$65</f>
        <v>0</v>
      </c>
      <c r="L1053" s="102" t="e">
        <f>(K1053-J1053)/K1053</f>
        <v>#DIV/0!</v>
      </c>
      <c r="M1053" s="179"/>
      <c r="N1053" s="179" t="s">
        <v>3943</v>
      </c>
      <c r="O1053" s="141">
        <f>I1053</f>
        <v>0</v>
      </c>
      <c r="P1053" s="181" t="b">
        <f>COUNTIF('Facility Data'!$A$1:$A$1500,"*"&amp;A1053&amp;"*")&gt;0</f>
        <v>0</v>
      </c>
      <c r="Q1053" s="181" t="b">
        <f>COUNTIF('Account Data'!$A$1:$A$1000,"*"&amp;A1053&amp;"*")&gt;0</f>
        <v>0</v>
      </c>
      <c r="R1053" s="182" t="b">
        <f>IF(OR(P1053=TRUE,T1053=TRUE),TRUE,FALSE)</f>
        <v>0</v>
      </c>
      <c r="S1053" s="182" t="b">
        <f>IF(OR(Q1053=TRUE,T1053=TRUE),TRUE,FALSE)</f>
        <v>0</v>
      </c>
      <c r="T1053" s="181" t="b">
        <f>COUNTIF('New Items'!$A$1:$A$175,A1053)&gt;0</f>
        <v>0</v>
      </c>
      <c r="U1053" s="181" t="b">
        <f>COUNTIF(Discontinued!$A$1:$A$150,A1053)&gt;0</f>
        <v>0</v>
      </c>
    </row>
    <row r="1054" spans="1:21" s="8" customFormat="1" ht="11.25" x14ac:dyDescent="0.2">
      <c r="A1054" s="152">
        <v>20028121</v>
      </c>
      <c r="B1054" s="9" t="s">
        <v>3086</v>
      </c>
      <c r="C1054" s="14" t="s">
        <v>3087</v>
      </c>
      <c r="D1054" s="11" t="s">
        <v>3939</v>
      </c>
      <c r="E1054" s="14" t="s">
        <v>774</v>
      </c>
      <c r="F1054" s="13">
        <v>24</v>
      </c>
      <c r="G1054" s="98">
        <f>Overview!$B$65</f>
        <v>24</v>
      </c>
      <c r="H1054" s="169">
        <f>G1054-I1054</f>
        <v>24</v>
      </c>
      <c r="I1054" s="169">
        <f>Overview!$E$65</f>
        <v>0</v>
      </c>
      <c r="J1054" s="170">
        <f>I1054/F1054</f>
        <v>0</v>
      </c>
      <c r="K1054" s="171">
        <f>Overview!$H$65</f>
        <v>0</v>
      </c>
      <c r="L1054" s="172" t="e">
        <f>(K1054-J1054)/K1054</f>
        <v>#DIV/0!</v>
      </c>
      <c r="M1054" s="179"/>
      <c r="N1054" s="179" t="s">
        <v>3943</v>
      </c>
      <c r="O1054" s="141">
        <f>I1054</f>
        <v>0</v>
      </c>
      <c r="P1054" s="181" t="b">
        <f>COUNTIF('Facility Data'!$A$1:$A$1500,"*"&amp;A1054&amp;"*")&gt;0</f>
        <v>0</v>
      </c>
      <c r="Q1054" s="181" t="b">
        <f>COUNTIF('Account Data'!$A$1:$A$1000,"*"&amp;A1054&amp;"*")&gt;0</f>
        <v>0</v>
      </c>
      <c r="R1054" s="182" t="b">
        <f>IF(OR(P1054=TRUE,T1054=TRUE),TRUE,FALSE)</f>
        <v>0</v>
      </c>
      <c r="S1054" s="182" t="b">
        <f>IF(OR(Q1054=TRUE,T1054=TRUE),TRUE,FALSE)</f>
        <v>0</v>
      </c>
      <c r="T1054" s="181" t="b">
        <f>COUNTIF('New Items'!$A$1:$A$175,A1054)&gt;0</f>
        <v>0</v>
      </c>
      <c r="U1054" s="181" t="b">
        <f>COUNTIF(Discontinued!$A$1:$A$150,A1054)&gt;0</f>
        <v>0</v>
      </c>
    </row>
    <row r="1055" spans="1:21" s="8" customFormat="1" ht="11.25" x14ac:dyDescent="0.2">
      <c r="A1055" s="152">
        <v>20028119</v>
      </c>
      <c r="B1055" s="9" t="s">
        <v>3082</v>
      </c>
      <c r="C1055" s="14" t="s">
        <v>3083</v>
      </c>
      <c r="D1055" s="11" t="s">
        <v>752</v>
      </c>
      <c r="E1055" s="14" t="s">
        <v>774</v>
      </c>
      <c r="F1055" s="13">
        <v>24</v>
      </c>
      <c r="G1055" s="98">
        <f>Overview!$B$65</f>
        <v>24</v>
      </c>
      <c r="H1055" s="169">
        <f>G1055-I1055</f>
        <v>24</v>
      </c>
      <c r="I1055" s="169">
        <f>Overview!$E$65</f>
        <v>0</v>
      </c>
      <c r="J1055" s="170">
        <f>I1055/F1055</f>
        <v>0</v>
      </c>
      <c r="K1055" s="171">
        <f>Overview!$H$65</f>
        <v>0</v>
      </c>
      <c r="L1055" s="172" t="e">
        <f>(K1055-J1055)/K1055</f>
        <v>#DIV/0!</v>
      </c>
      <c r="M1055" s="179"/>
      <c r="N1055" s="179" t="s">
        <v>3943</v>
      </c>
      <c r="O1055" s="141">
        <f>I1055</f>
        <v>0</v>
      </c>
      <c r="P1055" s="181" t="b">
        <f>COUNTIF('Facility Data'!$A$1:$A$1500,"*"&amp;A1055&amp;"*")&gt;0</f>
        <v>0</v>
      </c>
      <c r="Q1055" s="181" t="b">
        <f>COUNTIF('Account Data'!$A$1:$A$1000,"*"&amp;A1055&amp;"*")&gt;0</f>
        <v>0</v>
      </c>
      <c r="R1055" s="182" t="b">
        <f>IF(OR(P1055=TRUE,T1055=TRUE),TRUE,FALSE)</f>
        <v>0</v>
      </c>
      <c r="S1055" s="182" t="b">
        <f>IF(OR(Q1055=TRUE,T1055=TRUE),TRUE,FALSE)</f>
        <v>0</v>
      </c>
      <c r="T1055" s="181" t="b">
        <f>COUNTIF('New Items'!$A$1:$A$175,A1055)&gt;0</f>
        <v>0</v>
      </c>
      <c r="U1055" s="181" t="b">
        <f>COUNTIF(Discontinued!$A$1:$A$150,A1055)&gt;0</f>
        <v>0</v>
      </c>
    </row>
    <row r="1056" spans="1:21" s="8" customFormat="1" ht="12" thickBot="1" x14ac:dyDescent="0.25">
      <c r="A1056" s="152">
        <v>20028117</v>
      </c>
      <c r="B1056" s="9" t="s">
        <v>3080</v>
      </c>
      <c r="C1056" s="14" t="s">
        <v>3081</v>
      </c>
      <c r="D1056" s="11" t="s">
        <v>3940</v>
      </c>
      <c r="E1056" s="14" t="s">
        <v>774</v>
      </c>
      <c r="F1056" s="13">
        <v>24</v>
      </c>
      <c r="G1056" s="98">
        <f>Overview!$B$65</f>
        <v>24</v>
      </c>
      <c r="H1056" s="99">
        <f>G1056-I1056</f>
        <v>24</v>
      </c>
      <c r="I1056" s="169">
        <f>Overview!$E$65</f>
        <v>0</v>
      </c>
      <c r="J1056" s="100">
        <f>I1056/F1056</f>
        <v>0</v>
      </c>
      <c r="K1056" s="171">
        <f>Overview!$H$65</f>
        <v>0</v>
      </c>
      <c r="L1056" s="102" t="e">
        <f>(K1056-J1056)/K1056</f>
        <v>#DIV/0!</v>
      </c>
      <c r="M1056" s="179"/>
      <c r="N1056" s="179" t="s">
        <v>3943</v>
      </c>
      <c r="O1056" s="141">
        <f>I1056</f>
        <v>0</v>
      </c>
      <c r="P1056" s="181" t="b">
        <f>COUNTIF('Facility Data'!$A$1:$A$1500,"*"&amp;A1056&amp;"*")&gt;0</f>
        <v>0</v>
      </c>
      <c r="Q1056" s="181" t="b">
        <f>COUNTIF('Account Data'!$A$1:$A$1000,"*"&amp;A1056&amp;"*")&gt;0</f>
        <v>0</v>
      </c>
      <c r="R1056" s="182" t="b">
        <f>IF(OR(P1056=TRUE,T1056=TRUE),TRUE,FALSE)</f>
        <v>0</v>
      </c>
      <c r="S1056" s="182" t="b">
        <f>IF(OR(Q1056=TRUE,T1056=TRUE),TRUE,FALSE)</f>
        <v>0</v>
      </c>
      <c r="T1056" s="181" t="b">
        <f>COUNTIF('New Items'!$A$1:$A$175,A1056)&gt;0</f>
        <v>0</v>
      </c>
      <c r="U1056" s="181" t="b">
        <f>COUNTIF(Discontinued!$A$1:$A$150,A1056)&gt;0</f>
        <v>0</v>
      </c>
    </row>
    <row r="1057" spans="1:21" s="8" customFormat="1" ht="13.5" thickBot="1" x14ac:dyDescent="0.25">
      <c r="A1057" s="300" t="s">
        <v>3945</v>
      </c>
      <c r="B1057" s="301"/>
      <c r="C1057" s="301"/>
      <c r="D1057" s="301"/>
      <c r="E1057" s="301"/>
      <c r="F1057" s="301"/>
      <c r="G1057" s="301"/>
      <c r="H1057" s="301"/>
      <c r="I1057" s="301"/>
      <c r="J1057" s="301"/>
      <c r="K1057" s="301"/>
      <c r="L1057" s="302"/>
      <c r="M1057" s="179"/>
      <c r="N1057" s="179" t="s">
        <v>3946</v>
      </c>
      <c r="O1057" s="141">
        <f>AVERAGE(O1058:O1064)</f>
        <v>0</v>
      </c>
      <c r="P1057" s="181" t="b">
        <f>COUNTIF(P1058:P1064,TRUE)&gt;0</f>
        <v>0</v>
      </c>
      <c r="Q1057" s="181" t="b">
        <f>COUNTIF(Q1058:Q1064,TRUE)&gt;0</f>
        <v>0</v>
      </c>
      <c r="R1057" s="181" t="b">
        <f>COUNTIF(R1058:R1064,TRUE)&gt;0</f>
        <v>0</v>
      </c>
      <c r="S1057" s="181" t="b">
        <f>COUNTIF(S1058:S1064,TRUE)&gt;0</f>
        <v>0</v>
      </c>
      <c r="T1057" s="181" t="b">
        <f>COUNTIF(T1058:T1064,TRUE)&gt;0</f>
        <v>0</v>
      </c>
      <c r="U1057" s="181"/>
    </row>
    <row r="1058" spans="1:21" s="8" customFormat="1" ht="11.25" x14ac:dyDescent="0.2">
      <c r="A1058" s="152">
        <v>20029840</v>
      </c>
      <c r="B1058" s="9" t="s">
        <v>3818</v>
      </c>
      <c r="C1058" s="14" t="s">
        <v>3819</v>
      </c>
      <c r="D1058" s="11" t="s">
        <v>667</v>
      </c>
      <c r="E1058" s="14" t="s">
        <v>761</v>
      </c>
      <c r="F1058" s="13">
        <v>12</v>
      </c>
      <c r="G1058" s="98">
        <f>Overview!$B$66</f>
        <v>18</v>
      </c>
      <c r="H1058" s="99">
        <f t="shared" ref="H1058:H1064" si="361">G1058-I1058</f>
        <v>18</v>
      </c>
      <c r="I1058" s="169">
        <f>Overview!$E$66</f>
        <v>0</v>
      </c>
      <c r="J1058" s="100">
        <f t="shared" ref="J1058:J1064" si="362">I1058/F1058</f>
        <v>0</v>
      </c>
      <c r="K1058" s="171">
        <f>Overview!$H$66</f>
        <v>0</v>
      </c>
      <c r="L1058" s="102" t="e">
        <f t="shared" ref="L1058:L1064" si="363">(K1058-J1058)/K1058</f>
        <v>#DIV/0!</v>
      </c>
      <c r="M1058" s="179"/>
      <c r="N1058" s="179" t="s">
        <v>3946</v>
      </c>
      <c r="O1058" s="141">
        <f t="shared" ref="O1058:O1064" si="364">I1058</f>
        <v>0</v>
      </c>
      <c r="P1058" s="181" t="b">
        <f>COUNTIF('Facility Data'!$A$1:$A$1500,"*"&amp;A1058&amp;"*")&gt;0</f>
        <v>0</v>
      </c>
      <c r="Q1058" s="181" t="b">
        <f>COUNTIF('Account Data'!$A$1:$A$1000,"*"&amp;A1058&amp;"*")&gt;0</f>
        <v>0</v>
      </c>
      <c r="R1058" s="182" t="b">
        <f t="shared" ref="R1058:R1064" si="365">IF(OR(P1058=TRUE,T1058=TRUE),TRUE,FALSE)</f>
        <v>0</v>
      </c>
      <c r="S1058" s="182" t="b">
        <f t="shared" ref="S1058:S1064" si="366">IF(OR(Q1058=TRUE,T1058=TRUE),TRUE,FALSE)</f>
        <v>0</v>
      </c>
      <c r="T1058" s="181" t="b">
        <f>COUNTIF('New Items'!$A$1:$A$175,A1058)&gt;0</f>
        <v>0</v>
      </c>
      <c r="U1058" s="181" t="b">
        <f>COUNTIF(Discontinued!$A$1:$A$150,A1058)&gt;0</f>
        <v>0</v>
      </c>
    </row>
    <row r="1059" spans="1:21" s="8" customFormat="1" ht="11.25" x14ac:dyDescent="0.2">
      <c r="A1059" s="152">
        <v>20029843</v>
      </c>
      <c r="B1059" s="9" t="s">
        <v>3822</v>
      </c>
      <c r="C1059" s="14" t="s">
        <v>3823</v>
      </c>
      <c r="D1059" s="11" t="s">
        <v>1173</v>
      </c>
      <c r="E1059" s="14" t="s">
        <v>761</v>
      </c>
      <c r="F1059" s="13">
        <v>12</v>
      </c>
      <c r="G1059" s="98">
        <f>Overview!$B$66</f>
        <v>18</v>
      </c>
      <c r="H1059" s="99">
        <f>G1059-I1059</f>
        <v>18</v>
      </c>
      <c r="I1059" s="169">
        <f>Overview!$E$66</f>
        <v>0</v>
      </c>
      <c r="J1059" s="100">
        <f>I1059/F1059</f>
        <v>0</v>
      </c>
      <c r="K1059" s="171">
        <f>Overview!$H$66</f>
        <v>0</v>
      </c>
      <c r="L1059" s="102" t="e">
        <f>(K1059-J1059)/K1059</f>
        <v>#DIV/0!</v>
      </c>
      <c r="M1059" s="179"/>
      <c r="N1059" s="179" t="s">
        <v>3946</v>
      </c>
      <c r="O1059" s="141">
        <f>I1059</f>
        <v>0</v>
      </c>
      <c r="P1059" s="181" t="b">
        <f>COUNTIF('Facility Data'!$A$1:$A$1500,"*"&amp;A1059&amp;"*")&gt;0</f>
        <v>0</v>
      </c>
      <c r="Q1059" s="181" t="b">
        <f>COUNTIF('Account Data'!$A$1:$A$1000,"*"&amp;A1059&amp;"*")&gt;0</f>
        <v>0</v>
      </c>
      <c r="R1059" s="182" t="b">
        <f t="shared" si="365"/>
        <v>0</v>
      </c>
      <c r="S1059" s="182" t="b">
        <f>IF(OR(Q1059=TRUE,T1059=TRUE),TRUE,FALSE)</f>
        <v>0</v>
      </c>
      <c r="T1059" s="181" t="b">
        <f>COUNTIF('New Items'!$A$1:$A$175,A1059)&gt;0</f>
        <v>0</v>
      </c>
      <c r="U1059" s="181" t="b">
        <f>COUNTIF(Discontinued!$A$1:$A$150,A1059)&gt;0</f>
        <v>0</v>
      </c>
    </row>
    <row r="1060" spans="1:21" s="8" customFormat="1" ht="11.25" x14ac:dyDescent="0.2">
      <c r="A1060" s="152">
        <v>20029836</v>
      </c>
      <c r="B1060" s="9" t="s">
        <v>3812</v>
      </c>
      <c r="C1060" s="15" t="s">
        <v>3813</v>
      </c>
      <c r="D1060" s="11" t="s">
        <v>3942</v>
      </c>
      <c r="E1060" s="14" t="s">
        <v>761</v>
      </c>
      <c r="F1060" s="13">
        <v>12</v>
      </c>
      <c r="G1060" s="98">
        <f>Overview!$B$66</f>
        <v>18</v>
      </c>
      <c r="H1060" s="99">
        <f t="shared" si="361"/>
        <v>18</v>
      </c>
      <c r="I1060" s="169">
        <f>Overview!$E$66</f>
        <v>0</v>
      </c>
      <c r="J1060" s="100">
        <f t="shared" si="362"/>
        <v>0</v>
      </c>
      <c r="K1060" s="171">
        <f>Overview!$H$66</f>
        <v>0</v>
      </c>
      <c r="L1060" s="102" t="e">
        <f t="shared" si="363"/>
        <v>#DIV/0!</v>
      </c>
      <c r="M1060" s="179"/>
      <c r="N1060" s="179" t="s">
        <v>3946</v>
      </c>
      <c r="O1060" s="141">
        <f t="shared" si="364"/>
        <v>0</v>
      </c>
      <c r="P1060" s="181" t="b">
        <f>COUNTIF('Facility Data'!$A$1:$A$1500,"*"&amp;A1060&amp;"*")&gt;0</f>
        <v>0</v>
      </c>
      <c r="Q1060" s="181" t="b">
        <f>COUNTIF('Account Data'!$A$1:$A$1000,"*"&amp;A1060&amp;"*")&gt;0</f>
        <v>0</v>
      </c>
      <c r="R1060" s="182" t="b">
        <f t="shared" si="365"/>
        <v>0</v>
      </c>
      <c r="S1060" s="182" t="b">
        <f t="shared" si="366"/>
        <v>0</v>
      </c>
      <c r="T1060" s="181" t="b">
        <f>COUNTIF('New Items'!$A$1:$A$175,A1060)&gt;0</f>
        <v>0</v>
      </c>
      <c r="U1060" s="181" t="b">
        <f>COUNTIF(Discontinued!$A$1:$A$150,A1060)&gt;0</f>
        <v>0</v>
      </c>
    </row>
    <row r="1061" spans="1:21" s="8" customFormat="1" ht="11.25" x14ac:dyDescent="0.2">
      <c r="A1061" s="152">
        <v>20029839</v>
      </c>
      <c r="B1061" s="9" t="s">
        <v>3820</v>
      </c>
      <c r="C1061" s="14" t="s">
        <v>3821</v>
      </c>
      <c r="D1061" s="11" t="s">
        <v>697</v>
      </c>
      <c r="E1061" s="14" t="s">
        <v>761</v>
      </c>
      <c r="F1061" s="13">
        <v>12</v>
      </c>
      <c r="G1061" s="98">
        <f>Overview!$B$66</f>
        <v>18</v>
      </c>
      <c r="H1061" s="99">
        <f t="shared" si="361"/>
        <v>18</v>
      </c>
      <c r="I1061" s="169">
        <f>Overview!$E$66</f>
        <v>0</v>
      </c>
      <c r="J1061" s="100">
        <f t="shared" si="362"/>
        <v>0</v>
      </c>
      <c r="K1061" s="171">
        <f>Overview!$H$66</f>
        <v>0</v>
      </c>
      <c r="L1061" s="102" t="e">
        <f t="shared" si="363"/>
        <v>#DIV/0!</v>
      </c>
      <c r="M1061" s="179"/>
      <c r="N1061" s="179" t="s">
        <v>3946</v>
      </c>
      <c r="O1061" s="141">
        <f t="shared" si="364"/>
        <v>0</v>
      </c>
      <c r="P1061" s="181" t="b">
        <f>COUNTIF('Facility Data'!$A$1:$A$1500,"*"&amp;A1061&amp;"*")&gt;0</f>
        <v>0</v>
      </c>
      <c r="Q1061" s="181" t="b">
        <f>COUNTIF('Account Data'!$A$1:$A$1000,"*"&amp;A1061&amp;"*")&gt;0</f>
        <v>0</v>
      </c>
      <c r="R1061" s="182" t="b">
        <f t="shared" si="365"/>
        <v>0</v>
      </c>
      <c r="S1061" s="182" t="b">
        <f t="shared" si="366"/>
        <v>0</v>
      </c>
      <c r="T1061" s="181" t="b">
        <f>COUNTIF('New Items'!$A$1:$A$175,A1061)&gt;0</f>
        <v>0</v>
      </c>
      <c r="U1061" s="181" t="b">
        <f>COUNTIF(Discontinued!$A$1:$A$150,A1061)&gt;0</f>
        <v>0</v>
      </c>
    </row>
    <row r="1062" spans="1:21" s="8" customFormat="1" ht="11.25" x14ac:dyDescent="0.2">
      <c r="A1062" s="152">
        <v>20029844</v>
      </c>
      <c r="B1062" s="9" t="s">
        <v>3810</v>
      </c>
      <c r="C1062" s="14" t="s">
        <v>3811</v>
      </c>
      <c r="D1062" s="11" t="s">
        <v>3939</v>
      </c>
      <c r="E1062" s="14" t="s">
        <v>761</v>
      </c>
      <c r="F1062" s="13">
        <v>12</v>
      </c>
      <c r="G1062" s="98">
        <f>Overview!$B$66</f>
        <v>18</v>
      </c>
      <c r="H1062" s="99">
        <f t="shared" si="361"/>
        <v>18</v>
      </c>
      <c r="I1062" s="169">
        <f>Overview!$E$66</f>
        <v>0</v>
      </c>
      <c r="J1062" s="100">
        <f t="shared" si="362"/>
        <v>0</v>
      </c>
      <c r="K1062" s="171">
        <f>Overview!$H$66</f>
        <v>0</v>
      </c>
      <c r="L1062" s="102" t="e">
        <f t="shared" si="363"/>
        <v>#DIV/0!</v>
      </c>
      <c r="M1062" s="179"/>
      <c r="N1062" s="179" t="s">
        <v>3946</v>
      </c>
      <c r="O1062" s="141">
        <f t="shared" si="364"/>
        <v>0</v>
      </c>
      <c r="P1062" s="181" t="b">
        <f>COUNTIF('Facility Data'!$A$1:$A$1500,"*"&amp;A1062&amp;"*")&gt;0</f>
        <v>0</v>
      </c>
      <c r="Q1062" s="181" t="b">
        <f>COUNTIF('Account Data'!$A$1:$A$1000,"*"&amp;A1062&amp;"*")&gt;0</f>
        <v>0</v>
      </c>
      <c r="R1062" s="182" t="b">
        <f t="shared" si="365"/>
        <v>0</v>
      </c>
      <c r="S1062" s="182" t="b">
        <f t="shared" si="366"/>
        <v>0</v>
      </c>
      <c r="T1062" s="181" t="b">
        <f>COUNTIF('New Items'!$A$1:$A$175,A1062)&gt;0</f>
        <v>0</v>
      </c>
      <c r="U1062" s="181" t="b">
        <f>COUNTIF(Discontinued!$A$1:$A$150,A1062)&gt;0</f>
        <v>0</v>
      </c>
    </row>
    <row r="1063" spans="1:21" s="8" customFormat="1" ht="11.25" x14ac:dyDescent="0.2">
      <c r="A1063" s="152">
        <v>20029842</v>
      </c>
      <c r="B1063" s="9" t="s">
        <v>3816</v>
      </c>
      <c r="C1063" s="14" t="s">
        <v>3817</v>
      </c>
      <c r="D1063" s="11" t="s">
        <v>752</v>
      </c>
      <c r="E1063" s="14" t="s">
        <v>761</v>
      </c>
      <c r="F1063" s="13">
        <v>12</v>
      </c>
      <c r="G1063" s="98">
        <f>Overview!$B$66</f>
        <v>18</v>
      </c>
      <c r="H1063" s="99">
        <f t="shared" si="361"/>
        <v>18</v>
      </c>
      <c r="I1063" s="169">
        <f>Overview!$E$66</f>
        <v>0</v>
      </c>
      <c r="J1063" s="100">
        <f t="shared" si="362"/>
        <v>0</v>
      </c>
      <c r="K1063" s="171">
        <f>Overview!$H$66</f>
        <v>0</v>
      </c>
      <c r="L1063" s="102" t="e">
        <f t="shared" si="363"/>
        <v>#DIV/0!</v>
      </c>
      <c r="M1063" s="179"/>
      <c r="N1063" s="179" t="s">
        <v>3946</v>
      </c>
      <c r="O1063" s="141">
        <f t="shared" si="364"/>
        <v>0</v>
      </c>
      <c r="P1063" s="181" t="b">
        <f>COUNTIF('Facility Data'!$A$1:$A$1500,"*"&amp;A1063&amp;"*")&gt;0</f>
        <v>0</v>
      </c>
      <c r="Q1063" s="181" t="b">
        <f>COUNTIF('Account Data'!$A$1:$A$1000,"*"&amp;A1063&amp;"*")&gt;0</f>
        <v>0</v>
      </c>
      <c r="R1063" s="182" t="b">
        <f t="shared" si="365"/>
        <v>0</v>
      </c>
      <c r="S1063" s="182" t="b">
        <f t="shared" si="366"/>
        <v>0</v>
      </c>
      <c r="T1063" s="181" t="b">
        <f>COUNTIF('New Items'!$A$1:$A$175,A1063)&gt;0</f>
        <v>0</v>
      </c>
      <c r="U1063" s="181" t="b">
        <f>COUNTIF(Discontinued!$A$1:$A$150,A1063)&gt;0</f>
        <v>0</v>
      </c>
    </row>
    <row r="1064" spans="1:21" s="8" customFormat="1" ht="12" thickBot="1" x14ac:dyDescent="0.25">
      <c r="A1064" s="152">
        <v>20029841</v>
      </c>
      <c r="B1064" s="9" t="s">
        <v>3814</v>
      </c>
      <c r="C1064" s="14" t="s">
        <v>3815</v>
      </c>
      <c r="D1064" s="11" t="s">
        <v>3940</v>
      </c>
      <c r="E1064" s="14" t="s">
        <v>761</v>
      </c>
      <c r="F1064" s="13">
        <v>12</v>
      </c>
      <c r="G1064" s="98">
        <f>Overview!$B$66</f>
        <v>18</v>
      </c>
      <c r="H1064" s="99">
        <f t="shared" si="361"/>
        <v>18</v>
      </c>
      <c r="I1064" s="169">
        <f>Overview!$E$66</f>
        <v>0</v>
      </c>
      <c r="J1064" s="100">
        <f t="shared" si="362"/>
        <v>0</v>
      </c>
      <c r="K1064" s="171">
        <f>Overview!$H$66</f>
        <v>0</v>
      </c>
      <c r="L1064" s="102" t="e">
        <f t="shared" si="363"/>
        <v>#DIV/0!</v>
      </c>
      <c r="M1064" s="179"/>
      <c r="N1064" s="179" t="s">
        <v>3946</v>
      </c>
      <c r="O1064" s="141">
        <f t="shared" si="364"/>
        <v>0</v>
      </c>
      <c r="P1064" s="181" t="b">
        <f>COUNTIF('Facility Data'!$A$1:$A$1500,"*"&amp;A1064&amp;"*")&gt;0</f>
        <v>0</v>
      </c>
      <c r="Q1064" s="181" t="b">
        <f>COUNTIF('Account Data'!$A$1:$A$1000,"*"&amp;A1064&amp;"*")&gt;0</f>
        <v>0</v>
      </c>
      <c r="R1064" s="182" t="b">
        <f t="shared" si="365"/>
        <v>0</v>
      </c>
      <c r="S1064" s="182" t="b">
        <f t="shared" si="366"/>
        <v>0</v>
      </c>
      <c r="T1064" s="181" t="b">
        <f>COUNTIF('New Items'!$A$1:$A$175,A1064)&gt;0</f>
        <v>0</v>
      </c>
      <c r="U1064" s="181" t="b">
        <f>COUNTIF(Discontinued!$A$1:$A$150,A1064)&gt;0</f>
        <v>0</v>
      </c>
    </row>
    <row r="1065" spans="1:21" s="8" customFormat="1" ht="13.5" thickBot="1" x14ac:dyDescent="0.25">
      <c r="A1065" s="300" t="s">
        <v>1184</v>
      </c>
      <c r="B1065" s="301"/>
      <c r="C1065" s="301"/>
      <c r="D1065" s="301"/>
      <c r="E1065" s="301"/>
      <c r="F1065" s="301"/>
      <c r="G1065" s="301"/>
      <c r="H1065" s="301"/>
      <c r="I1065" s="301"/>
      <c r="J1065" s="301"/>
      <c r="K1065" s="301"/>
      <c r="L1065" s="302"/>
      <c r="M1065" s="179"/>
      <c r="N1065" s="179" t="s">
        <v>1257</v>
      </c>
      <c r="O1065" s="141">
        <f>AVERAGE(O1066:O1071)</f>
        <v>0</v>
      </c>
      <c r="P1065" s="181" t="b">
        <f>COUNTIF(P1066:P1071,TRUE)&gt;0</f>
        <v>1</v>
      </c>
      <c r="Q1065" s="181" t="b">
        <f>COUNTIF(Q1066:Q1071,TRUE)&gt;0</f>
        <v>0</v>
      </c>
      <c r="R1065" s="181" t="b">
        <f>COUNTIF(R1066:R1071,TRUE)&gt;0</f>
        <v>1</v>
      </c>
      <c r="S1065" s="181" t="b">
        <f>COUNTIF(S1066:S1071,TRUE)&gt;0</f>
        <v>0</v>
      </c>
      <c r="T1065" s="181" t="b">
        <f>COUNTIF(T1066:T1071,TRUE)&gt;0</f>
        <v>0</v>
      </c>
      <c r="U1065" s="249"/>
    </row>
    <row r="1066" spans="1:21" s="8" customFormat="1" ht="11.25" x14ac:dyDescent="0.2">
      <c r="A1066" s="152">
        <v>20028106</v>
      </c>
      <c r="B1066" s="231" t="s">
        <v>1188</v>
      </c>
      <c r="C1066" s="118" t="s">
        <v>1189</v>
      </c>
      <c r="D1066" s="119" t="s">
        <v>1190</v>
      </c>
      <c r="E1066" s="118" t="s">
        <v>769</v>
      </c>
      <c r="F1066" s="120">
        <v>12</v>
      </c>
      <c r="G1066" s="121">
        <f>Overview!$B$141</f>
        <v>26</v>
      </c>
      <c r="H1066" s="114">
        <f t="shared" ref="H1066:H1071" si="367">G1066-I1066</f>
        <v>26</v>
      </c>
      <c r="I1066" s="114">
        <f>Overview!$E$141</f>
        <v>0</v>
      </c>
      <c r="J1066" s="115">
        <f t="shared" ref="J1066:J1071" si="368">I1066/F1066</f>
        <v>0</v>
      </c>
      <c r="K1066" s="116">
        <f>Overview!$H$141</f>
        <v>0</v>
      </c>
      <c r="L1066" s="117" t="e">
        <f t="shared" ref="L1066:L1071" si="369">(K1066-J1066)/K1066</f>
        <v>#DIV/0!</v>
      </c>
      <c r="M1066" s="179"/>
      <c r="N1066" s="179" t="s">
        <v>1257</v>
      </c>
      <c r="O1066" s="141">
        <f t="shared" ref="O1066:O1071" si="370">I1066</f>
        <v>0</v>
      </c>
      <c r="P1066" s="181" t="b">
        <f>COUNTIF('Facility Data'!$A$1:$A$1500,"*"&amp;A1066&amp;"*")&gt;0</f>
        <v>0</v>
      </c>
      <c r="Q1066" s="181" t="b">
        <f>COUNTIF('Account Data'!$A$1:$A$1000,"*"&amp;A1066&amp;"*")&gt;0</f>
        <v>0</v>
      </c>
      <c r="R1066" s="182" t="b">
        <f t="shared" ref="R1066:R1071" si="371">IF(OR(P1066=TRUE,T1066=TRUE),TRUE,FALSE)</f>
        <v>0</v>
      </c>
      <c r="S1066" s="182" t="b">
        <f t="shared" ref="S1066:S1071" si="372">IF(OR(Q1066=TRUE,T1066=TRUE),TRUE,FALSE)</f>
        <v>0</v>
      </c>
      <c r="T1066" s="181" t="b">
        <f>COUNTIF('New Items'!$A$1:$A$175,A1066)&gt;0</f>
        <v>0</v>
      </c>
      <c r="U1066" s="181" t="b">
        <f>COUNTIF(Discontinued!$A$1:$A$150,A1066)&gt;0</f>
        <v>0</v>
      </c>
    </row>
    <row r="1067" spans="1:21" s="8" customFormat="1" ht="11.25" x14ac:dyDescent="0.2">
      <c r="A1067" s="152">
        <v>20028105</v>
      </c>
      <c r="B1067" s="231" t="s">
        <v>1185</v>
      </c>
      <c r="C1067" s="118" t="s">
        <v>1186</v>
      </c>
      <c r="D1067" s="119" t="s">
        <v>1187</v>
      </c>
      <c r="E1067" s="118" t="s">
        <v>769</v>
      </c>
      <c r="F1067" s="120">
        <v>12</v>
      </c>
      <c r="G1067" s="121">
        <f>Overview!$B$141</f>
        <v>26</v>
      </c>
      <c r="H1067" s="114">
        <f t="shared" si="367"/>
        <v>26</v>
      </c>
      <c r="I1067" s="114">
        <f>Overview!$E$141</f>
        <v>0</v>
      </c>
      <c r="J1067" s="115">
        <f t="shared" si="368"/>
        <v>0</v>
      </c>
      <c r="K1067" s="116">
        <f>Overview!$H$141</f>
        <v>0</v>
      </c>
      <c r="L1067" s="117" t="e">
        <f t="shared" si="369"/>
        <v>#DIV/0!</v>
      </c>
      <c r="M1067" s="179"/>
      <c r="N1067" s="179" t="s">
        <v>1257</v>
      </c>
      <c r="O1067" s="141">
        <f t="shared" si="370"/>
        <v>0</v>
      </c>
      <c r="P1067" s="181" t="b">
        <f>COUNTIF('Facility Data'!$A$1:$A$1500,"*"&amp;A1067&amp;"*")&gt;0</f>
        <v>0</v>
      </c>
      <c r="Q1067" s="181" t="b">
        <f>COUNTIF('Account Data'!$A$1:$A$1000,"*"&amp;A1067&amp;"*")&gt;0</f>
        <v>0</v>
      </c>
      <c r="R1067" s="182" t="b">
        <f t="shared" si="371"/>
        <v>0</v>
      </c>
      <c r="S1067" s="182" t="b">
        <f t="shared" si="372"/>
        <v>0</v>
      </c>
      <c r="T1067" s="181" t="b">
        <f>COUNTIF('New Items'!$A$1:$A$175,A1067)&gt;0</f>
        <v>0</v>
      </c>
      <c r="U1067" s="181" t="b">
        <f>COUNTIF(Discontinued!$A$1:$A$150,A1067)&gt;0</f>
        <v>0</v>
      </c>
    </row>
    <row r="1068" spans="1:21" s="8" customFormat="1" ht="11.25" x14ac:dyDescent="0.2">
      <c r="A1068" s="152">
        <v>20028108</v>
      </c>
      <c r="B1068" s="231" t="s">
        <v>1191</v>
      </c>
      <c r="C1068" s="118" t="s">
        <v>1192</v>
      </c>
      <c r="D1068" s="119" t="s">
        <v>754</v>
      </c>
      <c r="E1068" s="118" t="s">
        <v>769</v>
      </c>
      <c r="F1068" s="120">
        <v>12</v>
      </c>
      <c r="G1068" s="121">
        <f>Overview!$B$141</f>
        <v>26</v>
      </c>
      <c r="H1068" s="114">
        <f t="shared" si="367"/>
        <v>26</v>
      </c>
      <c r="I1068" s="114">
        <f>Overview!$E$141</f>
        <v>0</v>
      </c>
      <c r="J1068" s="115">
        <f t="shared" si="368"/>
        <v>0</v>
      </c>
      <c r="K1068" s="116">
        <f>Overview!$H$141</f>
        <v>0</v>
      </c>
      <c r="L1068" s="117" t="e">
        <f t="shared" si="369"/>
        <v>#DIV/0!</v>
      </c>
      <c r="M1068" s="179"/>
      <c r="N1068" s="179" t="s">
        <v>1257</v>
      </c>
      <c r="O1068" s="141">
        <f t="shared" si="370"/>
        <v>0</v>
      </c>
      <c r="P1068" s="181" t="b">
        <f>COUNTIF('Facility Data'!$A$1:$A$1500,"*"&amp;A1068&amp;"*")&gt;0</f>
        <v>1</v>
      </c>
      <c r="Q1068" s="181" t="b">
        <f>COUNTIF('Account Data'!$A$1:$A$1000,"*"&amp;A1068&amp;"*")&gt;0</f>
        <v>0</v>
      </c>
      <c r="R1068" s="182" t="b">
        <f t="shared" si="371"/>
        <v>1</v>
      </c>
      <c r="S1068" s="182" t="b">
        <f t="shared" si="372"/>
        <v>0</v>
      </c>
      <c r="T1068" s="181" t="b">
        <f>COUNTIF('New Items'!$A$1:$A$175,A1068)&gt;0</f>
        <v>0</v>
      </c>
      <c r="U1068" s="181" t="b">
        <f>COUNTIF(Discontinued!$A$1:$A$150,A1068)&gt;0</f>
        <v>0</v>
      </c>
    </row>
    <row r="1069" spans="1:21" s="8" customFormat="1" ht="11.25" x14ac:dyDescent="0.2">
      <c r="A1069" s="152">
        <v>20028107</v>
      </c>
      <c r="B1069" s="231" t="s">
        <v>1193</v>
      </c>
      <c r="C1069" s="118" t="s">
        <v>1194</v>
      </c>
      <c r="D1069" s="119" t="s">
        <v>1195</v>
      </c>
      <c r="E1069" s="118" t="s">
        <v>769</v>
      </c>
      <c r="F1069" s="120">
        <v>12</v>
      </c>
      <c r="G1069" s="121">
        <f>Overview!$B$141</f>
        <v>26</v>
      </c>
      <c r="H1069" s="114">
        <f t="shared" si="367"/>
        <v>26</v>
      </c>
      <c r="I1069" s="114">
        <f>Overview!$E$141</f>
        <v>0</v>
      </c>
      <c r="J1069" s="115">
        <f t="shared" si="368"/>
        <v>0</v>
      </c>
      <c r="K1069" s="116">
        <f>Overview!$H$141</f>
        <v>0</v>
      </c>
      <c r="L1069" s="117" t="e">
        <f t="shared" si="369"/>
        <v>#DIV/0!</v>
      </c>
      <c r="M1069" s="179"/>
      <c r="N1069" s="179" t="s">
        <v>1257</v>
      </c>
      <c r="O1069" s="141">
        <f t="shared" si="370"/>
        <v>0</v>
      </c>
      <c r="P1069" s="181" t="b">
        <f>COUNTIF('Facility Data'!$A$1:$A$1500,"*"&amp;A1069&amp;"*")&gt;0</f>
        <v>0</v>
      </c>
      <c r="Q1069" s="181" t="b">
        <f>COUNTIF('Account Data'!$A$1:$A$1000,"*"&amp;A1069&amp;"*")&gt;0</f>
        <v>0</v>
      </c>
      <c r="R1069" s="182" t="b">
        <f t="shared" si="371"/>
        <v>0</v>
      </c>
      <c r="S1069" s="182" t="b">
        <f t="shared" si="372"/>
        <v>0</v>
      </c>
      <c r="T1069" s="181" t="b">
        <f>COUNTIF('New Items'!$A$1:$A$175,A1069)&gt;0</f>
        <v>0</v>
      </c>
      <c r="U1069" s="181" t="b">
        <f>COUNTIF(Discontinued!$A$1:$A$150,A1069)&gt;0</f>
        <v>0</v>
      </c>
    </row>
    <row r="1070" spans="1:21" s="8" customFormat="1" ht="11.25" x14ac:dyDescent="0.2">
      <c r="A1070" s="152">
        <v>20028116</v>
      </c>
      <c r="B1070" s="231" t="s">
        <v>1199</v>
      </c>
      <c r="C1070" s="118" t="s">
        <v>1200</v>
      </c>
      <c r="D1070" s="119" t="s">
        <v>1201</v>
      </c>
      <c r="E1070" s="118" t="s">
        <v>769</v>
      </c>
      <c r="F1070" s="120">
        <v>12</v>
      </c>
      <c r="G1070" s="121">
        <f>Overview!$B$141</f>
        <v>26</v>
      </c>
      <c r="H1070" s="114">
        <f t="shared" si="367"/>
        <v>26</v>
      </c>
      <c r="I1070" s="114">
        <f>Overview!$E$141</f>
        <v>0</v>
      </c>
      <c r="J1070" s="115">
        <f t="shared" si="368"/>
        <v>0</v>
      </c>
      <c r="K1070" s="116">
        <f>Overview!$H$141</f>
        <v>0</v>
      </c>
      <c r="L1070" s="117" t="e">
        <f t="shared" si="369"/>
        <v>#DIV/0!</v>
      </c>
      <c r="M1070" s="179"/>
      <c r="N1070" s="179" t="s">
        <v>1257</v>
      </c>
      <c r="O1070" s="141">
        <f t="shared" si="370"/>
        <v>0</v>
      </c>
      <c r="P1070" s="181" t="b">
        <f>COUNTIF('Facility Data'!$A$1:$A$1500,"*"&amp;A1070&amp;"*")&gt;0</f>
        <v>0</v>
      </c>
      <c r="Q1070" s="181" t="b">
        <f>COUNTIF('Account Data'!$A$1:$A$1000,"*"&amp;A1070&amp;"*")&gt;0</f>
        <v>0</v>
      </c>
      <c r="R1070" s="182" t="b">
        <f t="shared" si="371"/>
        <v>0</v>
      </c>
      <c r="S1070" s="182" t="b">
        <f t="shared" si="372"/>
        <v>0</v>
      </c>
      <c r="T1070" s="181" t="b">
        <f>COUNTIF('New Items'!$A$1:$A$175,A1070)&gt;0</f>
        <v>0</v>
      </c>
      <c r="U1070" s="181" t="b">
        <f>COUNTIF(Discontinued!$A$1:$A$150,A1070)&gt;0</f>
        <v>0</v>
      </c>
    </row>
    <row r="1071" spans="1:21" s="8" customFormat="1" ht="12" thickBot="1" x14ac:dyDescent="0.25">
      <c r="A1071" s="152">
        <v>20028109</v>
      </c>
      <c r="B1071" s="231" t="s">
        <v>1196</v>
      </c>
      <c r="C1071" s="118" t="s">
        <v>1197</v>
      </c>
      <c r="D1071" s="119" t="s">
        <v>1198</v>
      </c>
      <c r="E1071" s="118" t="s">
        <v>769</v>
      </c>
      <c r="F1071" s="120">
        <v>12</v>
      </c>
      <c r="G1071" s="121">
        <f>Overview!$B$141</f>
        <v>26</v>
      </c>
      <c r="H1071" s="114">
        <f t="shared" si="367"/>
        <v>26</v>
      </c>
      <c r="I1071" s="114">
        <f>Overview!$E$141</f>
        <v>0</v>
      </c>
      <c r="J1071" s="115">
        <f t="shared" si="368"/>
        <v>0</v>
      </c>
      <c r="K1071" s="116">
        <f>Overview!$H$141</f>
        <v>0</v>
      </c>
      <c r="L1071" s="117" t="e">
        <f t="shared" si="369"/>
        <v>#DIV/0!</v>
      </c>
      <c r="M1071" s="179"/>
      <c r="N1071" s="179" t="s">
        <v>1257</v>
      </c>
      <c r="O1071" s="141">
        <f t="shared" si="370"/>
        <v>0</v>
      </c>
      <c r="P1071" s="181" t="b">
        <f>COUNTIF('Facility Data'!$A$1:$A$1500,"*"&amp;A1071&amp;"*")&gt;0</f>
        <v>0</v>
      </c>
      <c r="Q1071" s="181" t="b">
        <f>COUNTIF('Account Data'!$A$1:$A$1000,"*"&amp;A1071&amp;"*")&gt;0</f>
        <v>0</v>
      </c>
      <c r="R1071" s="182" t="b">
        <f t="shared" si="371"/>
        <v>0</v>
      </c>
      <c r="S1071" s="182" t="b">
        <f t="shared" si="372"/>
        <v>0</v>
      </c>
      <c r="T1071" s="181" t="b">
        <f>COUNTIF('New Items'!$A$1:$A$175,A1071)&gt;0</f>
        <v>0</v>
      </c>
      <c r="U1071" s="181" t="b">
        <f>COUNTIF(Discontinued!$A$1:$A$150,A1071)&gt;0</f>
        <v>0</v>
      </c>
    </row>
    <row r="1072" spans="1:21" s="8" customFormat="1" ht="13.5" thickBot="1" x14ac:dyDescent="0.25">
      <c r="A1072" s="300" t="s">
        <v>4076</v>
      </c>
      <c r="B1072" s="301"/>
      <c r="C1072" s="301"/>
      <c r="D1072" s="301"/>
      <c r="E1072" s="301"/>
      <c r="F1072" s="301"/>
      <c r="G1072" s="301"/>
      <c r="H1072" s="301"/>
      <c r="I1072" s="301"/>
      <c r="J1072" s="301"/>
      <c r="K1072" s="301"/>
      <c r="L1072" s="302"/>
      <c r="M1072" s="179"/>
      <c r="N1072" s="179" t="s">
        <v>1258</v>
      </c>
      <c r="O1072" s="141">
        <f>AVERAGE(O1073:O1077)</f>
        <v>0</v>
      </c>
      <c r="P1072" s="181" t="b">
        <f>COUNTIF(P1073:P1077,TRUE)&gt;0</f>
        <v>0</v>
      </c>
      <c r="Q1072" s="181" t="b">
        <f>COUNTIF(Q1073:Q1077,TRUE)&gt;0</f>
        <v>0</v>
      </c>
      <c r="R1072" s="181" t="b">
        <f>COUNTIF(R1073:R1077,TRUE)&gt;0</f>
        <v>0</v>
      </c>
      <c r="S1072" s="181" t="b">
        <f>COUNTIF(S1073:S1077,TRUE)&gt;0</f>
        <v>0</v>
      </c>
      <c r="T1072" s="181" t="b">
        <f>COUNTIF(T1073:T1077,TRUE)&gt;0</f>
        <v>0</v>
      </c>
      <c r="U1072" s="249"/>
    </row>
    <row r="1073" spans="1:21" s="8" customFormat="1" ht="11.25" x14ac:dyDescent="0.2">
      <c r="A1073" s="160">
        <v>20028280</v>
      </c>
      <c r="B1073" s="231" t="s">
        <v>4073</v>
      </c>
      <c r="C1073" s="118" t="s">
        <v>1207</v>
      </c>
      <c r="D1073" s="119" t="s">
        <v>1208</v>
      </c>
      <c r="E1073" s="118" t="s">
        <v>1204</v>
      </c>
      <c r="F1073" s="120">
        <v>12</v>
      </c>
      <c r="G1073" s="121">
        <f>Overview!$B$142</f>
        <v>36</v>
      </c>
      <c r="H1073" s="114">
        <f>G1073-I1073</f>
        <v>36</v>
      </c>
      <c r="I1073" s="114">
        <f>Overview!$E$142</f>
        <v>0</v>
      </c>
      <c r="J1073" s="115">
        <f>I1073/F1073</f>
        <v>0</v>
      </c>
      <c r="K1073" s="116">
        <f>Overview!$H$142</f>
        <v>0</v>
      </c>
      <c r="L1073" s="117" t="e">
        <f>(K1073-J1073)/K1073</f>
        <v>#DIV/0!</v>
      </c>
      <c r="M1073" s="179"/>
      <c r="N1073" s="179" t="s">
        <v>1258</v>
      </c>
      <c r="O1073" s="141">
        <f>I1073</f>
        <v>0</v>
      </c>
      <c r="P1073" s="181" t="b">
        <f>COUNTIF('Facility Data'!$A$1:$A$1500,"*"&amp;A1073&amp;"*")&gt;0</f>
        <v>0</v>
      </c>
      <c r="Q1073" s="181" t="b">
        <f>COUNTIF('Account Data'!$A$1:$A$1000,"*"&amp;A1073&amp;"*")&gt;0</f>
        <v>0</v>
      </c>
      <c r="R1073" s="182" t="b">
        <f>IF(OR(P1073=TRUE,T1073=TRUE),TRUE,FALSE)</f>
        <v>0</v>
      </c>
      <c r="S1073" s="182" t="b">
        <f>IF(OR(Q1073=TRUE,T1073=TRUE),TRUE,FALSE)</f>
        <v>0</v>
      </c>
      <c r="T1073" s="181" t="b">
        <f>COUNTIF('New Items'!$A$1:$A$175,A1073)&gt;0</f>
        <v>0</v>
      </c>
      <c r="U1073" s="181" t="b">
        <f>COUNTIF(Discontinued!$A$1:$A$150,A1073)&gt;0</f>
        <v>0</v>
      </c>
    </row>
    <row r="1074" spans="1:21" s="8" customFormat="1" ht="11.25" x14ac:dyDescent="0.2">
      <c r="A1074" s="160">
        <v>20028278</v>
      </c>
      <c r="B1074" s="231" t="s">
        <v>4071</v>
      </c>
      <c r="C1074" s="118" t="s">
        <v>1202</v>
      </c>
      <c r="D1074" s="119" t="s">
        <v>1203</v>
      </c>
      <c r="E1074" s="118" t="s">
        <v>1204</v>
      </c>
      <c r="F1074" s="120">
        <v>12</v>
      </c>
      <c r="G1074" s="121">
        <f>Overview!$B$142</f>
        <v>36</v>
      </c>
      <c r="H1074" s="114">
        <f>G1074-I1074</f>
        <v>36</v>
      </c>
      <c r="I1074" s="114">
        <f>Overview!$E$142</f>
        <v>0</v>
      </c>
      <c r="J1074" s="115">
        <f>I1074/F1074</f>
        <v>0</v>
      </c>
      <c r="K1074" s="116">
        <f>Overview!$H$142</f>
        <v>0</v>
      </c>
      <c r="L1074" s="117" t="e">
        <f>(K1074-J1074)/K1074</f>
        <v>#DIV/0!</v>
      </c>
      <c r="M1074" s="179"/>
      <c r="N1074" s="179" t="s">
        <v>1258</v>
      </c>
      <c r="O1074" s="141">
        <f>I1074</f>
        <v>0</v>
      </c>
      <c r="P1074" s="181" t="b">
        <f>COUNTIF('Facility Data'!$A$1:$A$1500,"*"&amp;A1074&amp;"*")&gt;0</f>
        <v>0</v>
      </c>
      <c r="Q1074" s="181" t="b">
        <f>COUNTIF('Account Data'!$A$1:$A$1000,"*"&amp;A1074&amp;"*")&gt;0</f>
        <v>0</v>
      </c>
      <c r="R1074" s="182" t="b">
        <f>IF(OR(P1074=TRUE,T1074=TRUE),TRUE,FALSE)</f>
        <v>0</v>
      </c>
      <c r="S1074" s="182" t="b">
        <f>IF(OR(Q1074=TRUE,T1074=TRUE),TRUE,FALSE)</f>
        <v>0</v>
      </c>
      <c r="T1074" s="181" t="b">
        <f>COUNTIF('New Items'!$A$1:$A$175,A1074)&gt;0</f>
        <v>0</v>
      </c>
      <c r="U1074" s="181" t="b">
        <f>COUNTIF(Discontinued!$A$1:$A$150,A1074)&gt;0</f>
        <v>0</v>
      </c>
    </row>
    <row r="1075" spans="1:21" s="8" customFormat="1" ht="11.25" x14ac:dyDescent="0.2">
      <c r="A1075" s="152" t="s">
        <v>1248</v>
      </c>
      <c r="B1075" s="231" t="s">
        <v>4074</v>
      </c>
      <c r="C1075" s="118" t="s">
        <v>3987</v>
      </c>
      <c r="D1075" s="119" t="s">
        <v>3985</v>
      </c>
      <c r="E1075" s="118" t="s">
        <v>1204</v>
      </c>
      <c r="F1075" s="120">
        <v>12</v>
      </c>
      <c r="G1075" s="121">
        <f>Overview!$B$142</f>
        <v>36</v>
      </c>
      <c r="H1075" s="114">
        <f>G1075-I1075</f>
        <v>36</v>
      </c>
      <c r="I1075" s="114">
        <f>Overview!$E$142</f>
        <v>0</v>
      </c>
      <c r="J1075" s="115">
        <f>I1075/F1075</f>
        <v>0</v>
      </c>
      <c r="K1075" s="116">
        <f>Overview!$H$142</f>
        <v>0</v>
      </c>
      <c r="L1075" s="117" t="e">
        <f>(K1075-J1075)/K1075</f>
        <v>#DIV/0!</v>
      </c>
      <c r="M1075" s="179"/>
      <c r="N1075" s="179" t="s">
        <v>1258</v>
      </c>
      <c r="O1075" s="141">
        <f>I1075</f>
        <v>0</v>
      </c>
      <c r="P1075" s="181" t="b">
        <f>COUNTIF('Facility Data'!$A$1:$A$1500,"*"&amp;A1075&amp;"*")&gt;0</f>
        <v>0</v>
      </c>
      <c r="Q1075" s="181" t="b">
        <f>COUNTIF('Account Data'!$A$1:$A$1000,"*"&amp;A1075&amp;"*")&gt;0</f>
        <v>0</v>
      </c>
      <c r="R1075" s="182" t="b">
        <f>IF(OR(P1075=TRUE,T1075=TRUE),TRUE,FALSE)</f>
        <v>0</v>
      </c>
      <c r="S1075" s="182" t="b">
        <f>IF(OR(Q1075=TRUE,T1075=TRUE),TRUE,FALSE)</f>
        <v>0</v>
      </c>
      <c r="T1075" s="181" t="b">
        <f>COUNTIF('New Items'!$A$1:$A$175,A1075)&gt;0</f>
        <v>0</v>
      </c>
      <c r="U1075" s="181" t="b">
        <f>COUNTIF(Discontinued!$A$1:$A$150,A1075)&gt;0</f>
        <v>0</v>
      </c>
    </row>
    <row r="1076" spans="1:21" s="8" customFormat="1" ht="11.25" x14ac:dyDescent="0.2">
      <c r="A1076" s="152" t="s">
        <v>1248</v>
      </c>
      <c r="B1076" s="231" t="s">
        <v>4075</v>
      </c>
      <c r="C1076" s="118" t="s">
        <v>3988</v>
      </c>
      <c r="D1076" s="119" t="s">
        <v>3986</v>
      </c>
      <c r="E1076" s="118" t="s">
        <v>1204</v>
      </c>
      <c r="F1076" s="120">
        <v>12</v>
      </c>
      <c r="G1076" s="121">
        <f>Overview!$B$142</f>
        <v>36</v>
      </c>
      <c r="H1076" s="114">
        <f>G1076-I1076</f>
        <v>36</v>
      </c>
      <c r="I1076" s="114">
        <f>Overview!$E$142</f>
        <v>0</v>
      </c>
      <c r="J1076" s="115">
        <f>I1076/F1076</f>
        <v>0</v>
      </c>
      <c r="K1076" s="116">
        <f>Overview!$H$142</f>
        <v>0</v>
      </c>
      <c r="L1076" s="117" t="e">
        <f>(K1076-J1076)/K1076</f>
        <v>#DIV/0!</v>
      </c>
      <c r="M1076" s="179"/>
      <c r="N1076" s="179" t="s">
        <v>1258</v>
      </c>
      <c r="O1076" s="141">
        <f>I1076</f>
        <v>0</v>
      </c>
      <c r="P1076" s="181" t="b">
        <f>COUNTIF('Facility Data'!$A$1:$A$1500,"*"&amp;A1076&amp;"*")&gt;0</f>
        <v>0</v>
      </c>
      <c r="Q1076" s="181" t="b">
        <f>COUNTIF('Account Data'!$A$1:$A$1000,"*"&amp;A1076&amp;"*")&gt;0</f>
        <v>0</v>
      </c>
      <c r="R1076" s="182" t="b">
        <f>IF(OR(P1076=TRUE,T1076=TRUE),TRUE,FALSE)</f>
        <v>0</v>
      </c>
      <c r="S1076" s="182" t="b">
        <f>IF(OR(Q1076=TRUE,T1076=TRUE),TRUE,FALSE)</f>
        <v>0</v>
      </c>
      <c r="T1076" s="181" t="b">
        <f>COUNTIF('New Items'!$A$1:$A$175,A1076)&gt;0</f>
        <v>0</v>
      </c>
      <c r="U1076" s="181" t="b">
        <f>COUNTIF(Discontinued!$A$1:$A$150,A1076)&gt;0</f>
        <v>0</v>
      </c>
    </row>
    <row r="1077" spans="1:21" s="8" customFormat="1" ht="12" thickBot="1" x14ac:dyDescent="0.25">
      <c r="A1077" s="160">
        <v>20028279</v>
      </c>
      <c r="B1077" s="231" t="s">
        <v>4072</v>
      </c>
      <c r="C1077" s="118" t="s">
        <v>1205</v>
      </c>
      <c r="D1077" s="119" t="s">
        <v>1206</v>
      </c>
      <c r="E1077" s="118" t="s">
        <v>1204</v>
      </c>
      <c r="F1077" s="120">
        <v>12</v>
      </c>
      <c r="G1077" s="121">
        <f>Overview!$B$142</f>
        <v>36</v>
      </c>
      <c r="H1077" s="114">
        <f>G1077-I1077</f>
        <v>36</v>
      </c>
      <c r="I1077" s="114">
        <f>Overview!$E$142</f>
        <v>0</v>
      </c>
      <c r="J1077" s="115">
        <f>I1077/F1077</f>
        <v>0</v>
      </c>
      <c r="K1077" s="116">
        <f>Overview!$H$142</f>
        <v>0</v>
      </c>
      <c r="L1077" s="117" t="e">
        <f>(K1077-J1077)/K1077</f>
        <v>#DIV/0!</v>
      </c>
      <c r="M1077" s="179"/>
      <c r="N1077" s="179" t="s">
        <v>1258</v>
      </c>
      <c r="O1077" s="141">
        <f>I1077</f>
        <v>0</v>
      </c>
      <c r="P1077" s="181" t="b">
        <f>COUNTIF('Facility Data'!$A$1:$A$1500,"*"&amp;A1077&amp;"*")&gt;0</f>
        <v>0</v>
      </c>
      <c r="Q1077" s="181" t="b">
        <f>COUNTIF('Account Data'!$A$1:$A$1000,"*"&amp;A1077&amp;"*")&gt;0</f>
        <v>0</v>
      </c>
      <c r="R1077" s="182" t="b">
        <f>IF(OR(P1077=TRUE,T1077=TRUE),TRUE,FALSE)</f>
        <v>0</v>
      </c>
      <c r="S1077" s="182" t="b">
        <f>IF(OR(Q1077=TRUE,T1077=TRUE),TRUE,FALSE)</f>
        <v>0</v>
      </c>
      <c r="T1077" s="181" t="b">
        <f>COUNTIF('New Items'!$A$1:$A$175,A1077)&gt;0</f>
        <v>0</v>
      </c>
      <c r="U1077" s="181" t="b">
        <f>COUNTIF(Discontinued!$A$1:$A$150,A1077)&gt;0</f>
        <v>0</v>
      </c>
    </row>
    <row r="1078" spans="1:21" s="8" customFormat="1" ht="13.5" thickBot="1" x14ac:dyDescent="0.25">
      <c r="A1078" s="300" t="s">
        <v>3004</v>
      </c>
      <c r="B1078" s="301"/>
      <c r="C1078" s="301"/>
      <c r="D1078" s="301"/>
      <c r="E1078" s="301"/>
      <c r="F1078" s="301"/>
      <c r="G1078" s="301"/>
      <c r="H1078" s="301"/>
      <c r="I1078" s="301"/>
      <c r="J1078" s="301"/>
      <c r="K1078" s="301"/>
      <c r="L1078" s="302"/>
      <c r="M1078" s="179" t="s">
        <v>944</v>
      </c>
      <c r="N1078" s="179" t="s">
        <v>3136</v>
      </c>
      <c r="O1078" s="141">
        <f>AVERAGE(O1079:O1082)</f>
        <v>0</v>
      </c>
      <c r="P1078" s="181" t="b">
        <f>COUNTIF(P1079:P1082,TRUE)&gt;0</f>
        <v>0</v>
      </c>
      <c r="Q1078" s="181" t="b">
        <f>COUNTIF(Q1079:Q1082,TRUE)&gt;0</f>
        <v>0</v>
      </c>
      <c r="R1078" s="181" t="b">
        <f>COUNTIF(R1079:R1082,TRUE)&gt;0</f>
        <v>0</v>
      </c>
      <c r="S1078" s="181" t="b">
        <f>COUNTIF(S1079:S1082,TRUE)&gt;0</f>
        <v>0</v>
      </c>
      <c r="T1078" s="181" t="b">
        <f>COUNTIF(T1079:T1082,TRUE)&gt;0</f>
        <v>0</v>
      </c>
      <c r="U1078" s="249"/>
    </row>
    <row r="1079" spans="1:21" s="8" customFormat="1" ht="11.25" x14ac:dyDescent="0.2">
      <c r="A1079" s="152">
        <v>10000749</v>
      </c>
      <c r="B1079" s="10" t="s">
        <v>3007</v>
      </c>
      <c r="C1079" s="118" t="s">
        <v>3008</v>
      </c>
      <c r="D1079" s="11" t="s">
        <v>942</v>
      </c>
      <c r="E1079" s="118" t="s">
        <v>776</v>
      </c>
      <c r="F1079" s="120">
        <v>4</v>
      </c>
      <c r="G1079" s="22">
        <f>Overview!$B$62</f>
        <v>24</v>
      </c>
      <c r="H1079" s="114">
        <f>G1079-I1079</f>
        <v>24</v>
      </c>
      <c r="I1079" s="114">
        <f>Overview!$E$62</f>
        <v>0</v>
      </c>
      <c r="J1079" s="115">
        <f>I1079/F1079</f>
        <v>0</v>
      </c>
      <c r="K1079" s="116">
        <f>Overview!$H$62</f>
        <v>0</v>
      </c>
      <c r="L1079" s="117" t="e">
        <f>(K1079-J1079)/K1079</f>
        <v>#DIV/0!</v>
      </c>
      <c r="M1079" s="179" t="s">
        <v>944</v>
      </c>
      <c r="N1079" s="179" t="s">
        <v>3136</v>
      </c>
      <c r="O1079" s="141">
        <f>I1079</f>
        <v>0</v>
      </c>
      <c r="P1079" s="181" t="b">
        <f>COUNTIF('Facility Data'!$A$1:$A$1500,"*"&amp;A1079&amp;"*")&gt;0</f>
        <v>0</v>
      </c>
      <c r="Q1079" s="181" t="b">
        <f>COUNTIF('Account Data'!$A$1:$A$1000,"*"&amp;A1079&amp;"*")&gt;0</f>
        <v>0</v>
      </c>
      <c r="R1079" s="182" t="b">
        <f>IF(OR(P1079=TRUE,T1079=TRUE),TRUE,FALSE)</f>
        <v>0</v>
      </c>
      <c r="S1079" s="182" t="b">
        <f>IF(OR(Q1079=TRUE,T1079=TRUE),TRUE,FALSE)</f>
        <v>0</v>
      </c>
      <c r="T1079" s="181" t="b">
        <f>COUNTIF('New Items'!$A$1:$A$175,A1079)&gt;0</f>
        <v>0</v>
      </c>
      <c r="U1079" s="181" t="b">
        <f>COUNTIF(Discontinued!$A$1:$A$150,A1079)&gt;0</f>
        <v>0</v>
      </c>
    </row>
    <row r="1080" spans="1:21" s="8" customFormat="1" ht="11.25" x14ac:dyDescent="0.2">
      <c r="A1080" s="152">
        <v>10000748</v>
      </c>
      <c r="B1080" s="10" t="s">
        <v>3828</v>
      </c>
      <c r="C1080" s="118" t="s">
        <v>3830</v>
      </c>
      <c r="D1080" s="11" t="s">
        <v>3829</v>
      </c>
      <c r="E1080" s="118" t="s">
        <v>776</v>
      </c>
      <c r="F1080" s="120">
        <v>4</v>
      </c>
      <c r="G1080" s="22">
        <f>Overview!$B$62</f>
        <v>24</v>
      </c>
      <c r="H1080" s="23">
        <f>G1080-I1080</f>
        <v>24</v>
      </c>
      <c r="I1080" s="114">
        <f>Overview!$E$62</f>
        <v>0</v>
      </c>
      <c r="J1080" s="24">
        <f>I1080/F1080</f>
        <v>0</v>
      </c>
      <c r="K1080" s="116">
        <f>Overview!$H$62</f>
        <v>0</v>
      </c>
      <c r="L1080" s="51" t="e">
        <f>(K1080-J1080)/K1080</f>
        <v>#DIV/0!</v>
      </c>
      <c r="M1080" s="179" t="s">
        <v>944</v>
      </c>
      <c r="N1080" s="179" t="s">
        <v>3136</v>
      </c>
      <c r="O1080" s="141">
        <f>I1080</f>
        <v>0</v>
      </c>
      <c r="P1080" s="181" t="b">
        <f>COUNTIF('Facility Data'!$A$1:$A$1500,"*"&amp;A1080&amp;"*")&gt;0</f>
        <v>0</v>
      </c>
      <c r="Q1080" s="181" t="b">
        <f>COUNTIF('Account Data'!$A$1:$A$1000,"*"&amp;A1080&amp;"*")&gt;0</f>
        <v>0</v>
      </c>
      <c r="R1080" s="182" t="b">
        <f>IF(OR(P1080=TRUE,T1080=TRUE),TRUE,FALSE)</f>
        <v>0</v>
      </c>
      <c r="S1080" s="182" t="b">
        <f>IF(OR(Q1080=TRUE,T1080=TRUE),TRUE,FALSE)</f>
        <v>0</v>
      </c>
      <c r="T1080" s="181" t="b">
        <f>COUNTIF('New Items'!$A$1:$A$175,A1080)&gt;0</f>
        <v>0</v>
      </c>
      <c r="U1080" s="181" t="b">
        <f>COUNTIF(Discontinued!$A$1:$A$150,A1080)&gt;0</f>
        <v>0</v>
      </c>
    </row>
    <row r="1081" spans="1:21" s="8" customFormat="1" ht="11.25" x14ac:dyDescent="0.2">
      <c r="A1081" s="152">
        <v>10000750</v>
      </c>
      <c r="B1081" s="10" t="s">
        <v>3009</v>
      </c>
      <c r="C1081" s="118" t="s">
        <v>3010</v>
      </c>
      <c r="D1081" s="11" t="s">
        <v>1697</v>
      </c>
      <c r="E1081" s="118" t="s">
        <v>776</v>
      </c>
      <c r="F1081" s="120">
        <v>4</v>
      </c>
      <c r="G1081" s="22">
        <f>Overview!$B$62</f>
        <v>24</v>
      </c>
      <c r="H1081" s="114">
        <f>G1081-I1081</f>
        <v>24</v>
      </c>
      <c r="I1081" s="114">
        <f>Overview!$E$62</f>
        <v>0</v>
      </c>
      <c r="J1081" s="115">
        <f>I1081/F1081</f>
        <v>0</v>
      </c>
      <c r="K1081" s="116">
        <f>Overview!$H$62</f>
        <v>0</v>
      </c>
      <c r="L1081" s="117" t="e">
        <f>(K1081-J1081)/K1081</f>
        <v>#DIV/0!</v>
      </c>
      <c r="M1081" s="179" t="s">
        <v>944</v>
      </c>
      <c r="N1081" s="179" t="s">
        <v>3136</v>
      </c>
      <c r="O1081" s="141">
        <f>I1081</f>
        <v>0</v>
      </c>
      <c r="P1081" s="181" t="b">
        <f>COUNTIF('Facility Data'!$A$1:$A$1500,"*"&amp;A1081&amp;"*")&gt;0</f>
        <v>0</v>
      </c>
      <c r="Q1081" s="181" t="b">
        <f>COUNTIF('Account Data'!$A$1:$A$1000,"*"&amp;A1081&amp;"*")&gt;0</f>
        <v>0</v>
      </c>
      <c r="R1081" s="182" t="b">
        <f>IF(OR(P1081=TRUE,T1081=TRUE),TRUE,FALSE)</f>
        <v>0</v>
      </c>
      <c r="S1081" s="182" t="b">
        <f>IF(OR(Q1081=TRUE,T1081=TRUE),TRUE,FALSE)</f>
        <v>0</v>
      </c>
      <c r="T1081" s="181" t="b">
        <f>COUNTIF('New Items'!$A$1:$A$175,A1081)&gt;0</f>
        <v>0</v>
      </c>
      <c r="U1081" s="181" t="b">
        <f>COUNTIF(Discontinued!$A$1:$A$150,A1081)&gt;0</f>
        <v>0</v>
      </c>
    </row>
    <row r="1082" spans="1:21" s="8" customFormat="1" ht="12" thickBot="1" x14ac:dyDescent="0.25">
      <c r="A1082" s="152">
        <v>10000747</v>
      </c>
      <c r="B1082" s="10" t="s">
        <v>3005</v>
      </c>
      <c r="C1082" s="118" t="s">
        <v>3006</v>
      </c>
      <c r="D1082" s="11" t="s">
        <v>940</v>
      </c>
      <c r="E1082" s="118" t="s">
        <v>776</v>
      </c>
      <c r="F1082" s="120">
        <v>4</v>
      </c>
      <c r="G1082" s="22">
        <f>Overview!$B$62</f>
        <v>24</v>
      </c>
      <c r="H1082" s="23">
        <f>G1082-I1082</f>
        <v>24</v>
      </c>
      <c r="I1082" s="114">
        <f>Overview!$E$62</f>
        <v>0</v>
      </c>
      <c r="J1082" s="24">
        <f>I1082/F1082</f>
        <v>0</v>
      </c>
      <c r="K1082" s="116">
        <f>Overview!$H$62</f>
        <v>0</v>
      </c>
      <c r="L1082" s="51" t="e">
        <f>(K1082-J1082)/K1082</f>
        <v>#DIV/0!</v>
      </c>
      <c r="M1082" s="179" t="s">
        <v>944</v>
      </c>
      <c r="N1082" s="179" t="s">
        <v>3136</v>
      </c>
      <c r="O1082" s="141">
        <f>I1082</f>
        <v>0</v>
      </c>
      <c r="P1082" s="181" t="b">
        <f>COUNTIF('Facility Data'!$A$1:$A$1500,"*"&amp;A1082&amp;"*")&gt;0</f>
        <v>0</v>
      </c>
      <c r="Q1082" s="181" t="b">
        <f>COUNTIF('Account Data'!$A$1:$A$1000,"*"&amp;A1082&amp;"*")&gt;0</f>
        <v>0</v>
      </c>
      <c r="R1082" s="182" t="b">
        <f>IF(OR(P1082=TRUE,T1082=TRUE),TRUE,FALSE)</f>
        <v>0</v>
      </c>
      <c r="S1082" s="182" t="b">
        <f>IF(OR(Q1082=TRUE,T1082=TRUE),TRUE,FALSE)</f>
        <v>0</v>
      </c>
      <c r="T1082" s="181" t="b">
        <f>COUNTIF('New Items'!$A$1:$A$175,A1082)&gt;0</f>
        <v>0</v>
      </c>
      <c r="U1082" s="181" t="b">
        <f>COUNTIF(Discontinued!$A$1:$A$150,A1082)&gt;0</f>
        <v>0</v>
      </c>
    </row>
    <row r="1083" spans="1:21" s="8" customFormat="1" ht="13.5" thickBot="1" x14ac:dyDescent="0.25">
      <c r="A1083" s="300" t="s">
        <v>939</v>
      </c>
      <c r="B1083" s="301"/>
      <c r="C1083" s="301"/>
      <c r="D1083" s="301"/>
      <c r="E1083" s="301"/>
      <c r="F1083" s="301"/>
      <c r="G1083" s="301"/>
      <c r="H1083" s="301"/>
      <c r="I1083" s="301"/>
      <c r="J1083" s="301"/>
      <c r="K1083" s="301"/>
      <c r="L1083" s="302"/>
      <c r="M1083" s="179" t="s">
        <v>944</v>
      </c>
      <c r="N1083" s="179" t="s">
        <v>973</v>
      </c>
      <c r="O1083" s="141">
        <f>AVERAGE(O1084:O1088)</f>
        <v>0</v>
      </c>
      <c r="P1083" s="181" t="b">
        <f>COUNTIF(P1084:P1088,TRUE)&gt;0</f>
        <v>0</v>
      </c>
      <c r="Q1083" s="181" t="b">
        <f>COUNTIF(Q1084:Q1088,TRUE)&gt;0</f>
        <v>0</v>
      </c>
      <c r="R1083" s="181" t="b">
        <f>COUNTIF(R1084:R1088,TRUE)&gt;0</f>
        <v>0</v>
      </c>
      <c r="S1083" s="181" t="b">
        <f>COUNTIF(S1084:S1088,TRUE)&gt;0</f>
        <v>0</v>
      </c>
      <c r="T1083" s="181" t="b">
        <f>COUNTIF(T1084:T1088,TRUE)&gt;0</f>
        <v>0</v>
      </c>
      <c r="U1083" s="249"/>
    </row>
    <row r="1084" spans="1:21" s="8" customFormat="1" ht="11.25" x14ac:dyDescent="0.2">
      <c r="A1084" s="152">
        <v>10001289</v>
      </c>
      <c r="B1084" s="10" t="s">
        <v>3289</v>
      </c>
      <c r="C1084" s="12" t="s">
        <v>946</v>
      </c>
      <c r="D1084" s="11" t="s">
        <v>941</v>
      </c>
      <c r="E1084" s="12" t="s">
        <v>761</v>
      </c>
      <c r="F1084" s="13">
        <v>12</v>
      </c>
      <c r="G1084" s="22">
        <f>Overview!$B$64</f>
        <v>18</v>
      </c>
      <c r="H1084" s="23">
        <f>G1084-I1084</f>
        <v>18</v>
      </c>
      <c r="I1084" s="114">
        <f>Overview!$E$64</f>
        <v>0</v>
      </c>
      <c r="J1084" s="24">
        <f>I1084/F1084</f>
        <v>0</v>
      </c>
      <c r="K1084" s="116">
        <f>Overview!$H$64</f>
        <v>0</v>
      </c>
      <c r="L1084" s="51" t="e">
        <f>(K1084-J1084)/K1084</f>
        <v>#DIV/0!</v>
      </c>
      <c r="M1084" s="179" t="s">
        <v>944</v>
      </c>
      <c r="N1084" s="179" t="s">
        <v>973</v>
      </c>
      <c r="O1084" s="141">
        <f>I1084</f>
        <v>0</v>
      </c>
      <c r="P1084" s="181" t="b">
        <f>COUNTIF('Facility Data'!$A$1:$A$1500,"*"&amp;A1084&amp;"*")&gt;0</f>
        <v>0</v>
      </c>
      <c r="Q1084" s="181" t="b">
        <f>COUNTIF('Account Data'!$A$1:$A$1000,"*"&amp;A1084&amp;"*")&gt;0</f>
        <v>0</v>
      </c>
      <c r="R1084" s="182" t="b">
        <f>IF(OR(P1084=TRUE,T1084=TRUE),TRUE,FALSE)</f>
        <v>0</v>
      </c>
      <c r="S1084" s="182" t="b">
        <f>IF(OR(Q1084=TRUE,T1084=TRUE),TRUE,FALSE)</f>
        <v>0</v>
      </c>
      <c r="T1084" s="181" t="b">
        <f>COUNTIF('New Items'!$A$1:$A$175,A1084)&gt;0</f>
        <v>0</v>
      </c>
      <c r="U1084" s="181" t="b">
        <f>COUNTIF(Discontinued!$A$1:$A$150,A1084)&gt;0</f>
        <v>0</v>
      </c>
    </row>
    <row r="1085" spans="1:21" s="8" customFormat="1" ht="11.25" x14ac:dyDescent="0.2">
      <c r="A1085" s="152">
        <v>10001290</v>
      </c>
      <c r="B1085" s="10" t="s">
        <v>3290</v>
      </c>
      <c r="C1085" s="12" t="s">
        <v>947</v>
      </c>
      <c r="D1085" s="11" t="s">
        <v>942</v>
      </c>
      <c r="E1085" s="12" t="s">
        <v>761</v>
      </c>
      <c r="F1085" s="13">
        <v>12</v>
      </c>
      <c r="G1085" s="22">
        <f>Overview!$B$64</f>
        <v>18</v>
      </c>
      <c r="H1085" s="23">
        <f>G1085-I1085</f>
        <v>18</v>
      </c>
      <c r="I1085" s="114">
        <f>Overview!$E$64</f>
        <v>0</v>
      </c>
      <c r="J1085" s="24">
        <f>I1085/F1085</f>
        <v>0</v>
      </c>
      <c r="K1085" s="116">
        <f>Overview!$H$64</f>
        <v>0</v>
      </c>
      <c r="L1085" s="51" t="e">
        <f>(K1085-J1085)/K1085</f>
        <v>#DIV/0!</v>
      </c>
      <c r="M1085" s="179" t="s">
        <v>944</v>
      </c>
      <c r="N1085" s="179" t="s">
        <v>973</v>
      </c>
      <c r="O1085" s="141">
        <f>I1085</f>
        <v>0</v>
      </c>
      <c r="P1085" s="181" t="b">
        <f>COUNTIF('Facility Data'!$A$1:$A$1500,"*"&amp;A1085&amp;"*")&gt;0</f>
        <v>0</v>
      </c>
      <c r="Q1085" s="181" t="b">
        <f>COUNTIF('Account Data'!$A$1:$A$1000,"*"&amp;A1085&amp;"*")&gt;0</f>
        <v>0</v>
      </c>
      <c r="R1085" s="182" t="b">
        <f>IF(OR(P1085=TRUE,T1085=TRUE),TRUE,FALSE)</f>
        <v>0</v>
      </c>
      <c r="S1085" s="182" t="b">
        <f>IF(OR(Q1085=TRUE,T1085=TRUE),TRUE,FALSE)</f>
        <v>0</v>
      </c>
      <c r="T1085" s="181" t="b">
        <f>COUNTIF('New Items'!$A$1:$A$175,A1085)&gt;0</f>
        <v>0</v>
      </c>
      <c r="U1085" s="181" t="b">
        <f>COUNTIF(Discontinued!$A$1:$A$150,A1085)&gt;0</f>
        <v>0</v>
      </c>
    </row>
    <row r="1086" spans="1:21" s="8" customFormat="1" ht="11.25" x14ac:dyDescent="0.2">
      <c r="A1086" s="152">
        <v>10001291</v>
      </c>
      <c r="B1086" s="10" t="s">
        <v>2998</v>
      </c>
      <c r="C1086" s="12" t="s">
        <v>2999</v>
      </c>
      <c r="D1086" s="11" t="s">
        <v>1697</v>
      </c>
      <c r="E1086" s="12" t="s">
        <v>761</v>
      </c>
      <c r="F1086" s="13">
        <v>12</v>
      </c>
      <c r="G1086" s="22">
        <f>Overview!$B$64</f>
        <v>18</v>
      </c>
      <c r="H1086" s="23">
        <f>G1086-I1086</f>
        <v>18</v>
      </c>
      <c r="I1086" s="114">
        <f>Overview!$E$64</f>
        <v>0</v>
      </c>
      <c r="J1086" s="24">
        <f>I1086/F1086</f>
        <v>0</v>
      </c>
      <c r="K1086" s="116">
        <f>Overview!$H$64</f>
        <v>0</v>
      </c>
      <c r="L1086" s="51" t="e">
        <f>(K1086-J1086)/K1086</f>
        <v>#DIV/0!</v>
      </c>
      <c r="M1086" s="179" t="s">
        <v>944</v>
      </c>
      <c r="N1086" s="179" t="s">
        <v>973</v>
      </c>
      <c r="O1086" s="141">
        <f>I1086</f>
        <v>0</v>
      </c>
      <c r="P1086" s="181" t="b">
        <f>COUNTIF('Facility Data'!$A$1:$A$1500,"*"&amp;A1086&amp;"*")&gt;0</f>
        <v>0</v>
      </c>
      <c r="Q1086" s="181" t="b">
        <f>COUNTIF('Account Data'!$A$1:$A$1000,"*"&amp;A1086&amp;"*")&gt;0</f>
        <v>0</v>
      </c>
      <c r="R1086" s="182" t="b">
        <f>IF(OR(P1086=TRUE,T1086=TRUE),TRUE,FALSE)</f>
        <v>0</v>
      </c>
      <c r="S1086" s="182" t="b">
        <f>IF(OR(Q1086=TRUE,T1086=TRUE),TRUE,FALSE)</f>
        <v>0</v>
      </c>
      <c r="T1086" s="181" t="b">
        <f>COUNTIF('New Items'!$A$1:$A$175,A1086)&gt;0</f>
        <v>0</v>
      </c>
      <c r="U1086" s="181" t="b">
        <f>COUNTIF(Discontinued!$A$1:$A$150,A1086)&gt;0</f>
        <v>0</v>
      </c>
    </row>
    <row r="1087" spans="1:21" s="8" customFormat="1" ht="11.25" x14ac:dyDescent="0.2">
      <c r="A1087" s="152">
        <v>10012968</v>
      </c>
      <c r="B1087" s="10" t="s">
        <v>3291</v>
      </c>
      <c r="C1087" s="12" t="s">
        <v>948</v>
      </c>
      <c r="D1087" s="11" t="s">
        <v>943</v>
      </c>
      <c r="E1087" s="12" t="s">
        <v>761</v>
      </c>
      <c r="F1087" s="13">
        <v>12</v>
      </c>
      <c r="G1087" s="22">
        <f>Overview!$B$64</f>
        <v>18</v>
      </c>
      <c r="H1087" s="23">
        <f>G1087-I1087</f>
        <v>18</v>
      </c>
      <c r="I1087" s="114">
        <f>Overview!$E$64</f>
        <v>0</v>
      </c>
      <c r="J1087" s="24">
        <f>I1087/F1087</f>
        <v>0</v>
      </c>
      <c r="K1087" s="116">
        <f>Overview!$H$64</f>
        <v>0</v>
      </c>
      <c r="L1087" s="51" t="e">
        <f>(K1087-J1087)/K1087</f>
        <v>#DIV/0!</v>
      </c>
      <c r="M1087" s="179" t="s">
        <v>944</v>
      </c>
      <c r="N1087" s="179" t="s">
        <v>973</v>
      </c>
      <c r="O1087" s="141">
        <f>I1087</f>
        <v>0</v>
      </c>
      <c r="P1087" s="181" t="b">
        <f>COUNTIF('Facility Data'!$A$1:$A$1500,"*"&amp;A1087&amp;"*")&gt;0</f>
        <v>0</v>
      </c>
      <c r="Q1087" s="181" t="b">
        <f>COUNTIF('Account Data'!$A$1:$A$1000,"*"&amp;A1087&amp;"*")&gt;0</f>
        <v>0</v>
      </c>
      <c r="R1087" s="182" t="b">
        <f>IF(OR(P1087=TRUE,T1087=TRUE),TRUE,FALSE)</f>
        <v>0</v>
      </c>
      <c r="S1087" s="182" t="b">
        <f>IF(OR(Q1087=TRUE,T1087=TRUE),TRUE,FALSE)</f>
        <v>0</v>
      </c>
      <c r="T1087" s="181" t="b">
        <f>COUNTIF('New Items'!$A$1:$A$175,A1087)&gt;0</f>
        <v>0</v>
      </c>
      <c r="U1087" s="181" t="b">
        <f>COUNTIF(Discontinued!$A$1:$A$150,A1087)&gt;0</f>
        <v>0</v>
      </c>
    </row>
    <row r="1088" spans="1:21" s="8" customFormat="1" ht="12" thickBot="1" x14ac:dyDescent="0.25">
      <c r="A1088" s="152">
        <v>10001288</v>
      </c>
      <c r="B1088" s="10" t="s">
        <v>3288</v>
      </c>
      <c r="C1088" s="12" t="s">
        <v>945</v>
      </c>
      <c r="D1088" s="11" t="s">
        <v>940</v>
      </c>
      <c r="E1088" s="12" t="s">
        <v>761</v>
      </c>
      <c r="F1088" s="13">
        <v>12</v>
      </c>
      <c r="G1088" s="22">
        <f>Overview!$B$64</f>
        <v>18</v>
      </c>
      <c r="H1088" s="23">
        <f>G1088-I1088</f>
        <v>18</v>
      </c>
      <c r="I1088" s="114">
        <f>Overview!$E$64</f>
        <v>0</v>
      </c>
      <c r="J1088" s="24">
        <f>I1088/F1088</f>
        <v>0</v>
      </c>
      <c r="K1088" s="116">
        <f>Overview!$H$64</f>
        <v>0</v>
      </c>
      <c r="L1088" s="51" t="e">
        <f>(K1088-J1088)/K1088</f>
        <v>#DIV/0!</v>
      </c>
      <c r="M1088" s="179" t="s">
        <v>944</v>
      </c>
      <c r="N1088" s="179" t="s">
        <v>973</v>
      </c>
      <c r="O1088" s="141">
        <f>I1088</f>
        <v>0</v>
      </c>
      <c r="P1088" s="181" t="b">
        <f>COUNTIF('Facility Data'!$A$1:$A$1500,"*"&amp;A1088&amp;"*")&gt;0</f>
        <v>0</v>
      </c>
      <c r="Q1088" s="181" t="b">
        <f>COUNTIF('Account Data'!$A$1:$A$1000,"*"&amp;A1088&amp;"*")&gt;0</f>
        <v>0</v>
      </c>
      <c r="R1088" s="182" t="b">
        <f>IF(OR(P1088=TRUE,T1088=TRUE),TRUE,FALSE)</f>
        <v>0</v>
      </c>
      <c r="S1088" s="182" t="b">
        <f>IF(OR(Q1088=TRUE,T1088=TRUE),TRUE,FALSE)</f>
        <v>0</v>
      </c>
      <c r="T1088" s="181" t="b">
        <f>COUNTIF('New Items'!$A$1:$A$175,A1088)&gt;0</f>
        <v>0</v>
      </c>
      <c r="U1088" s="181" t="b">
        <f>COUNTIF(Discontinued!$A$1:$A$150,A1088)&gt;0</f>
        <v>0</v>
      </c>
    </row>
    <row r="1089" spans="1:21" s="8" customFormat="1" ht="13.5" thickBot="1" x14ac:dyDescent="0.25">
      <c r="A1089" s="300" t="s">
        <v>3000</v>
      </c>
      <c r="B1089" s="301"/>
      <c r="C1089" s="301"/>
      <c r="D1089" s="301"/>
      <c r="E1089" s="301"/>
      <c r="F1089" s="301"/>
      <c r="G1089" s="301"/>
      <c r="H1089" s="301"/>
      <c r="I1089" s="301"/>
      <c r="J1089" s="301"/>
      <c r="K1089" s="301"/>
      <c r="L1089" s="302"/>
      <c r="M1089" s="179" t="s">
        <v>944</v>
      </c>
      <c r="N1089" s="179" t="s">
        <v>3135</v>
      </c>
      <c r="O1089" s="141">
        <f>AVERAGE(O1090:O1093)</f>
        <v>0</v>
      </c>
      <c r="P1089" s="181" t="b">
        <f>COUNTIF(P1090:P1093,TRUE)&gt;0</f>
        <v>0</v>
      </c>
      <c r="Q1089" s="181" t="b">
        <f>COUNTIF(Q1090:Q1093,TRUE)&gt;0</f>
        <v>0</v>
      </c>
      <c r="R1089" s="181" t="b">
        <f>COUNTIF(R1090:R1093,TRUE)&gt;0</f>
        <v>0</v>
      </c>
      <c r="S1089" s="181" t="b">
        <f>COUNTIF(S1090:S1093,TRUE)&gt;0</f>
        <v>0</v>
      </c>
      <c r="T1089" s="181" t="b">
        <f>COUNTIF(T1090:T1093,TRUE)&gt;0</f>
        <v>0</v>
      </c>
      <c r="U1089" s="249"/>
    </row>
    <row r="1090" spans="1:21" s="8" customFormat="1" ht="11.25" x14ac:dyDescent="0.2">
      <c r="A1090" s="152">
        <v>10001327</v>
      </c>
      <c r="B1090" s="10" t="s">
        <v>3002</v>
      </c>
      <c r="C1090" s="12" t="s">
        <v>946</v>
      </c>
      <c r="D1090" s="11" t="s">
        <v>941</v>
      </c>
      <c r="E1090" s="12" t="s">
        <v>761</v>
      </c>
      <c r="F1090" s="13">
        <v>15</v>
      </c>
      <c r="G1090" s="22">
        <f>Overview!$B$63</f>
        <v>24</v>
      </c>
      <c r="H1090" s="23">
        <f>G1090-I1090</f>
        <v>24</v>
      </c>
      <c r="I1090" s="114">
        <f>Overview!$E$63</f>
        <v>0</v>
      </c>
      <c r="J1090" s="24">
        <f>I1090/F1090</f>
        <v>0</v>
      </c>
      <c r="K1090" s="116">
        <f>Overview!$H$63</f>
        <v>0</v>
      </c>
      <c r="L1090" s="51" t="e">
        <f>(K1090-J1090)/K1090</f>
        <v>#DIV/0!</v>
      </c>
      <c r="M1090" s="179" t="s">
        <v>944</v>
      </c>
      <c r="N1090" s="179" t="s">
        <v>3135</v>
      </c>
      <c r="O1090" s="141">
        <f>I1090</f>
        <v>0</v>
      </c>
      <c r="P1090" s="181" t="b">
        <f>COUNTIF('Facility Data'!$A$1:$A$1500,"*"&amp;A1090&amp;"*")&gt;0</f>
        <v>0</v>
      </c>
      <c r="Q1090" s="181" t="b">
        <f>COUNTIF('Account Data'!$A$1:$A$1000,"*"&amp;A1090&amp;"*")&gt;0</f>
        <v>0</v>
      </c>
      <c r="R1090" s="182" t="b">
        <f>IF(OR(P1090=TRUE,T1090=TRUE),TRUE,FALSE)</f>
        <v>0</v>
      </c>
      <c r="S1090" s="182" t="b">
        <f>IF(OR(Q1090=TRUE,T1090=TRUE),TRUE,FALSE)</f>
        <v>0</v>
      </c>
      <c r="T1090" s="181" t="b">
        <f>COUNTIF('New Items'!$A$1:$A$175,A1090)&gt;0</f>
        <v>0</v>
      </c>
      <c r="U1090" s="181" t="b">
        <f>COUNTIF(Discontinued!$A$1:$A$150,A1090)&gt;0</f>
        <v>0</v>
      </c>
    </row>
    <row r="1091" spans="1:21" s="8" customFormat="1" ht="11.25" x14ac:dyDescent="0.2">
      <c r="A1091" s="152">
        <v>10001328</v>
      </c>
      <c r="B1091" s="10" t="s">
        <v>3003</v>
      </c>
      <c r="C1091" s="12" t="s">
        <v>947</v>
      </c>
      <c r="D1091" s="11" t="s">
        <v>942</v>
      </c>
      <c r="E1091" s="12" t="s">
        <v>761</v>
      </c>
      <c r="F1091" s="13">
        <v>15</v>
      </c>
      <c r="G1091" s="22">
        <f>Overview!$B$63</f>
        <v>24</v>
      </c>
      <c r="H1091" s="23">
        <f>G1091-I1091</f>
        <v>24</v>
      </c>
      <c r="I1091" s="114">
        <f>Overview!$E$63</f>
        <v>0</v>
      </c>
      <c r="J1091" s="24">
        <f>I1091/F1091</f>
        <v>0</v>
      </c>
      <c r="K1091" s="116">
        <f>Overview!$H$63</f>
        <v>0</v>
      </c>
      <c r="L1091" s="51" t="e">
        <f>(K1091-J1091)/K1091</f>
        <v>#DIV/0!</v>
      </c>
      <c r="M1091" s="179" t="s">
        <v>944</v>
      </c>
      <c r="N1091" s="179" t="s">
        <v>3135</v>
      </c>
      <c r="O1091" s="141">
        <f>I1091</f>
        <v>0</v>
      </c>
      <c r="P1091" s="181" t="b">
        <f>COUNTIF('Facility Data'!$A$1:$A$1500,"*"&amp;A1091&amp;"*")&gt;0</f>
        <v>0</v>
      </c>
      <c r="Q1091" s="181" t="b">
        <f>COUNTIF('Account Data'!$A$1:$A$1000,"*"&amp;A1091&amp;"*")&gt;0</f>
        <v>0</v>
      </c>
      <c r="R1091" s="182" t="b">
        <f>IF(OR(P1091=TRUE,T1091=TRUE),TRUE,FALSE)</f>
        <v>0</v>
      </c>
      <c r="S1091" s="182" t="b">
        <f>IF(OR(Q1091=TRUE,T1091=TRUE),TRUE,FALSE)</f>
        <v>0</v>
      </c>
      <c r="T1091" s="181" t="b">
        <f>COUNTIF('New Items'!$A$1:$A$175,A1091)&gt;0</f>
        <v>0</v>
      </c>
      <c r="U1091" s="181" t="b">
        <f>COUNTIF(Discontinued!$A$1:$A$150,A1091)&gt;0</f>
        <v>0</v>
      </c>
    </row>
    <row r="1092" spans="1:21" s="8" customFormat="1" ht="11.25" x14ac:dyDescent="0.2">
      <c r="A1092" s="152">
        <v>10001329</v>
      </c>
      <c r="B1092" s="10" t="s">
        <v>3831</v>
      </c>
      <c r="C1092" s="12" t="s">
        <v>2999</v>
      </c>
      <c r="D1092" s="11" t="s">
        <v>1697</v>
      </c>
      <c r="E1092" s="12" t="s">
        <v>761</v>
      </c>
      <c r="F1092" s="13">
        <v>15</v>
      </c>
      <c r="G1092" s="22">
        <f>Overview!$B$63</f>
        <v>24</v>
      </c>
      <c r="H1092" s="23">
        <f>G1092-I1092</f>
        <v>24</v>
      </c>
      <c r="I1092" s="114">
        <f>Overview!$E$63</f>
        <v>0</v>
      </c>
      <c r="J1092" s="24">
        <f>I1092/F1092</f>
        <v>0</v>
      </c>
      <c r="K1092" s="116">
        <f>Overview!$H$63</f>
        <v>0</v>
      </c>
      <c r="L1092" s="51" t="e">
        <f>(K1092-J1092)/K1092</f>
        <v>#DIV/0!</v>
      </c>
      <c r="M1092" s="179" t="s">
        <v>944</v>
      </c>
      <c r="N1092" s="179" t="s">
        <v>3135</v>
      </c>
      <c r="O1092" s="141">
        <f>I1092</f>
        <v>0</v>
      </c>
      <c r="P1092" s="181" t="b">
        <f>COUNTIF('Facility Data'!$A$1:$A$1500,"*"&amp;A1092&amp;"*")&gt;0</f>
        <v>0</v>
      </c>
      <c r="Q1092" s="181" t="b">
        <f>COUNTIF('Account Data'!$A$1:$A$1000,"*"&amp;A1092&amp;"*")&gt;0</f>
        <v>0</v>
      </c>
      <c r="R1092" s="182" t="b">
        <f>IF(OR(P1092=TRUE,T1092=TRUE),TRUE,FALSE)</f>
        <v>0</v>
      </c>
      <c r="S1092" s="182" t="b">
        <f>IF(OR(Q1092=TRUE,T1092=TRUE),TRUE,FALSE)</f>
        <v>0</v>
      </c>
      <c r="T1092" s="181" t="b">
        <f>COUNTIF('New Items'!$A$1:$A$175,A1092)&gt;0</f>
        <v>0</v>
      </c>
      <c r="U1092" s="181" t="b">
        <f>COUNTIF(Discontinued!$A$1:$A$150,A1092)&gt;0</f>
        <v>0</v>
      </c>
    </row>
    <row r="1093" spans="1:21" s="8" customFormat="1" ht="12" thickBot="1" x14ac:dyDescent="0.25">
      <c r="A1093" s="152">
        <v>10001326</v>
      </c>
      <c r="B1093" s="10" t="s">
        <v>3001</v>
      </c>
      <c r="C1093" s="12" t="s">
        <v>945</v>
      </c>
      <c r="D1093" s="11" t="s">
        <v>940</v>
      </c>
      <c r="E1093" s="12" t="s">
        <v>761</v>
      </c>
      <c r="F1093" s="13">
        <v>15</v>
      </c>
      <c r="G1093" s="22">
        <f>Overview!$B$63</f>
        <v>24</v>
      </c>
      <c r="H1093" s="114">
        <f>G1093-I1093</f>
        <v>24</v>
      </c>
      <c r="I1093" s="114">
        <f>Overview!$E$63</f>
        <v>0</v>
      </c>
      <c r="J1093" s="115">
        <f>I1093/F1093</f>
        <v>0</v>
      </c>
      <c r="K1093" s="116">
        <f>Overview!$H$63</f>
        <v>0</v>
      </c>
      <c r="L1093" s="117" t="e">
        <f>(K1093-J1093)/K1093</f>
        <v>#DIV/0!</v>
      </c>
      <c r="M1093" s="179" t="s">
        <v>944</v>
      </c>
      <c r="N1093" s="179" t="s">
        <v>3135</v>
      </c>
      <c r="O1093" s="141">
        <f>I1093</f>
        <v>0</v>
      </c>
      <c r="P1093" s="181" t="b">
        <f>COUNTIF('Facility Data'!$A$1:$A$1500,"*"&amp;A1093&amp;"*")&gt;0</f>
        <v>0</v>
      </c>
      <c r="Q1093" s="181" t="b">
        <f>COUNTIF('Account Data'!$A$1:$A$1000,"*"&amp;A1093&amp;"*")&gt;0</f>
        <v>0</v>
      </c>
      <c r="R1093" s="182" t="b">
        <f>IF(OR(P1093=TRUE,T1093=TRUE),TRUE,FALSE)</f>
        <v>0</v>
      </c>
      <c r="S1093" s="182" t="b">
        <f>IF(OR(Q1093=TRUE,T1093=TRUE),TRUE,FALSE)</f>
        <v>0</v>
      </c>
      <c r="T1093" s="181" t="b">
        <f>COUNTIF('New Items'!$A$1:$A$175,A1093)&gt;0</f>
        <v>0</v>
      </c>
      <c r="U1093" s="181" t="b">
        <f>COUNTIF(Discontinued!$A$1:$A$150,A1093)&gt;0</f>
        <v>0</v>
      </c>
    </row>
    <row r="1094" spans="1:21" s="8" customFormat="1" ht="13.5" thickBot="1" x14ac:dyDescent="0.25">
      <c r="A1094" s="300" t="s">
        <v>3305</v>
      </c>
      <c r="B1094" s="301"/>
      <c r="C1094" s="301"/>
      <c r="D1094" s="301"/>
      <c r="E1094" s="301"/>
      <c r="F1094" s="301"/>
      <c r="G1094" s="301"/>
      <c r="H1094" s="301"/>
      <c r="I1094" s="301"/>
      <c r="J1094" s="301"/>
      <c r="K1094" s="301"/>
      <c r="L1094" s="302"/>
      <c r="M1094" s="179"/>
      <c r="N1094" s="179" t="s">
        <v>3143</v>
      </c>
      <c r="O1094" s="141">
        <f>AVERAGE(O1095:O1097)</f>
        <v>0</v>
      </c>
      <c r="P1094" s="181" t="b">
        <f>COUNTIF(P1095:P1097,TRUE)&gt;0</f>
        <v>0</v>
      </c>
      <c r="Q1094" s="181" t="b">
        <f>COUNTIF(Q1095:Q1097,TRUE)&gt;0</f>
        <v>0</v>
      </c>
      <c r="R1094" s="181" t="b">
        <f>COUNTIF(R1095:R1097,TRUE)&gt;0</f>
        <v>0</v>
      </c>
      <c r="S1094" s="181" t="b">
        <f>COUNTIF(S1095:S1097,TRUE)&gt;0</f>
        <v>0</v>
      </c>
      <c r="T1094" s="181" t="b">
        <f>COUNTIF(T1095:T1097,TRUE)&gt;0</f>
        <v>0</v>
      </c>
      <c r="U1094" s="249"/>
    </row>
    <row r="1095" spans="1:21" s="8" customFormat="1" ht="11.25" x14ac:dyDescent="0.2">
      <c r="A1095" s="152">
        <v>10002577</v>
      </c>
      <c r="B1095" s="10" t="s">
        <v>2508</v>
      </c>
      <c r="C1095" s="12" t="s">
        <v>2509</v>
      </c>
      <c r="D1095" s="11" t="s">
        <v>693</v>
      </c>
      <c r="E1095" s="12" t="s">
        <v>786</v>
      </c>
      <c r="F1095" s="13">
        <v>4</v>
      </c>
      <c r="G1095" s="98">
        <f>Overview!$B$86</f>
        <v>13.75</v>
      </c>
      <c r="H1095" s="99">
        <f>G1095-I1095</f>
        <v>13.75</v>
      </c>
      <c r="I1095" s="169">
        <f>Overview!$E$86</f>
        <v>0</v>
      </c>
      <c r="J1095" s="100">
        <f>I1095/F1095</f>
        <v>0</v>
      </c>
      <c r="K1095" s="171">
        <f>Overview!$H$86</f>
        <v>0</v>
      </c>
      <c r="L1095" s="102" t="e">
        <f>(K1095-J1095)/K1095</f>
        <v>#DIV/0!</v>
      </c>
      <c r="M1095" s="179"/>
      <c r="N1095" s="179" t="s">
        <v>3143</v>
      </c>
      <c r="O1095" s="141">
        <f>I1095</f>
        <v>0</v>
      </c>
      <c r="P1095" s="181" t="b">
        <f>COUNTIF('Facility Data'!$A$1:$A$1500,"*"&amp;A1095&amp;"*")&gt;0</f>
        <v>0</v>
      </c>
      <c r="Q1095" s="181" t="b">
        <f>COUNTIF('Account Data'!$A$1:$A$1000,"*"&amp;A1095&amp;"*")&gt;0</f>
        <v>0</v>
      </c>
      <c r="R1095" s="182" t="b">
        <f>IF(OR(P1095=TRUE,T1095=TRUE),TRUE,FALSE)</f>
        <v>0</v>
      </c>
      <c r="S1095" s="182" t="b">
        <f>IF(OR(Q1095=TRUE,T1095=TRUE),TRUE,FALSE)</f>
        <v>0</v>
      </c>
      <c r="T1095" s="181" t="b">
        <f>COUNTIF('New Items'!$A$1:$A$175,A1095)&gt;0</f>
        <v>0</v>
      </c>
      <c r="U1095" s="181" t="b">
        <f>COUNTIF(Discontinued!$A$1:$A$150,A1095)&gt;0</f>
        <v>0</v>
      </c>
    </row>
    <row r="1096" spans="1:21" s="8" customFormat="1" ht="11.25" x14ac:dyDescent="0.2">
      <c r="A1096" s="152">
        <v>10002695</v>
      </c>
      <c r="B1096" s="10" t="s">
        <v>2506</v>
      </c>
      <c r="C1096" s="12" t="s">
        <v>2507</v>
      </c>
      <c r="D1096" s="11" t="s">
        <v>691</v>
      </c>
      <c r="E1096" s="12" t="s">
        <v>786</v>
      </c>
      <c r="F1096" s="13">
        <v>4</v>
      </c>
      <c r="G1096" s="98">
        <f>Overview!$B$86</f>
        <v>13.75</v>
      </c>
      <c r="H1096" s="99">
        <f>G1096-I1096</f>
        <v>13.75</v>
      </c>
      <c r="I1096" s="169">
        <f>Overview!$E$86</f>
        <v>0</v>
      </c>
      <c r="J1096" s="100">
        <f>I1096/F1096</f>
        <v>0</v>
      </c>
      <c r="K1096" s="171">
        <f>Overview!$H$86</f>
        <v>0</v>
      </c>
      <c r="L1096" s="102" t="e">
        <f>(K1096-J1096)/K1096</f>
        <v>#DIV/0!</v>
      </c>
      <c r="M1096" s="179"/>
      <c r="N1096" s="179" t="s">
        <v>3143</v>
      </c>
      <c r="O1096" s="141">
        <f>I1096</f>
        <v>0</v>
      </c>
      <c r="P1096" s="181" t="b">
        <f>COUNTIF('Facility Data'!$A$1:$A$1500,"*"&amp;A1096&amp;"*")&gt;0</f>
        <v>0</v>
      </c>
      <c r="Q1096" s="181" t="b">
        <f>COUNTIF('Account Data'!$A$1:$A$1000,"*"&amp;A1096&amp;"*")&gt;0</f>
        <v>0</v>
      </c>
      <c r="R1096" s="182" t="b">
        <f>IF(OR(P1096=TRUE,T1096=TRUE),TRUE,FALSE)</f>
        <v>0</v>
      </c>
      <c r="S1096" s="182" t="b">
        <f>IF(OR(Q1096=TRUE,T1096=TRUE),TRUE,FALSE)</f>
        <v>0</v>
      </c>
      <c r="T1096" s="181" t="b">
        <f>COUNTIF('New Items'!$A$1:$A$175,A1096)&gt;0</f>
        <v>0</v>
      </c>
      <c r="U1096" s="181" t="b">
        <f>COUNTIF(Discontinued!$A$1:$A$150,A1096)&gt;0</f>
        <v>0</v>
      </c>
    </row>
    <row r="1097" spans="1:21" s="8" customFormat="1" ht="12" thickBot="1" x14ac:dyDescent="0.25">
      <c r="A1097" s="152">
        <v>10002588</v>
      </c>
      <c r="B1097" s="10" t="s">
        <v>2504</v>
      </c>
      <c r="C1097" s="12" t="s">
        <v>2505</v>
      </c>
      <c r="D1097" s="11" t="s">
        <v>1326</v>
      </c>
      <c r="E1097" s="12" t="s">
        <v>786</v>
      </c>
      <c r="F1097" s="13">
        <v>4</v>
      </c>
      <c r="G1097" s="98">
        <f>Overview!$B$86</f>
        <v>13.75</v>
      </c>
      <c r="H1097" s="99">
        <f>G1097-I1097</f>
        <v>13.75</v>
      </c>
      <c r="I1097" s="169">
        <f>Overview!$E$86</f>
        <v>0</v>
      </c>
      <c r="J1097" s="100">
        <f>I1097/F1097</f>
        <v>0</v>
      </c>
      <c r="K1097" s="171">
        <f>Overview!$H$86</f>
        <v>0</v>
      </c>
      <c r="L1097" s="102" t="e">
        <f>(K1097-J1097)/K1097</f>
        <v>#DIV/0!</v>
      </c>
      <c r="M1097" s="179"/>
      <c r="N1097" s="179" t="s">
        <v>3143</v>
      </c>
      <c r="O1097" s="141">
        <f>I1097</f>
        <v>0</v>
      </c>
      <c r="P1097" s="181" t="b">
        <f>COUNTIF('Facility Data'!$A$1:$A$1500,"*"&amp;A1097&amp;"*")&gt;0</f>
        <v>0</v>
      </c>
      <c r="Q1097" s="181" t="b">
        <f>COUNTIF('Account Data'!$A$1:$A$1000,"*"&amp;A1097&amp;"*")&gt;0</f>
        <v>0</v>
      </c>
      <c r="R1097" s="182" t="b">
        <f>IF(OR(P1097=TRUE,T1097=TRUE),TRUE,FALSE)</f>
        <v>0</v>
      </c>
      <c r="S1097" s="182" t="b">
        <f>IF(OR(Q1097=TRUE,T1097=TRUE),TRUE,FALSE)</f>
        <v>0</v>
      </c>
      <c r="T1097" s="181" t="b">
        <f>COUNTIF('New Items'!$A$1:$A$175,A1097)&gt;0</f>
        <v>0</v>
      </c>
      <c r="U1097" s="181" t="b">
        <f>COUNTIF(Discontinued!$A$1:$A$150,A1097)&gt;0</f>
        <v>0</v>
      </c>
    </row>
    <row r="1098" spans="1:21" s="8" customFormat="1" ht="13.5" thickBot="1" x14ac:dyDescent="0.25">
      <c r="A1098" s="300" t="s">
        <v>3142</v>
      </c>
      <c r="B1098" s="301"/>
      <c r="C1098" s="301"/>
      <c r="D1098" s="301"/>
      <c r="E1098" s="301"/>
      <c r="F1098" s="301"/>
      <c r="G1098" s="301"/>
      <c r="H1098" s="301"/>
      <c r="I1098" s="301"/>
      <c r="J1098" s="301"/>
      <c r="K1098" s="301"/>
      <c r="L1098" s="302"/>
      <c r="M1098" s="179"/>
      <c r="N1098" s="179" t="s">
        <v>3142</v>
      </c>
      <c r="O1098" s="141">
        <f>AVERAGE(O1099:O1111)</f>
        <v>0</v>
      </c>
      <c r="P1098" s="181" t="b">
        <f>COUNTIF(P1099:P1111,TRUE)&gt;0</f>
        <v>0</v>
      </c>
      <c r="Q1098" s="181" t="b">
        <f>COUNTIF(Q1099:Q1111,TRUE)&gt;0</f>
        <v>1</v>
      </c>
      <c r="R1098" s="181" t="b">
        <f>COUNTIF(R1099:R1111,TRUE)&gt;0</f>
        <v>0</v>
      </c>
      <c r="S1098" s="181" t="b">
        <f>COUNTIF(S1099:S1111,TRUE)&gt;0</f>
        <v>1</v>
      </c>
      <c r="T1098" s="181" t="b">
        <f>COUNTIF(T1099:T1111,TRUE)&gt;0</f>
        <v>0</v>
      </c>
      <c r="U1098" s="249"/>
    </row>
    <row r="1099" spans="1:21" s="8" customFormat="1" ht="11.25" x14ac:dyDescent="0.2">
      <c r="A1099" s="152">
        <v>10003020</v>
      </c>
      <c r="B1099" s="10" t="s">
        <v>391</v>
      </c>
      <c r="C1099" s="12" t="s">
        <v>392</v>
      </c>
      <c r="D1099" s="11" t="s">
        <v>2488</v>
      </c>
      <c r="E1099" s="12" t="s">
        <v>779</v>
      </c>
      <c r="F1099" s="13">
        <v>24</v>
      </c>
      <c r="G1099" s="22">
        <f>Overview!$B$85</f>
        <v>14</v>
      </c>
      <c r="H1099" s="23">
        <f t="shared" ref="H1099:H1111" si="373">G1099-I1099</f>
        <v>14</v>
      </c>
      <c r="I1099" s="114">
        <f>Overview!$E$85</f>
        <v>0</v>
      </c>
      <c r="J1099" s="24">
        <f t="shared" ref="J1099:J1111" si="374">I1099/F1099</f>
        <v>0</v>
      </c>
      <c r="K1099" s="116">
        <f>Overview!$H$85</f>
        <v>0</v>
      </c>
      <c r="L1099" s="51" t="e">
        <f t="shared" ref="L1099:L1111" si="375">(K1099-J1099)/K1099</f>
        <v>#DIV/0!</v>
      </c>
      <c r="M1099" s="179"/>
      <c r="N1099" s="179" t="s">
        <v>3142</v>
      </c>
      <c r="O1099" s="141">
        <f t="shared" ref="O1099:O1111" si="376">I1099</f>
        <v>0</v>
      </c>
      <c r="P1099" s="181" t="b">
        <f>COUNTIF('Facility Data'!$A$1:$A$1500,"*"&amp;A1099&amp;"*")&gt;0</f>
        <v>0</v>
      </c>
      <c r="Q1099" s="181" t="b">
        <f>COUNTIF('Account Data'!$A$1:$A$1000,"*"&amp;A1099&amp;"*")&gt;0</f>
        <v>1</v>
      </c>
      <c r="R1099" s="182" t="b">
        <f t="shared" ref="R1099:R1111" si="377">IF(OR(P1099=TRUE,T1099=TRUE),TRUE,FALSE)</f>
        <v>0</v>
      </c>
      <c r="S1099" s="182" t="b">
        <f t="shared" ref="S1099:S1111" si="378">IF(OR(Q1099=TRUE,T1099=TRUE),TRUE,FALSE)</f>
        <v>1</v>
      </c>
      <c r="T1099" s="181" t="b">
        <f>COUNTIF('New Items'!$A$1:$A$175,A1099)&gt;0</f>
        <v>0</v>
      </c>
      <c r="U1099" s="181" t="b">
        <f>COUNTIF(Discontinued!$A$1:$A$150,A1099)&gt;0</f>
        <v>0</v>
      </c>
    </row>
    <row r="1100" spans="1:21" s="8" customFormat="1" ht="11.25" x14ac:dyDescent="0.2">
      <c r="A1100" s="152">
        <v>10003021</v>
      </c>
      <c r="B1100" s="10" t="s">
        <v>395</v>
      </c>
      <c r="C1100" s="12" t="s">
        <v>396</v>
      </c>
      <c r="D1100" s="11" t="s">
        <v>2490</v>
      </c>
      <c r="E1100" s="12" t="s">
        <v>779</v>
      </c>
      <c r="F1100" s="13">
        <v>24</v>
      </c>
      <c r="G1100" s="22">
        <f>Overview!$B$85</f>
        <v>14</v>
      </c>
      <c r="H1100" s="23">
        <f t="shared" si="373"/>
        <v>14</v>
      </c>
      <c r="I1100" s="114">
        <f>Overview!$E$85</f>
        <v>0</v>
      </c>
      <c r="J1100" s="24">
        <f t="shared" si="374"/>
        <v>0</v>
      </c>
      <c r="K1100" s="116">
        <f>Overview!$H$85</f>
        <v>0</v>
      </c>
      <c r="L1100" s="51" t="e">
        <f t="shared" si="375"/>
        <v>#DIV/0!</v>
      </c>
      <c r="M1100" s="179"/>
      <c r="N1100" s="179" t="s">
        <v>3142</v>
      </c>
      <c r="O1100" s="141">
        <f t="shared" si="376"/>
        <v>0</v>
      </c>
      <c r="P1100" s="181" t="b">
        <f>COUNTIF('Facility Data'!$A$1:$A$1500,"*"&amp;A1100&amp;"*")&gt;0</f>
        <v>0</v>
      </c>
      <c r="Q1100" s="181" t="b">
        <f>COUNTIF('Account Data'!$A$1:$A$1000,"*"&amp;A1100&amp;"*")&gt;0</f>
        <v>1</v>
      </c>
      <c r="R1100" s="182" t="b">
        <f t="shared" si="377"/>
        <v>0</v>
      </c>
      <c r="S1100" s="182" t="b">
        <f t="shared" si="378"/>
        <v>1</v>
      </c>
      <c r="T1100" s="181" t="b">
        <f>COUNTIF('New Items'!$A$1:$A$175,A1100)&gt;0</f>
        <v>0</v>
      </c>
      <c r="U1100" s="181" t="b">
        <f>COUNTIF(Discontinued!$A$1:$A$150,A1100)&gt;0</f>
        <v>0</v>
      </c>
    </row>
    <row r="1101" spans="1:21" s="8" customFormat="1" ht="11.25" x14ac:dyDescent="0.2">
      <c r="A1101" s="152">
        <v>10003018</v>
      </c>
      <c r="B1101" s="10" t="s">
        <v>393</v>
      </c>
      <c r="C1101" s="12" t="s">
        <v>394</v>
      </c>
      <c r="D1101" s="11" t="s">
        <v>2489</v>
      </c>
      <c r="E1101" s="12" t="s">
        <v>779</v>
      </c>
      <c r="F1101" s="13">
        <v>24</v>
      </c>
      <c r="G1101" s="22">
        <f>Overview!$B$85</f>
        <v>14</v>
      </c>
      <c r="H1101" s="23">
        <f t="shared" si="373"/>
        <v>14</v>
      </c>
      <c r="I1101" s="114">
        <f>Overview!$E$85</f>
        <v>0</v>
      </c>
      <c r="J1101" s="24">
        <f t="shared" si="374"/>
        <v>0</v>
      </c>
      <c r="K1101" s="116">
        <f>Overview!$H$85</f>
        <v>0</v>
      </c>
      <c r="L1101" s="51" t="e">
        <f t="shared" si="375"/>
        <v>#DIV/0!</v>
      </c>
      <c r="M1101" s="179"/>
      <c r="N1101" s="179" t="s">
        <v>3142</v>
      </c>
      <c r="O1101" s="141">
        <f t="shared" si="376"/>
        <v>0</v>
      </c>
      <c r="P1101" s="181" t="b">
        <f>COUNTIF('Facility Data'!$A$1:$A$1500,"*"&amp;A1101&amp;"*")&gt;0</f>
        <v>0</v>
      </c>
      <c r="Q1101" s="181" t="b">
        <f>COUNTIF('Account Data'!$A$1:$A$1000,"*"&amp;A1101&amp;"*")&gt;0</f>
        <v>1</v>
      </c>
      <c r="R1101" s="182" t="b">
        <f t="shared" si="377"/>
        <v>0</v>
      </c>
      <c r="S1101" s="182" t="b">
        <f t="shared" si="378"/>
        <v>1</v>
      </c>
      <c r="T1101" s="181" t="b">
        <f>COUNTIF('New Items'!$A$1:$A$175,A1101)&gt;0</f>
        <v>0</v>
      </c>
      <c r="U1101" s="181" t="b">
        <f>COUNTIF(Discontinued!$A$1:$A$150,A1101)&gt;0</f>
        <v>0</v>
      </c>
    </row>
    <row r="1102" spans="1:21" s="8" customFormat="1" ht="11.25" x14ac:dyDescent="0.2">
      <c r="A1102" s="152">
        <v>10003019</v>
      </c>
      <c r="B1102" s="10" t="s">
        <v>397</v>
      </c>
      <c r="C1102" s="12" t="s">
        <v>398</v>
      </c>
      <c r="D1102" s="11" t="s">
        <v>2491</v>
      </c>
      <c r="E1102" s="12" t="s">
        <v>779</v>
      </c>
      <c r="F1102" s="13">
        <v>24</v>
      </c>
      <c r="G1102" s="22">
        <f>Overview!$B$85</f>
        <v>14</v>
      </c>
      <c r="H1102" s="23">
        <f t="shared" si="373"/>
        <v>14</v>
      </c>
      <c r="I1102" s="114">
        <f>Overview!$E$85</f>
        <v>0</v>
      </c>
      <c r="J1102" s="24">
        <f t="shared" si="374"/>
        <v>0</v>
      </c>
      <c r="K1102" s="116">
        <f>Overview!$H$85</f>
        <v>0</v>
      </c>
      <c r="L1102" s="51" t="e">
        <f t="shared" si="375"/>
        <v>#DIV/0!</v>
      </c>
      <c r="M1102" s="179"/>
      <c r="N1102" s="179" t="s">
        <v>3142</v>
      </c>
      <c r="O1102" s="141">
        <f t="shared" si="376"/>
        <v>0</v>
      </c>
      <c r="P1102" s="181" t="b">
        <f>COUNTIF('Facility Data'!$A$1:$A$1500,"*"&amp;A1102&amp;"*")&gt;0</f>
        <v>0</v>
      </c>
      <c r="Q1102" s="181" t="b">
        <f>COUNTIF('Account Data'!$A$1:$A$1000,"*"&amp;A1102&amp;"*")&gt;0</f>
        <v>1</v>
      </c>
      <c r="R1102" s="182" t="b">
        <f t="shared" si="377"/>
        <v>0</v>
      </c>
      <c r="S1102" s="182" t="b">
        <f t="shared" si="378"/>
        <v>1</v>
      </c>
      <c r="T1102" s="181" t="b">
        <f>COUNTIF('New Items'!$A$1:$A$175,A1102)&gt;0</f>
        <v>0</v>
      </c>
      <c r="U1102" s="181" t="b">
        <f>COUNTIF(Discontinued!$A$1:$A$150,A1102)&gt;0</f>
        <v>0</v>
      </c>
    </row>
    <row r="1103" spans="1:21" s="8" customFormat="1" ht="11.25" x14ac:dyDescent="0.2">
      <c r="A1103" s="152">
        <v>10074467</v>
      </c>
      <c r="B1103" s="10" t="s">
        <v>1446</v>
      </c>
      <c r="C1103" s="12" t="s">
        <v>1447</v>
      </c>
      <c r="D1103" s="11" t="s">
        <v>689</v>
      </c>
      <c r="E1103" s="12" t="s">
        <v>779</v>
      </c>
      <c r="F1103" s="13">
        <v>24</v>
      </c>
      <c r="G1103" s="22">
        <f>Overview!$B$85</f>
        <v>14</v>
      </c>
      <c r="H1103" s="23">
        <f t="shared" si="373"/>
        <v>14</v>
      </c>
      <c r="I1103" s="114">
        <f>Overview!$E$85</f>
        <v>0</v>
      </c>
      <c r="J1103" s="24">
        <f t="shared" si="374"/>
        <v>0</v>
      </c>
      <c r="K1103" s="116">
        <f>Overview!$H$85</f>
        <v>0</v>
      </c>
      <c r="L1103" s="51" t="e">
        <f t="shared" si="375"/>
        <v>#DIV/0!</v>
      </c>
      <c r="M1103" s="179"/>
      <c r="N1103" s="179" t="s">
        <v>3142</v>
      </c>
      <c r="O1103" s="141">
        <f t="shared" si="376"/>
        <v>0</v>
      </c>
      <c r="P1103" s="181" t="b">
        <f>COUNTIF('Facility Data'!$A$1:$A$1500,"*"&amp;A1103&amp;"*")&gt;0</f>
        <v>0</v>
      </c>
      <c r="Q1103" s="181" t="b">
        <f>COUNTIF('Account Data'!$A$1:$A$1000,"*"&amp;A1103&amp;"*")&gt;0</f>
        <v>0</v>
      </c>
      <c r="R1103" s="182" t="b">
        <f t="shared" si="377"/>
        <v>0</v>
      </c>
      <c r="S1103" s="182" t="b">
        <f t="shared" si="378"/>
        <v>0</v>
      </c>
      <c r="T1103" s="181" t="b">
        <f>COUNTIF('New Items'!$A$1:$A$175,A1103)&gt;0</f>
        <v>0</v>
      </c>
      <c r="U1103" s="181" t="b">
        <f>COUNTIF(Discontinued!$A$1:$A$150,A1103)&gt;0</f>
        <v>0</v>
      </c>
    </row>
    <row r="1104" spans="1:21" s="8" customFormat="1" ht="11.25" x14ac:dyDescent="0.2">
      <c r="A1104" s="152">
        <v>10002816</v>
      </c>
      <c r="B1104" s="10" t="s">
        <v>2494</v>
      </c>
      <c r="C1104" s="12" t="s">
        <v>2495</v>
      </c>
      <c r="D1104" s="11" t="s">
        <v>1327</v>
      </c>
      <c r="E1104" s="12" t="s">
        <v>779</v>
      </c>
      <c r="F1104" s="13">
        <v>24</v>
      </c>
      <c r="G1104" s="22">
        <f>Overview!$B$85</f>
        <v>14</v>
      </c>
      <c r="H1104" s="23">
        <f t="shared" si="373"/>
        <v>14</v>
      </c>
      <c r="I1104" s="114">
        <f>Overview!$E$85</f>
        <v>0</v>
      </c>
      <c r="J1104" s="24">
        <f t="shared" si="374"/>
        <v>0</v>
      </c>
      <c r="K1104" s="116">
        <f>Overview!$H$85</f>
        <v>0</v>
      </c>
      <c r="L1104" s="51" t="e">
        <f t="shared" si="375"/>
        <v>#DIV/0!</v>
      </c>
      <c r="M1104" s="179"/>
      <c r="N1104" s="179" t="s">
        <v>3142</v>
      </c>
      <c r="O1104" s="141">
        <f t="shared" si="376"/>
        <v>0</v>
      </c>
      <c r="P1104" s="181" t="b">
        <f>COUNTIF('Facility Data'!$A$1:$A$1500,"*"&amp;A1104&amp;"*")&gt;0</f>
        <v>0</v>
      </c>
      <c r="Q1104" s="181" t="b">
        <f>COUNTIF('Account Data'!$A$1:$A$1000,"*"&amp;A1104&amp;"*")&gt;0</f>
        <v>0</v>
      </c>
      <c r="R1104" s="182" t="b">
        <f t="shared" si="377"/>
        <v>0</v>
      </c>
      <c r="S1104" s="182" t="b">
        <f t="shared" si="378"/>
        <v>0</v>
      </c>
      <c r="T1104" s="181" t="b">
        <f>COUNTIF('New Items'!$A$1:$A$175,A1104)&gt;0</f>
        <v>0</v>
      </c>
      <c r="U1104" s="181" t="b">
        <f>COUNTIF(Discontinued!$A$1:$A$150,A1104)&gt;0</f>
        <v>0</v>
      </c>
    </row>
    <row r="1105" spans="1:21" s="8" customFormat="1" ht="11.25" x14ac:dyDescent="0.2">
      <c r="A1105" s="152">
        <v>10074474</v>
      </c>
      <c r="B1105" s="10" t="s">
        <v>1444</v>
      </c>
      <c r="C1105" s="12" t="s">
        <v>1445</v>
      </c>
      <c r="D1105" s="11" t="s">
        <v>684</v>
      </c>
      <c r="E1105" s="12" t="s">
        <v>779</v>
      </c>
      <c r="F1105" s="13">
        <v>24</v>
      </c>
      <c r="G1105" s="22">
        <f>Overview!$B$85</f>
        <v>14</v>
      </c>
      <c r="H1105" s="23">
        <f t="shared" si="373"/>
        <v>14</v>
      </c>
      <c r="I1105" s="114">
        <f>Overview!$E$85</f>
        <v>0</v>
      </c>
      <c r="J1105" s="24">
        <f t="shared" si="374"/>
        <v>0</v>
      </c>
      <c r="K1105" s="116">
        <f>Overview!$H$85</f>
        <v>0</v>
      </c>
      <c r="L1105" s="51" t="e">
        <f t="shared" si="375"/>
        <v>#DIV/0!</v>
      </c>
      <c r="M1105" s="179"/>
      <c r="N1105" s="179" t="s">
        <v>3142</v>
      </c>
      <c r="O1105" s="141">
        <f t="shared" si="376"/>
        <v>0</v>
      </c>
      <c r="P1105" s="181" t="b">
        <f>COUNTIF('Facility Data'!$A$1:$A$1500,"*"&amp;A1105&amp;"*")&gt;0</f>
        <v>0</v>
      </c>
      <c r="Q1105" s="181" t="b">
        <f>COUNTIF('Account Data'!$A$1:$A$1000,"*"&amp;A1105&amp;"*")&gt;0</f>
        <v>0</v>
      </c>
      <c r="R1105" s="182" t="b">
        <f t="shared" si="377"/>
        <v>0</v>
      </c>
      <c r="S1105" s="182" t="b">
        <f t="shared" si="378"/>
        <v>0</v>
      </c>
      <c r="T1105" s="181" t="b">
        <f>COUNTIF('New Items'!$A$1:$A$175,A1105)&gt;0</f>
        <v>0</v>
      </c>
      <c r="U1105" s="181" t="b">
        <f>COUNTIF(Discontinued!$A$1:$A$150,A1105)&gt;0</f>
        <v>0</v>
      </c>
    </row>
    <row r="1106" spans="1:21" s="8" customFormat="1" ht="11.25" x14ac:dyDescent="0.2">
      <c r="A1106" s="152">
        <v>10002813</v>
      </c>
      <c r="B1106" s="10" t="s">
        <v>2500</v>
      </c>
      <c r="C1106" s="12" t="s">
        <v>2501</v>
      </c>
      <c r="D1106" s="11" t="s">
        <v>691</v>
      </c>
      <c r="E1106" s="12" t="s">
        <v>779</v>
      </c>
      <c r="F1106" s="13">
        <v>24</v>
      </c>
      <c r="G1106" s="22">
        <f>Overview!$B$85</f>
        <v>14</v>
      </c>
      <c r="H1106" s="23">
        <f t="shared" si="373"/>
        <v>14</v>
      </c>
      <c r="I1106" s="114">
        <f>Overview!$E$85</f>
        <v>0</v>
      </c>
      <c r="J1106" s="24">
        <f t="shared" si="374"/>
        <v>0</v>
      </c>
      <c r="K1106" s="116">
        <f>Overview!$H$85</f>
        <v>0</v>
      </c>
      <c r="L1106" s="51" t="e">
        <f t="shared" si="375"/>
        <v>#DIV/0!</v>
      </c>
      <c r="M1106" s="179"/>
      <c r="N1106" s="179" t="s">
        <v>3142</v>
      </c>
      <c r="O1106" s="141">
        <f t="shared" si="376"/>
        <v>0</v>
      </c>
      <c r="P1106" s="181" t="b">
        <f>COUNTIF('Facility Data'!$A$1:$A$1500,"*"&amp;A1106&amp;"*")&gt;0</f>
        <v>0</v>
      </c>
      <c r="Q1106" s="181" t="b">
        <f>COUNTIF('Account Data'!$A$1:$A$1000,"*"&amp;A1106&amp;"*")&gt;0</f>
        <v>0</v>
      </c>
      <c r="R1106" s="182" t="b">
        <f t="shared" si="377"/>
        <v>0</v>
      </c>
      <c r="S1106" s="182" t="b">
        <f t="shared" si="378"/>
        <v>0</v>
      </c>
      <c r="T1106" s="181" t="b">
        <f>COUNTIF('New Items'!$A$1:$A$175,A1106)&gt;0</f>
        <v>0</v>
      </c>
      <c r="U1106" s="181" t="b">
        <f>COUNTIF(Discontinued!$A$1:$A$150,A1106)&gt;0</f>
        <v>0</v>
      </c>
    </row>
    <row r="1107" spans="1:21" s="8" customFormat="1" ht="11.25" x14ac:dyDescent="0.2">
      <c r="A1107" s="152">
        <v>10002815</v>
      </c>
      <c r="B1107" s="10" t="s">
        <v>2492</v>
      </c>
      <c r="C1107" s="12" t="s">
        <v>2493</v>
      </c>
      <c r="D1107" s="11" t="s">
        <v>1326</v>
      </c>
      <c r="E1107" s="12" t="s">
        <v>779</v>
      </c>
      <c r="F1107" s="13">
        <v>24</v>
      </c>
      <c r="G1107" s="22">
        <f>Overview!$B$85</f>
        <v>14</v>
      </c>
      <c r="H1107" s="23">
        <f t="shared" si="373"/>
        <v>14</v>
      </c>
      <c r="I1107" s="114">
        <f>Overview!$E$85</f>
        <v>0</v>
      </c>
      <c r="J1107" s="24">
        <f t="shared" si="374"/>
        <v>0</v>
      </c>
      <c r="K1107" s="116">
        <f>Overview!$H$85</f>
        <v>0</v>
      </c>
      <c r="L1107" s="51" t="e">
        <f t="shared" si="375"/>
        <v>#DIV/0!</v>
      </c>
      <c r="M1107" s="179"/>
      <c r="N1107" s="179" t="s">
        <v>3142</v>
      </c>
      <c r="O1107" s="141">
        <f t="shared" si="376"/>
        <v>0</v>
      </c>
      <c r="P1107" s="181" t="b">
        <f>COUNTIF('Facility Data'!$A$1:$A$1500,"*"&amp;A1107&amp;"*")&gt;0</f>
        <v>0</v>
      </c>
      <c r="Q1107" s="181" t="b">
        <f>COUNTIF('Account Data'!$A$1:$A$1000,"*"&amp;A1107&amp;"*")&gt;0</f>
        <v>0</v>
      </c>
      <c r="R1107" s="182" t="b">
        <f t="shared" si="377"/>
        <v>0</v>
      </c>
      <c r="S1107" s="182" t="b">
        <f t="shared" si="378"/>
        <v>0</v>
      </c>
      <c r="T1107" s="181" t="b">
        <f>COUNTIF('New Items'!$A$1:$A$175,A1107)&gt;0</f>
        <v>0</v>
      </c>
      <c r="U1107" s="181" t="b">
        <f>COUNTIF(Discontinued!$A$1:$A$150,A1107)&gt;0</f>
        <v>0</v>
      </c>
    </row>
    <row r="1108" spans="1:21" s="8" customFormat="1" ht="11.25" x14ac:dyDescent="0.2">
      <c r="A1108" s="152">
        <v>10002814</v>
      </c>
      <c r="B1108" s="10" t="s">
        <v>2502</v>
      </c>
      <c r="C1108" s="12" t="s">
        <v>2503</v>
      </c>
      <c r="D1108" s="11" t="s">
        <v>692</v>
      </c>
      <c r="E1108" s="12" t="s">
        <v>779</v>
      </c>
      <c r="F1108" s="13">
        <v>24</v>
      </c>
      <c r="G1108" s="22">
        <f>Overview!$B$85</f>
        <v>14</v>
      </c>
      <c r="H1108" s="23">
        <f t="shared" si="373"/>
        <v>14</v>
      </c>
      <c r="I1108" s="114">
        <f>Overview!$E$85</f>
        <v>0</v>
      </c>
      <c r="J1108" s="24">
        <f t="shared" si="374"/>
        <v>0</v>
      </c>
      <c r="K1108" s="116">
        <f>Overview!$H$85</f>
        <v>0</v>
      </c>
      <c r="L1108" s="51" t="e">
        <f t="shared" si="375"/>
        <v>#DIV/0!</v>
      </c>
      <c r="M1108" s="179"/>
      <c r="N1108" s="179" t="s">
        <v>3142</v>
      </c>
      <c r="O1108" s="141">
        <f t="shared" si="376"/>
        <v>0</v>
      </c>
      <c r="P1108" s="181" t="b">
        <f>COUNTIF('Facility Data'!$A$1:$A$1500,"*"&amp;A1108&amp;"*")&gt;0</f>
        <v>0</v>
      </c>
      <c r="Q1108" s="181" t="b">
        <f>COUNTIF('Account Data'!$A$1:$A$1000,"*"&amp;A1108&amp;"*")&gt;0</f>
        <v>0</v>
      </c>
      <c r="R1108" s="182" t="b">
        <f t="shared" si="377"/>
        <v>0</v>
      </c>
      <c r="S1108" s="182" t="b">
        <f t="shared" si="378"/>
        <v>0</v>
      </c>
      <c r="T1108" s="181" t="b">
        <f>COUNTIF('New Items'!$A$1:$A$175,A1108)&gt;0</f>
        <v>0</v>
      </c>
      <c r="U1108" s="181" t="b">
        <f>COUNTIF(Discontinued!$A$1:$A$150,A1108)&gt;0</f>
        <v>0</v>
      </c>
    </row>
    <row r="1109" spans="1:21" s="8" customFormat="1" ht="11.25" x14ac:dyDescent="0.2">
      <c r="A1109" s="152">
        <v>10002812</v>
      </c>
      <c r="B1109" s="10" t="s">
        <v>2496</v>
      </c>
      <c r="C1109" s="12" t="s">
        <v>2497</v>
      </c>
      <c r="D1109" s="11" t="s">
        <v>683</v>
      </c>
      <c r="E1109" s="12" t="s">
        <v>779</v>
      </c>
      <c r="F1109" s="13">
        <v>24</v>
      </c>
      <c r="G1109" s="22">
        <f>Overview!$B$85</f>
        <v>14</v>
      </c>
      <c r="H1109" s="23">
        <f t="shared" si="373"/>
        <v>14</v>
      </c>
      <c r="I1109" s="114">
        <f>Overview!$E$85</f>
        <v>0</v>
      </c>
      <c r="J1109" s="24">
        <f t="shared" si="374"/>
        <v>0</v>
      </c>
      <c r="K1109" s="116">
        <f>Overview!$H$85</f>
        <v>0</v>
      </c>
      <c r="L1109" s="51" t="e">
        <f t="shared" si="375"/>
        <v>#DIV/0!</v>
      </c>
      <c r="M1109" s="179"/>
      <c r="N1109" s="179" t="s">
        <v>3142</v>
      </c>
      <c r="O1109" s="141">
        <f t="shared" si="376"/>
        <v>0</v>
      </c>
      <c r="P1109" s="181" t="b">
        <f>COUNTIF('Facility Data'!$A$1:$A$1500,"*"&amp;A1109&amp;"*")&gt;0</f>
        <v>0</v>
      </c>
      <c r="Q1109" s="181" t="b">
        <f>COUNTIF('Account Data'!$A$1:$A$1000,"*"&amp;A1109&amp;"*")&gt;0</f>
        <v>0</v>
      </c>
      <c r="R1109" s="182" t="b">
        <f t="shared" si="377"/>
        <v>0</v>
      </c>
      <c r="S1109" s="182" t="b">
        <f t="shared" si="378"/>
        <v>0</v>
      </c>
      <c r="T1109" s="181" t="b">
        <f>COUNTIF('New Items'!$A$1:$A$175,A1109)&gt;0</f>
        <v>0</v>
      </c>
      <c r="U1109" s="181" t="b">
        <f>COUNTIF(Discontinued!$A$1:$A$150,A1109)&gt;0</f>
        <v>0</v>
      </c>
    </row>
    <row r="1110" spans="1:21" s="8" customFormat="1" ht="11.25" x14ac:dyDescent="0.2">
      <c r="A1110" s="152">
        <v>10002817</v>
      </c>
      <c r="B1110" s="10" t="s">
        <v>2498</v>
      </c>
      <c r="C1110" s="12" t="s">
        <v>2499</v>
      </c>
      <c r="D1110" s="11" t="s">
        <v>685</v>
      </c>
      <c r="E1110" s="12" t="s">
        <v>779</v>
      </c>
      <c r="F1110" s="13">
        <v>24</v>
      </c>
      <c r="G1110" s="22">
        <f>Overview!$B$85</f>
        <v>14</v>
      </c>
      <c r="H1110" s="23">
        <f t="shared" si="373"/>
        <v>14</v>
      </c>
      <c r="I1110" s="114">
        <f>Overview!$E$85</f>
        <v>0</v>
      </c>
      <c r="J1110" s="24">
        <f t="shared" si="374"/>
        <v>0</v>
      </c>
      <c r="K1110" s="116">
        <f>Overview!$H$85</f>
        <v>0</v>
      </c>
      <c r="L1110" s="51" t="e">
        <f t="shared" si="375"/>
        <v>#DIV/0!</v>
      </c>
      <c r="M1110" s="179"/>
      <c r="N1110" s="179" t="s">
        <v>3142</v>
      </c>
      <c r="O1110" s="141">
        <f t="shared" si="376"/>
        <v>0</v>
      </c>
      <c r="P1110" s="181" t="b">
        <f>COUNTIF('Facility Data'!$A$1:$A$1500,"*"&amp;A1110&amp;"*")&gt;0</f>
        <v>0</v>
      </c>
      <c r="Q1110" s="181" t="b">
        <f>COUNTIF('Account Data'!$A$1:$A$1000,"*"&amp;A1110&amp;"*")&gt;0</f>
        <v>0</v>
      </c>
      <c r="R1110" s="182" t="b">
        <f t="shared" si="377"/>
        <v>0</v>
      </c>
      <c r="S1110" s="182" t="b">
        <f t="shared" si="378"/>
        <v>0</v>
      </c>
      <c r="T1110" s="181" t="b">
        <f>COUNTIF('New Items'!$A$1:$A$175,A1110)&gt;0</f>
        <v>0</v>
      </c>
      <c r="U1110" s="181" t="b">
        <f>COUNTIF(Discontinued!$A$1:$A$150,A1110)&gt;0</f>
        <v>0</v>
      </c>
    </row>
    <row r="1111" spans="1:21" s="8" customFormat="1" ht="12" thickBot="1" x14ac:dyDescent="0.25">
      <c r="A1111" s="152">
        <v>10078575</v>
      </c>
      <c r="B1111" s="10" t="s">
        <v>1448</v>
      </c>
      <c r="C1111" s="12" t="s">
        <v>1449</v>
      </c>
      <c r="D1111" s="11" t="s">
        <v>1443</v>
      </c>
      <c r="E1111" s="12" t="s">
        <v>779</v>
      </c>
      <c r="F1111" s="13">
        <v>24</v>
      </c>
      <c r="G1111" s="22">
        <f>Overview!$B$85</f>
        <v>14</v>
      </c>
      <c r="H1111" s="23">
        <f t="shared" si="373"/>
        <v>14</v>
      </c>
      <c r="I1111" s="114">
        <f>Overview!$E$85</f>
        <v>0</v>
      </c>
      <c r="J1111" s="24">
        <f t="shared" si="374"/>
        <v>0</v>
      </c>
      <c r="K1111" s="116">
        <f>Overview!$H$85</f>
        <v>0</v>
      </c>
      <c r="L1111" s="51" t="e">
        <f t="shared" si="375"/>
        <v>#DIV/0!</v>
      </c>
      <c r="M1111" s="179"/>
      <c r="N1111" s="179" t="s">
        <v>3142</v>
      </c>
      <c r="O1111" s="141">
        <f t="shared" si="376"/>
        <v>0</v>
      </c>
      <c r="P1111" s="181" t="b">
        <f>COUNTIF('Facility Data'!$A$1:$A$1500,"*"&amp;A1111&amp;"*")&gt;0</f>
        <v>0</v>
      </c>
      <c r="Q1111" s="181" t="b">
        <f>COUNTIF('Account Data'!$A$1:$A$1000,"*"&amp;A1111&amp;"*")&gt;0</f>
        <v>0</v>
      </c>
      <c r="R1111" s="182" t="b">
        <f t="shared" si="377"/>
        <v>0</v>
      </c>
      <c r="S1111" s="182" t="b">
        <f t="shared" si="378"/>
        <v>0</v>
      </c>
      <c r="T1111" s="181" t="b">
        <f>COUNTIF('New Items'!$A$1:$A$175,A1111)&gt;0</f>
        <v>0</v>
      </c>
      <c r="U1111" s="181" t="b">
        <f>COUNTIF(Discontinued!$A$1:$A$150,A1111)&gt;0</f>
        <v>0</v>
      </c>
    </row>
    <row r="1112" spans="1:21" s="8" customFormat="1" ht="13.5" thickBot="1" x14ac:dyDescent="0.25">
      <c r="A1112" s="300" t="s">
        <v>2931</v>
      </c>
      <c r="B1112" s="301"/>
      <c r="C1112" s="301"/>
      <c r="D1112" s="301"/>
      <c r="E1112" s="301"/>
      <c r="F1112" s="301"/>
      <c r="G1112" s="301"/>
      <c r="H1112" s="301"/>
      <c r="I1112" s="301"/>
      <c r="J1112" s="301"/>
      <c r="K1112" s="301"/>
      <c r="L1112" s="302"/>
      <c r="M1112" s="179"/>
      <c r="N1112" s="179" t="s">
        <v>3139</v>
      </c>
      <c r="O1112" s="141">
        <f>AVERAGE(O1113:O1136)</f>
        <v>0</v>
      </c>
      <c r="P1112" s="181" t="b">
        <f>COUNTIF(P1113:P1136,TRUE)&gt;0</f>
        <v>0</v>
      </c>
      <c r="Q1112" s="181" t="b">
        <f>COUNTIF(Q1113:Q1136,TRUE)&gt;0</f>
        <v>1</v>
      </c>
      <c r="R1112" s="181" t="b">
        <f>COUNTIF(R1113:R1136,TRUE)&gt;0</f>
        <v>1</v>
      </c>
      <c r="S1112" s="181" t="b">
        <f>COUNTIF(S1113:S1136,TRUE)&gt;0</f>
        <v>1</v>
      </c>
      <c r="T1112" s="181" t="b">
        <f>COUNTIF(T1113:T1136,TRUE)&gt;0</f>
        <v>1</v>
      </c>
      <c r="U1112" s="249"/>
    </row>
    <row r="1113" spans="1:21" s="8" customFormat="1" ht="11.25" x14ac:dyDescent="0.2">
      <c r="A1113" s="289">
        <v>10136466</v>
      </c>
      <c r="B1113" s="231" t="s">
        <v>4546</v>
      </c>
      <c r="C1113" s="118" t="s">
        <v>1121</v>
      </c>
      <c r="D1113" s="119" t="s">
        <v>1120</v>
      </c>
      <c r="E1113" s="118" t="s">
        <v>772</v>
      </c>
      <c r="F1113" s="120">
        <v>12</v>
      </c>
      <c r="G1113" s="121">
        <f>Overview!$B$87</f>
        <v>15</v>
      </c>
      <c r="H1113" s="114">
        <f t="shared" ref="H1113:H1136" si="379">G1113-I1113</f>
        <v>15</v>
      </c>
      <c r="I1113" s="114">
        <f>Overview!$E$87</f>
        <v>0</v>
      </c>
      <c r="J1113" s="115">
        <f t="shared" ref="J1113:J1136" si="380">I1113/F1113</f>
        <v>0</v>
      </c>
      <c r="K1113" s="116">
        <f>Overview!$H$87</f>
        <v>0</v>
      </c>
      <c r="L1113" s="117" t="e">
        <f t="shared" ref="L1113:L1136" si="381">(K1113-J1113)/K1113</f>
        <v>#DIV/0!</v>
      </c>
      <c r="M1113" s="179" t="s">
        <v>1252</v>
      </c>
      <c r="N1113" s="179" t="s">
        <v>3139</v>
      </c>
      <c r="O1113" s="141">
        <f t="shared" ref="O1113:O1136" si="382">I1113</f>
        <v>0</v>
      </c>
      <c r="P1113" s="181" t="b">
        <f>COUNTIF('Facility Data'!$A$1:$A$1500,"*"&amp;A1113&amp;"*")&gt;0</f>
        <v>0</v>
      </c>
      <c r="Q1113" s="181" t="b">
        <f>COUNTIF('Account Data'!$A$1:$A$1000,"*"&amp;A1113&amp;"*")&gt;0</f>
        <v>0</v>
      </c>
      <c r="R1113" s="182" t="b">
        <f t="shared" ref="R1113:R1136" si="383">IF(OR(P1113=TRUE,T1113=TRUE),TRUE,FALSE)</f>
        <v>1</v>
      </c>
      <c r="S1113" s="182" t="b">
        <f t="shared" ref="S1113:S1136" si="384">IF(OR(Q1113=TRUE,T1113=TRUE),TRUE,FALSE)</f>
        <v>1</v>
      </c>
      <c r="T1113" s="181" t="b">
        <f>COUNTIF('New Items'!$A$1:$A$175,A1113)&gt;0</f>
        <v>1</v>
      </c>
      <c r="U1113" s="181" t="b">
        <f>COUNTIF(Discontinued!$A$1:$A$150,A1113)&gt;0</f>
        <v>0</v>
      </c>
    </row>
    <row r="1114" spans="1:21" s="8" customFormat="1" ht="11.25" x14ac:dyDescent="0.2">
      <c r="A1114" s="289">
        <v>10136490</v>
      </c>
      <c r="B1114" s="292" t="s">
        <v>4539</v>
      </c>
      <c r="C1114" s="118" t="s">
        <v>1795</v>
      </c>
      <c r="D1114" s="11" t="s">
        <v>1753</v>
      </c>
      <c r="E1114" s="118" t="s">
        <v>772</v>
      </c>
      <c r="F1114" s="120">
        <v>12</v>
      </c>
      <c r="G1114" s="121">
        <f>Overview!$B$87</f>
        <v>15</v>
      </c>
      <c r="H1114" s="114">
        <f t="shared" si="379"/>
        <v>15</v>
      </c>
      <c r="I1114" s="114">
        <f>Overview!$E$87</f>
        <v>0</v>
      </c>
      <c r="J1114" s="115">
        <f t="shared" si="380"/>
        <v>0</v>
      </c>
      <c r="K1114" s="116">
        <f>Overview!$H$87</f>
        <v>0</v>
      </c>
      <c r="L1114" s="117" t="e">
        <f t="shared" si="381"/>
        <v>#DIV/0!</v>
      </c>
      <c r="M1114" s="179"/>
      <c r="N1114" s="179" t="s">
        <v>3139</v>
      </c>
      <c r="O1114" s="141">
        <f t="shared" si="382"/>
        <v>0</v>
      </c>
      <c r="P1114" s="181" t="b">
        <f>COUNTIF('Facility Data'!$A$1:$A$1500,"*"&amp;A1114&amp;"*")&gt;0</f>
        <v>0</v>
      </c>
      <c r="Q1114" s="181" t="b">
        <f>COUNTIF('Account Data'!$A$1:$A$1000,"*"&amp;A1114&amp;"*")&gt;0</f>
        <v>0</v>
      </c>
      <c r="R1114" s="182" t="b">
        <f t="shared" si="383"/>
        <v>1</v>
      </c>
      <c r="S1114" s="182" t="b">
        <f t="shared" si="384"/>
        <v>1</v>
      </c>
      <c r="T1114" s="181" t="b">
        <f>COUNTIF('New Items'!$A$1:$A$175,A1114)&gt;0</f>
        <v>1</v>
      </c>
      <c r="U1114" s="181" t="b">
        <f>COUNTIF(Discontinued!$A$1:$A$150,A1114)&gt;0</f>
        <v>0</v>
      </c>
    </row>
    <row r="1115" spans="1:21" s="8" customFormat="1" ht="11.25" x14ac:dyDescent="0.2">
      <c r="A1115" s="289">
        <v>10136491</v>
      </c>
      <c r="B1115" s="231" t="s">
        <v>4535</v>
      </c>
      <c r="C1115" s="118" t="s">
        <v>835</v>
      </c>
      <c r="D1115" s="119" t="s">
        <v>689</v>
      </c>
      <c r="E1115" s="118" t="s">
        <v>772</v>
      </c>
      <c r="F1115" s="120">
        <v>12</v>
      </c>
      <c r="G1115" s="121">
        <f>Overview!$B$87</f>
        <v>15</v>
      </c>
      <c r="H1115" s="114">
        <f>G1115-I1115</f>
        <v>15</v>
      </c>
      <c r="I1115" s="114">
        <f>Overview!$E$87</f>
        <v>0</v>
      </c>
      <c r="J1115" s="115">
        <f>I1115/F1115</f>
        <v>0</v>
      </c>
      <c r="K1115" s="116">
        <f>Overview!$H$87</f>
        <v>0</v>
      </c>
      <c r="L1115" s="117" t="e">
        <f>(K1115-J1115)/K1115</f>
        <v>#DIV/0!</v>
      </c>
      <c r="M1115" s="179"/>
      <c r="N1115" s="179" t="s">
        <v>3139</v>
      </c>
      <c r="O1115" s="141">
        <f>I1115</f>
        <v>0</v>
      </c>
      <c r="P1115" s="181" t="b">
        <f>COUNTIF('Facility Data'!$A$1:$A$1500,"*"&amp;A1115&amp;"*")&gt;0</f>
        <v>0</v>
      </c>
      <c r="Q1115" s="181" t="b">
        <f>COUNTIF('Account Data'!$A$1:$A$1000,"*"&amp;A1115&amp;"*")&gt;0</f>
        <v>0</v>
      </c>
      <c r="R1115" s="182" t="b">
        <f>IF(OR(P1115=TRUE,T1115=TRUE),TRUE,FALSE)</f>
        <v>1</v>
      </c>
      <c r="S1115" s="182" t="b">
        <f>IF(OR(Q1115=TRUE,T1115=TRUE),TRUE,FALSE)</f>
        <v>1</v>
      </c>
      <c r="T1115" s="181" t="b">
        <f>COUNTIF('New Items'!$A$1:$A$175,A1115)&gt;0</f>
        <v>1</v>
      </c>
      <c r="U1115" s="181" t="b">
        <f>COUNTIF(Discontinued!$A$1:$A$150,A1115)&gt;0</f>
        <v>0</v>
      </c>
    </row>
    <row r="1116" spans="1:21" s="8" customFormat="1" ht="11.25" x14ac:dyDescent="0.2">
      <c r="A1116" s="290">
        <v>10136498</v>
      </c>
      <c r="B1116" s="10" t="s">
        <v>4537</v>
      </c>
      <c r="C1116" s="118" t="s">
        <v>1337</v>
      </c>
      <c r="D1116" s="119" t="s">
        <v>1327</v>
      </c>
      <c r="E1116" s="118" t="s">
        <v>772</v>
      </c>
      <c r="F1116" s="120">
        <v>12</v>
      </c>
      <c r="G1116" s="121">
        <f>Overview!$B$87</f>
        <v>15</v>
      </c>
      <c r="H1116" s="114">
        <f t="shared" si="379"/>
        <v>15</v>
      </c>
      <c r="I1116" s="114">
        <f>Overview!$E$87</f>
        <v>0</v>
      </c>
      <c r="J1116" s="115">
        <f t="shared" si="380"/>
        <v>0</v>
      </c>
      <c r="K1116" s="116">
        <f>Overview!$H$87</f>
        <v>0</v>
      </c>
      <c r="L1116" s="117" t="e">
        <f t="shared" si="381"/>
        <v>#DIV/0!</v>
      </c>
      <c r="M1116" s="179"/>
      <c r="N1116" s="179" t="s">
        <v>3139</v>
      </c>
      <c r="O1116" s="141">
        <f t="shared" si="382"/>
        <v>0</v>
      </c>
      <c r="P1116" s="181" t="b">
        <f>COUNTIF('Facility Data'!$A$1:$A$1500,"*"&amp;A1116&amp;"*")&gt;0</f>
        <v>0</v>
      </c>
      <c r="Q1116" s="181" t="b">
        <f>COUNTIF('Account Data'!$A$1:$A$1000,"*"&amp;A1116&amp;"*")&gt;0</f>
        <v>0</v>
      </c>
      <c r="R1116" s="182" t="b">
        <f t="shared" si="383"/>
        <v>1</v>
      </c>
      <c r="S1116" s="182" t="b">
        <f t="shared" si="384"/>
        <v>1</v>
      </c>
      <c r="T1116" s="181" t="b">
        <f>COUNTIF('New Items'!$A$1:$A$175,A1116)&gt;0</f>
        <v>1</v>
      </c>
      <c r="U1116" s="181" t="b">
        <f>COUNTIF(Discontinued!$A$1:$A$150,A1116)&gt;0</f>
        <v>0</v>
      </c>
    </row>
    <row r="1117" spans="1:21" s="8" customFormat="1" ht="11.25" x14ac:dyDescent="0.2">
      <c r="A1117" s="289">
        <v>10136535</v>
      </c>
      <c r="B1117" s="231" t="s">
        <v>4543</v>
      </c>
      <c r="C1117" s="118" t="s">
        <v>959</v>
      </c>
      <c r="D1117" s="119" t="s">
        <v>958</v>
      </c>
      <c r="E1117" s="118" t="s">
        <v>772</v>
      </c>
      <c r="F1117" s="120">
        <v>12</v>
      </c>
      <c r="G1117" s="121">
        <f>Overview!$B$87</f>
        <v>15</v>
      </c>
      <c r="H1117" s="114">
        <f t="shared" si="379"/>
        <v>15</v>
      </c>
      <c r="I1117" s="114">
        <f>Overview!$E$87</f>
        <v>0</v>
      </c>
      <c r="J1117" s="115">
        <f t="shared" si="380"/>
        <v>0</v>
      </c>
      <c r="K1117" s="116">
        <f>Overview!$H$87</f>
        <v>0</v>
      </c>
      <c r="L1117" s="117" t="e">
        <f t="shared" si="381"/>
        <v>#DIV/0!</v>
      </c>
      <c r="M1117" s="179"/>
      <c r="N1117" s="179" t="s">
        <v>3139</v>
      </c>
      <c r="O1117" s="141">
        <f t="shared" si="382"/>
        <v>0</v>
      </c>
      <c r="P1117" s="181" t="b">
        <f>COUNTIF('Facility Data'!$A$1:$A$1500,"*"&amp;A1117&amp;"*")&gt;0</f>
        <v>0</v>
      </c>
      <c r="Q1117" s="181" t="b">
        <f>COUNTIF('Account Data'!$A$1:$A$1000,"*"&amp;A1117&amp;"*")&gt;0</f>
        <v>0</v>
      </c>
      <c r="R1117" s="182" t="b">
        <f t="shared" si="383"/>
        <v>1</v>
      </c>
      <c r="S1117" s="182" t="b">
        <f t="shared" si="384"/>
        <v>1</v>
      </c>
      <c r="T1117" s="181" t="b">
        <f>COUNTIF('New Items'!$A$1:$A$175,A1117)&gt;0</f>
        <v>1</v>
      </c>
      <c r="U1117" s="181" t="b">
        <f>COUNTIF(Discontinued!$A$1:$A$150,A1117)&gt;0</f>
        <v>0</v>
      </c>
    </row>
    <row r="1118" spans="1:21" s="8" customFormat="1" ht="11.25" x14ac:dyDescent="0.2">
      <c r="A1118" s="290">
        <v>10136493</v>
      </c>
      <c r="B1118" s="10" t="s">
        <v>4540</v>
      </c>
      <c r="C1118" s="118" t="s">
        <v>1341</v>
      </c>
      <c r="D1118" s="119" t="s">
        <v>1339</v>
      </c>
      <c r="E1118" s="118" t="s">
        <v>772</v>
      </c>
      <c r="F1118" s="120">
        <v>12</v>
      </c>
      <c r="G1118" s="121">
        <f>Overview!$B$87</f>
        <v>15</v>
      </c>
      <c r="H1118" s="114">
        <f t="shared" si="379"/>
        <v>15</v>
      </c>
      <c r="I1118" s="114">
        <f>Overview!$E$87</f>
        <v>0</v>
      </c>
      <c r="J1118" s="115">
        <f t="shared" si="380"/>
        <v>0</v>
      </c>
      <c r="K1118" s="116">
        <f>Overview!$H$87</f>
        <v>0</v>
      </c>
      <c r="L1118" s="117" t="e">
        <f t="shared" si="381"/>
        <v>#DIV/0!</v>
      </c>
      <c r="M1118" s="179"/>
      <c r="N1118" s="179" t="s">
        <v>3139</v>
      </c>
      <c r="O1118" s="141">
        <f t="shared" si="382"/>
        <v>0</v>
      </c>
      <c r="P1118" s="181" t="b">
        <f>COUNTIF('Facility Data'!$A$1:$A$1500,"*"&amp;A1118&amp;"*")&gt;0</f>
        <v>0</v>
      </c>
      <c r="Q1118" s="181" t="b">
        <f>COUNTIF('Account Data'!$A$1:$A$1000,"*"&amp;A1118&amp;"*")&gt;0</f>
        <v>0</v>
      </c>
      <c r="R1118" s="182" t="b">
        <f t="shared" si="383"/>
        <v>1</v>
      </c>
      <c r="S1118" s="182" t="b">
        <f t="shared" si="384"/>
        <v>1</v>
      </c>
      <c r="T1118" s="181" t="b">
        <f>COUNTIF('New Items'!$A$1:$A$175,A1118)&gt;0</f>
        <v>1</v>
      </c>
      <c r="U1118" s="181" t="b">
        <f>COUNTIF(Discontinued!$A$1:$A$150,A1118)&gt;0</f>
        <v>0</v>
      </c>
    </row>
    <row r="1119" spans="1:21" s="8" customFormat="1" ht="11.25" x14ac:dyDescent="0.2">
      <c r="A1119" s="289">
        <v>10136532</v>
      </c>
      <c r="B1119" s="231" t="s">
        <v>4531</v>
      </c>
      <c r="C1119" s="118" t="s">
        <v>837</v>
      </c>
      <c r="D1119" s="119" t="s">
        <v>684</v>
      </c>
      <c r="E1119" s="118" t="s">
        <v>772</v>
      </c>
      <c r="F1119" s="120">
        <v>12</v>
      </c>
      <c r="G1119" s="121">
        <f>Overview!$B$87</f>
        <v>15</v>
      </c>
      <c r="H1119" s="114">
        <f t="shared" si="379"/>
        <v>15</v>
      </c>
      <c r="I1119" s="114">
        <f>Overview!$E$87</f>
        <v>0</v>
      </c>
      <c r="J1119" s="115">
        <f t="shared" si="380"/>
        <v>0</v>
      </c>
      <c r="K1119" s="116">
        <f>Overview!$H$87</f>
        <v>0</v>
      </c>
      <c r="L1119" s="117" t="e">
        <f t="shared" si="381"/>
        <v>#DIV/0!</v>
      </c>
      <c r="M1119" s="179"/>
      <c r="N1119" s="179" t="s">
        <v>3139</v>
      </c>
      <c r="O1119" s="141">
        <f t="shared" si="382"/>
        <v>0</v>
      </c>
      <c r="P1119" s="181" t="b">
        <f>COUNTIF('Facility Data'!$A$1:$A$1500,"*"&amp;A1119&amp;"*")&gt;0</f>
        <v>0</v>
      </c>
      <c r="Q1119" s="181" t="b">
        <f>COUNTIF('Account Data'!$A$1:$A$1000,"*"&amp;A1119&amp;"*")&gt;0</f>
        <v>0</v>
      </c>
      <c r="R1119" s="182" t="b">
        <f t="shared" si="383"/>
        <v>1</v>
      </c>
      <c r="S1119" s="182" t="b">
        <f t="shared" si="384"/>
        <v>1</v>
      </c>
      <c r="T1119" s="181" t="b">
        <f>COUNTIF('New Items'!$A$1:$A$175,A1119)&gt;0</f>
        <v>1</v>
      </c>
      <c r="U1119" s="181" t="b">
        <f>COUNTIF(Discontinued!$A$1:$A$150,A1119)&gt;0</f>
        <v>0</v>
      </c>
    </row>
    <row r="1120" spans="1:21" s="8" customFormat="1" ht="11.25" x14ac:dyDescent="0.2">
      <c r="A1120" s="289">
        <v>10136533</v>
      </c>
      <c r="B1120" s="231" t="s">
        <v>4538</v>
      </c>
      <c r="C1120" s="118" t="s">
        <v>839</v>
      </c>
      <c r="D1120" s="119" t="s">
        <v>686</v>
      </c>
      <c r="E1120" s="118" t="s">
        <v>772</v>
      </c>
      <c r="F1120" s="120">
        <v>12</v>
      </c>
      <c r="G1120" s="121">
        <f>Overview!$B$87</f>
        <v>15</v>
      </c>
      <c r="H1120" s="114">
        <f t="shared" si="379"/>
        <v>15</v>
      </c>
      <c r="I1120" s="114">
        <f>Overview!$E$87</f>
        <v>0</v>
      </c>
      <c r="J1120" s="115">
        <f t="shared" si="380"/>
        <v>0</v>
      </c>
      <c r="K1120" s="116">
        <f>Overview!$H$87</f>
        <v>0</v>
      </c>
      <c r="L1120" s="117" t="e">
        <f t="shared" si="381"/>
        <v>#DIV/0!</v>
      </c>
      <c r="M1120" s="179"/>
      <c r="N1120" s="179" t="s">
        <v>3139</v>
      </c>
      <c r="O1120" s="141">
        <f t="shared" si="382"/>
        <v>0</v>
      </c>
      <c r="P1120" s="181" t="b">
        <f>COUNTIF('Facility Data'!$A$1:$A$1500,"*"&amp;A1120&amp;"*")&gt;0</f>
        <v>0</v>
      </c>
      <c r="Q1120" s="181" t="b">
        <f>COUNTIF('Account Data'!$A$1:$A$1000,"*"&amp;A1120&amp;"*")&gt;0</f>
        <v>0</v>
      </c>
      <c r="R1120" s="182" t="b">
        <f t="shared" si="383"/>
        <v>1</v>
      </c>
      <c r="S1120" s="182" t="b">
        <f t="shared" si="384"/>
        <v>1</v>
      </c>
      <c r="T1120" s="181" t="b">
        <f>COUNTIF('New Items'!$A$1:$A$175,A1120)&gt;0</f>
        <v>1</v>
      </c>
      <c r="U1120" s="181" t="b">
        <f>COUNTIF(Discontinued!$A$1:$A$150,A1120)&gt;0</f>
        <v>0</v>
      </c>
    </row>
    <row r="1121" spans="1:21" s="8" customFormat="1" ht="11.25" x14ac:dyDescent="0.2">
      <c r="A1121" s="290">
        <v>10136514</v>
      </c>
      <c r="B1121" s="10" t="s">
        <v>4530</v>
      </c>
      <c r="C1121" s="118" t="s">
        <v>843</v>
      </c>
      <c r="D1121" s="119" t="s">
        <v>693</v>
      </c>
      <c r="E1121" s="118" t="s">
        <v>772</v>
      </c>
      <c r="F1121" s="120">
        <v>12</v>
      </c>
      <c r="G1121" s="121">
        <f>Overview!$B$87</f>
        <v>15</v>
      </c>
      <c r="H1121" s="114">
        <f t="shared" si="379"/>
        <v>15</v>
      </c>
      <c r="I1121" s="114">
        <f>Overview!$E$87</f>
        <v>0</v>
      </c>
      <c r="J1121" s="115">
        <f t="shared" si="380"/>
        <v>0</v>
      </c>
      <c r="K1121" s="116">
        <f>Overview!$H$87</f>
        <v>0</v>
      </c>
      <c r="L1121" s="117" t="e">
        <f t="shared" si="381"/>
        <v>#DIV/0!</v>
      </c>
      <c r="M1121" s="179"/>
      <c r="N1121" s="179" t="s">
        <v>3139</v>
      </c>
      <c r="O1121" s="141">
        <f t="shared" si="382"/>
        <v>0</v>
      </c>
      <c r="P1121" s="181" t="b">
        <f>COUNTIF('Facility Data'!$A$1:$A$1500,"*"&amp;A1121&amp;"*")&gt;0</f>
        <v>0</v>
      </c>
      <c r="Q1121" s="181" t="b">
        <f>COUNTIF('Account Data'!$A$1:$A$1000,"*"&amp;A1121&amp;"*")&gt;0</f>
        <v>0</v>
      </c>
      <c r="R1121" s="182" t="b">
        <f t="shared" si="383"/>
        <v>1</v>
      </c>
      <c r="S1121" s="182" t="b">
        <f t="shared" si="384"/>
        <v>1</v>
      </c>
      <c r="T1121" s="181" t="b">
        <f>COUNTIF('New Items'!$A$1:$A$175,A1121)&gt;0</f>
        <v>1</v>
      </c>
      <c r="U1121" s="181" t="b">
        <f>COUNTIF(Discontinued!$A$1:$A$150,A1121)&gt;0</f>
        <v>0</v>
      </c>
    </row>
    <row r="1122" spans="1:21" s="8" customFormat="1" ht="11.25" x14ac:dyDescent="0.2">
      <c r="A1122" s="289">
        <v>10136504</v>
      </c>
      <c r="B1122" s="231" t="s">
        <v>4533</v>
      </c>
      <c r="C1122" s="118" t="s">
        <v>849</v>
      </c>
      <c r="D1122" s="119" t="s">
        <v>688</v>
      </c>
      <c r="E1122" s="118" t="s">
        <v>772</v>
      </c>
      <c r="F1122" s="120">
        <v>12</v>
      </c>
      <c r="G1122" s="121">
        <f>Overview!$B$87</f>
        <v>15</v>
      </c>
      <c r="H1122" s="114">
        <f t="shared" si="379"/>
        <v>15</v>
      </c>
      <c r="I1122" s="114">
        <f>Overview!$E$87</f>
        <v>0</v>
      </c>
      <c r="J1122" s="115">
        <f t="shared" si="380"/>
        <v>0</v>
      </c>
      <c r="K1122" s="116">
        <f>Overview!$H$87</f>
        <v>0</v>
      </c>
      <c r="L1122" s="117" t="e">
        <f t="shared" si="381"/>
        <v>#DIV/0!</v>
      </c>
      <c r="M1122" s="179"/>
      <c r="N1122" s="179" t="s">
        <v>3139</v>
      </c>
      <c r="O1122" s="141">
        <f t="shared" si="382"/>
        <v>0</v>
      </c>
      <c r="P1122" s="181" t="b">
        <f>COUNTIF('Facility Data'!$A$1:$A$1500,"*"&amp;A1122&amp;"*")&gt;0</f>
        <v>0</v>
      </c>
      <c r="Q1122" s="181" t="b">
        <f>COUNTIF('Account Data'!$A$1:$A$1000,"*"&amp;A1122&amp;"*")&gt;0</f>
        <v>0</v>
      </c>
      <c r="R1122" s="182" t="b">
        <f t="shared" si="383"/>
        <v>1</v>
      </c>
      <c r="S1122" s="182" t="b">
        <f t="shared" si="384"/>
        <v>1</v>
      </c>
      <c r="T1122" s="181" t="b">
        <f>COUNTIF('New Items'!$A$1:$A$175,A1122)&gt;0</f>
        <v>1</v>
      </c>
      <c r="U1122" s="181" t="b">
        <f>COUNTIF(Discontinued!$A$1:$A$150,A1122)&gt;0</f>
        <v>0</v>
      </c>
    </row>
    <row r="1123" spans="1:21" s="8" customFormat="1" ht="11.25" x14ac:dyDescent="0.2">
      <c r="A1123" s="289">
        <v>10136515</v>
      </c>
      <c r="B1123" s="231" t="s">
        <v>4529</v>
      </c>
      <c r="C1123" s="118" t="s">
        <v>845</v>
      </c>
      <c r="D1123" s="119" t="s">
        <v>691</v>
      </c>
      <c r="E1123" s="118" t="s">
        <v>772</v>
      </c>
      <c r="F1123" s="120">
        <v>12</v>
      </c>
      <c r="G1123" s="121">
        <f>Overview!$B$87</f>
        <v>15</v>
      </c>
      <c r="H1123" s="114">
        <f t="shared" si="379"/>
        <v>15</v>
      </c>
      <c r="I1123" s="114">
        <f>Overview!$E$87</f>
        <v>0</v>
      </c>
      <c r="J1123" s="115">
        <f t="shared" si="380"/>
        <v>0</v>
      </c>
      <c r="K1123" s="116">
        <f>Overview!$H$87</f>
        <v>0</v>
      </c>
      <c r="L1123" s="117" t="e">
        <f t="shared" si="381"/>
        <v>#DIV/0!</v>
      </c>
      <c r="M1123" s="179"/>
      <c r="N1123" s="179" t="s">
        <v>3139</v>
      </c>
      <c r="O1123" s="141">
        <f t="shared" si="382"/>
        <v>0</v>
      </c>
      <c r="P1123" s="181" t="b">
        <f>COUNTIF('Facility Data'!$A$1:$A$1500,"*"&amp;A1123&amp;"*")&gt;0</f>
        <v>0</v>
      </c>
      <c r="Q1123" s="181" t="b">
        <f>COUNTIF('Account Data'!$A$1:$A$1000,"*"&amp;A1123&amp;"*")&gt;0</f>
        <v>0</v>
      </c>
      <c r="R1123" s="182" t="b">
        <f t="shared" si="383"/>
        <v>1</v>
      </c>
      <c r="S1123" s="182" t="b">
        <f t="shared" si="384"/>
        <v>1</v>
      </c>
      <c r="T1123" s="181" t="b">
        <f>COUNTIF('New Items'!$A$1:$A$175,A1123)&gt;0</f>
        <v>1</v>
      </c>
      <c r="U1123" s="181" t="b">
        <f>COUNTIF(Discontinued!$A$1:$A$150,A1123)&gt;0</f>
        <v>0</v>
      </c>
    </row>
    <row r="1124" spans="1:21" s="8" customFormat="1" ht="11.25" x14ac:dyDescent="0.2">
      <c r="A1124" s="290">
        <v>10136503</v>
      </c>
      <c r="B1124" s="10" t="s">
        <v>4532</v>
      </c>
      <c r="C1124" s="118" t="s">
        <v>1335</v>
      </c>
      <c r="D1124" s="119" t="s">
        <v>1326</v>
      </c>
      <c r="E1124" s="118" t="s">
        <v>772</v>
      </c>
      <c r="F1124" s="120">
        <v>12</v>
      </c>
      <c r="G1124" s="121">
        <f>Overview!$B$87</f>
        <v>15</v>
      </c>
      <c r="H1124" s="114">
        <f t="shared" si="379"/>
        <v>15</v>
      </c>
      <c r="I1124" s="114">
        <f>Overview!$E$87</f>
        <v>0</v>
      </c>
      <c r="J1124" s="115">
        <f t="shared" si="380"/>
        <v>0</v>
      </c>
      <c r="K1124" s="116">
        <f>Overview!$H$87</f>
        <v>0</v>
      </c>
      <c r="L1124" s="117" t="e">
        <f t="shared" si="381"/>
        <v>#DIV/0!</v>
      </c>
      <c r="M1124" s="179"/>
      <c r="N1124" s="179" t="s">
        <v>3139</v>
      </c>
      <c r="O1124" s="141">
        <f t="shared" si="382"/>
        <v>0</v>
      </c>
      <c r="P1124" s="181" t="b">
        <f>COUNTIF('Facility Data'!$A$1:$A$1500,"*"&amp;A1124&amp;"*")&gt;0</f>
        <v>0</v>
      </c>
      <c r="Q1124" s="181" t="b">
        <f>COUNTIF('Account Data'!$A$1:$A$1000,"*"&amp;A1124&amp;"*")&gt;0</f>
        <v>0</v>
      </c>
      <c r="R1124" s="182" t="b">
        <f t="shared" si="383"/>
        <v>1</v>
      </c>
      <c r="S1124" s="182" t="b">
        <f t="shared" si="384"/>
        <v>1</v>
      </c>
      <c r="T1124" s="181" t="b">
        <f>COUNTIF('New Items'!$A$1:$A$175,A1124)&gt;0</f>
        <v>1</v>
      </c>
      <c r="U1124" s="181" t="b">
        <f>COUNTIF(Discontinued!$A$1:$A$150,A1124)&gt;0</f>
        <v>0</v>
      </c>
    </row>
    <row r="1125" spans="1:21" s="8" customFormat="1" ht="11.25" x14ac:dyDescent="0.2">
      <c r="A1125" s="289">
        <v>10136517</v>
      </c>
      <c r="B1125" s="231" t="s">
        <v>4575</v>
      </c>
      <c r="C1125" s="118" t="s">
        <v>847</v>
      </c>
      <c r="D1125" s="119" t="s">
        <v>692</v>
      </c>
      <c r="E1125" s="118" t="s">
        <v>772</v>
      </c>
      <c r="F1125" s="120">
        <v>12</v>
      </c>
      <c r="G1125" s="121">
        <f>Overview!$B$87</f>
        <v>15</v>
      </c>
      <c r="H1125" s="114">
        <f t="shared" si="379"/>
        <v>15</v>
      </c>
      <c r="I1125" s="114">
        <f>Overview!$E$87</f>
        <v>0</v>
      </c>
      <c r="J1125" s="115">
        <f t="shared" si="380"/>
        <v>0</v>
      </c>
      <c r="K1125" s="116">
        <f>Overview!$H$87</f>
        <v>0</v>
      </c>
      <c r="L1125" s="117" t="e">
        <f t="shared" si="381"/>
        <v>#DIV/0!</v>
      </c>
      <c r="M1125" s="179"/>
      <c r="N1125" s="179" t="s">
        <v>3139</v>
      </c>
      <c r="O1125" s="141">
        <f t="shared" si="382"/>
        <v>0</v>
      </c>
      <c r="P1125" s="181" t="b">
        <f>COUNTIF('Facility Data'!$A$1:$A$1500,"*"&amp;A1125&amp;"*")&gt;0</f>
        <v>0</v>
      </c>
      <c r="Q1125" s="181" t="b">
        <f>COUNTIF('Account Data'!$A$1:$A$1000,"*"&amp;A1125&amp;"*")&gt;0</f>
        <v>0</v>
      </c>
      <c r="R1125" s="182" t="b">
        <f t="shared" si="383"/>
        <v>1</v>
      </c>
      <c r="S1125" s="182" t="b">
        <f t="shared" si="384"/>
        <v>1</v>
      </c>
      <c r="T1125" s="181" t="b">
        <f>COUNTIF('New Items'!$A$1:$A$175,A1125)&gt;0</f>
        <v>1</v>
      </c>
      <c r="U1125" s="181" t="b">
        <f>COUNTIF(Discontinued!$A$1:$A$150,A1125)&gt;0</f>
        <v>0</v>
      </c>
    </row>
    <row r="1126" spans="1:21" s="8" customFormat="1" ht="11.25" x14ac:dyDescent="0.2">
      <c r="A1126" s="289">
        <v>10136505</v>
      </c>
      <c r="B1126" s="231" t="s">
        <v>4542</v>
      </c>
      <c r="C1126" s="118" t="s">
        <v>851</v>
      </c>
      <c r="D1126" s="119" t="s">
        <v>687</v>
      </c>
      <c r="E1126" s="118" t="s">
        <v>772</v>
      </c>
      <c r="F1126" s="120">
        <v>12</v>
      </c>
      <c r="G1126" s="121">
        <f>Overview!$B$87</f>
        <v>15</v>
      </c>
      <c r="H1126" s="114">
        <f t="shared" si="379"/>
        <v>15</v>
      </c>
      <c r="I1126" s="114">
        <f>Overview!$E$87</f>
        <v>0</v>
      </c>
      <c r="J1126" s="115">
        <f t="shared" si="380"/>
        <v>0</v>
      </c>
      <c r="K1126" s="116">
        <f>Overview!$H$87</f>
        <v>0</v>
      </c>
      <c r="L1126" s="117" t="e">
        <f t="shared" si="381"/>
        <v>#DIV/0!</v>
      </c>
      <c r="M1126" s="179"/>
      <c r="N1126" s="179" t="s">
        <v>3139</v>
      </c>
      <c r="O1126" s="141">
        <f t="shared" si="382"/>
        <v>0</v>
      </c>
      <c r="P1126" s="181" t="b">
        <f>COUNTIF('Facility Data'!$A$1:$A$1500,"*"&amp;A1126&amp;"*")&gt;0</f>
        <v>0</v>
      </c>
      <c r="Q1126" s="181" t="b">
        <f>COUNTIF('Account Data'!$A$1:$A$1000,"*"&amp;A1126&amp;"*")&gt;0</f>
        <v>0</v>
      </c>
      <c r="R1126" s="182" t="b">
        <f t="shared" si="383"/>
        <v>1</v>
      </c>
      <c r="S1126" s="182" t="b">
        <f t="shared" si="384"/>
        <v>1</v>
      </c>
      <c r="T1126" s="181" t="b">
        <f>COUNTIF('New Items'!$A$1:$A$175,A1126)&gt;0</f>
        <v>1</v>
      </c>
      <c r="U1126" s="181" t="b">
        <f>COUNTIF(Discontinued!$A$1:$A$150,A1126)&gt;0</f>
        <v>0</v>
      </c>
    </row>
    <row r="1127" spans="1:21" s="8" customFormat="1" ht="11.25" x14ac:dyDescent="0.2">
      <c r="A1127" s="160">
        <v>10132886</v>
      </c>
      <c r="B1127" s="231" t="s">
        <v>4156</v>
      </c>
      <c r="C1127" s="118" t="s">
        <v>4155</v>
      </c>
      <c r="D1127" s="119" t="s">
        <v>4154</v>
      </c>
      <c r="E1127" s="118" t="s">
        <v>772</v>
      </c>
      <c r="F1127" s="120">
        <v>12</v>
      </c>
      <c r="G1127" s="121">
        <f>Overview!$B$87</f>
        <v>15</v>
      </c>
      <c r="H1127" s="114">
        <f>G1127-I1127</f>
        <v>15</v>
      </c>
      <c r="I1127" s="114">
        <f>Overview!$E$87</f>
        <v>0</v>
      </c>
      <c r="J1127" s="115">
        <f>I1127/F1127</f>
        <v>0</v>
      </c>
      <c r="K1127" s="116">
        <f>Overview!$H$87</f>
        <v>0</v>
      </c>
      <c r="L1127" s="117" t="e">
        <f>(K1127-J1127)/K1127</f>
        <v>#DIV/0!</v>
      </c>
      <c r="M1127" s="179"/>
      <c r="N1127" s="179" t="s">
        <v>3139</v>
      </c>
      <c r="O1127" s="141">
        <f>I1127</f>
        <v>0</v>
      </c>
      <c r="P1127" s="181" t="b">
        <f>COUNTIF('Facility Data'!$A$1:$A$1500,"*"&amp;A1127&amp;"*")&gt;0</f>
        <v>0</v>
      </c>
      <c r="Q1127" s="181" t="b">
        <f>COUNTIF('Account Data'!$A$1:$A$1000,"*"&amp;A1127&amp;"*")&gt;0</f>
        <v>0</v>
      </c>
      <c r="R1127" s="182" t="b">
        <f t="shared" si="383"/>
        <v>0</v>
      </c>
      <c r="S1127" s="182" t="b">
        <f>IF(OR(Q1127=TRUE,T1127=TRUE),TRUE,FALSE)</f>
        <v>0</v>
      </c>
      <c r="T1127" s="181" t="b">
        <f>COUNTIF('New Items'!$A$1:$A$175,A1127)&gt;0</f>
        <v>0</v>
      </c>
      <c r="U1127" s="181" t="b">
        <f>COUNTIF(Discontinued!$A$1:$A$150,A1127)&gt;0</f>
        <v>0</v>
      </c>
    </row>
    <row r="1128" spans="1:21" s="8" customFormat="1" ht="11.25" x14ac:dyDescent="0.2">
      <c r="A1128" s="290">
        <v>10136520</v>
      </c>
      <c r="B1128" s="10" t="s">
        <v>4534</v>
      </c>
      <c r="C1128" s="118" t="s">
        <v>1343</v>
      </c>
      <c r="D1128" s="119" t="s">
        <v>1338</v>
      </c>
      <c r="E1128" s="118" t="s">
        <v>772</v>
      </c>
      <c r="F1128" s="120">
        <v>12</v>
      </c>
      <c r="G1128" s="121">
        <f>Overview!$B$87</f>
        <v>15</v>
      </c>
      <c r="H1128" s="114">
        <f t="shared" si="379"/>
        <v>15</v>
      </c>
      <c r="I1128" s="114">
        <f>Overview!$E$87</f>
        <v>0</v>
      </c>
      <c r="J1128" s="115">
        <f t="shared" si="380"/>
        <v>0</v>
      </c>
      <c r="K1128" s="116">
        <f>Overview!$H$87</f>
        <v>0</v>
      </c>
      <c r="L1128" s="117" t="e">
        <f t="shared" si="381"/>
        <v>#DIV/0!</v>
      </c>
      <c r="M1128" s="179"/>
      <c r="N1128" s="179" t="s">
        <v>3139</v>
      </c>
      <c r="O1128" s="141">
        <f t="shared" si="382"/>
        <v>0</v>
      </c>
      <c r="P1128" s="181" t="b">
        <f>COUNTIF('Facility Data'!$A$1:$A$1500,"*"&amp;A1128&amp;"*")&gt;0</f>
        <v>0</v>
      </c>
      <c r="Q1128" s="181" t="b">
        <f>COUNTIF('Account Data'!$A$1:$A$1000,"*"&amp;A1128&amp;"*")&gt;0</f>
        <v>0</v>
      </c>
      <c r="R1128" s="182" t="b">
        <f t="shared" si="383"/>
        <v>1</v>
      </c>
      <c r="S1128" s="182" t="b">
        <f t="shared" si="384"/>
        <v>1</v>
      </c>
      <c r="T1128" s="181" t="b">
        <f>COUNTIF('New Items'!$A$1:$A$175,A1128)&gt;0</f>
        <v>1</v>
      </c>
      <c r="U1128" s="181" t="b">
        <f>COUNTIF(Discontinued!$A$1:$A$150,A1128)&gt;0</f>
        <v>0</v>
      </c>
    </row>
    <row r="1129" spans="1:21" s="8" customFormat="1" ht="11.25" x14ac:dyDescent="0.2">
      <c r="A1129" s="290">
        <v>10136509</v>
      </c>
      <c r="B1129" s="10" t="s">
        <v>4528</v>
      </c>
      <c r="C1129" s="118" t="s">
        <v>853</v>
      </c>
      <c r="D1129" s="119" t="s">
        <v>683</v>
      </c>
      <c r="E1129" s="118" t="s">
        <v>772</v>
      </c>
      <c r="F1129" s="120">
        <v>12</v>
      </c>
      <c r="G1129" s="121">
        <f>Overview!$B$87</f>
        <v>15</v>
      </c>
      <c r="H1129" s="114">
        <f t="shared" si="379"/>
        <v>15</v>
      </c>
      <c r="I1129" s="114">
        <f>Overview!$E$87</f>
        <v>0</v>
      </c>
      <c r="J1129" s="115">
        <f t="shared" si="380"/>
        <v>0</v>
      </c>
      <c r="K1129" s="116">
        <f>Overview!$H$87</f>
        <v>0</v>
      </c>
      <c r="L1129" s="117" t="e">
        <f t="shared" si="381"/>
        <v>#DIV/0!</v>
      </c>
      <c r="M1129" s="179"/>
      <c r="N1129" s="179" t="s">
        <v>3139</v>
      </c>
      <c r="O1129" s="141">
        <f t="shared" si="382"/>
        <v>0</v>
      </c>
      <c r="P1129" s="181" t="b">
        <f>COUNTIF('Facility Data'!$A$1:$A$1500,"*"&amp;A1129&amp;"*")&gt;0</f>
        <v>0</v>
      </c>
      <c r="Q1129" s="181" t="b">
        <f>COUNTIF('Account Data'!$A$1:$A$1000,"*"&amp;A1129&amp;"*")&gt;0</f>
        <v>0</v>
      </c>
      <c r="R1129" s="182" t="b">
        <f t="shared" si="383"/>
        <v>1</v>
      </c>
      <c r="S1129" s="182" t="b">
        <f t="shared" si="384"/>
        <v>1</v>
      </c>
      <c r="T1129" s="181" t="b">
        <f>COUNTIF('New Items'!$A$1:$A$175,A1129)&gt;0</f>
        <v>1</v>
      </c>
      <c r="U1129" s="181" t="b">
        <f>COUNTIF(Discontinued!$A$1:$A$150,A1129)&gt;0</f>
        <v>0</v>
      </c>
    </row>
    <row r="1130" spans="1:21" s="8" customFormat="1" ht="11.25" x14ac:dyDescent="0.2">
      <c r="A1130" s="160">
        <v>10109317</v>
      </c>
      <c r="B1130" s="231" t="s">
        <v>996</v>
      </c>
      <c r="C1130" s="118" t="s">
        <v>997</v>
      </c>
      <c r="D1130" s="119" t="s">
        <v>999</v>
      </c>
      <c r="E1130" s="118" t="s">
        <v>772</v>
      </c>
      <c r="F1130" s="120">
        <v>12</v>
      </c>
      <c r="G1130" s="121">
        <f>Overview!$B$87</f>
        <v>15</v>
      </c>
      <c r="H1130" s="114">
        <f t="shared" si="379"/>
        <v>15</v>
      </c>
      <c r="I1130" s="114">
        <f>Overview!$E$87</f>
        <v>0</v>
      </c>
      <c r="J1130" s="115">
        <f t="shared" si="380"/>
        <v>0</v>
      </c>
      <c r="K1130" s="116">
        <f>Overview!$H$87</f>
        <v>0</v>
      </c>
      <c r="L1130" s="117" t="e">
        <f t="shared" si="381"/>
        <v>#DIV/0!</v>
      </c>
      <c r="M1130" s="179" t="s">
        <v>1000</v>
      </c>
      <c r="N1130" s="179" t="s">
        <v>3139</v>
      </c>
      <c r="O1130" s="141">
        <f t="shared" si="382"/>
        <v>0</v>
      </c>
      <c r="P1130" s="181" t="b">
        <f>COUNTIF('Facility Data'!$A$1:$A$1500,"*"&amp;A1130&amp;"*")&gt;0</f>
        <v>0</v>
      </c>
      <c r="Q1130" s="181" t="b">
        <f>COUNTIF('Account Data'!$A$1:$A$1000,"*"&amp;A1130&amp;"*")&gt;0</f>
        <v>1</v>
      </c>
      <c r="R1130" s="182" t="b">
        <f t="shared" si="383"/>
        <v>0</v>
      </c>
      <c r="S1130" s="182" t="b">
        <f t="shared" si="384"/>
        <v>1</v>
      </c>
      <c r="T1130" s="181" t="b">
        <f>COUNTIF('New Items'!$A$1:$A$175,A1130)&gt;0</f>
        <v>0</v>
      </c>
      <c r="U1130" s="181" t="b">
        <f>COUNTIF(Discontinued!$A$1:$A$150,A1130)&gt;0</f>
        <v>0</v>
      </c>
    </row>
    <row r="1131" spans="1:21" s="8" customFormat="1" ht="11.25" x14ac:dyDescent="0.2">
      <c r="A1131" s="160">
        <v>10133999</v>
      </c>
      <c r="B1131" s="231" t="s">
        <v>3995</v>
      </c>
      <c r="C1131" s="118" t="s">
        <v>3996</v>
      </c>
      <c r="D1131" s="119" t="s">
        <v>754</v>
      </c>
      <c r="E1131" s="118" t="s">
        <v>772</v>
      </c>
      <c r="F1131" s="120">
        <v>12</v>
      </c>
      <c r="G1131" s="121">
        <f>Overview!$B$87</f>
        <v>15</v>
      </c>
      <c r="H1131" s="114">
        <f t="shared" si="379"/>
        <v>15</v>
      </c>
      <c r="I1131" s="114">
        <f>Overview!$E$87</f>
        <v>0</v>
      </c>
      <c r="J1131" s="115">
        <f t="shared" si="380"/>
        <v>0</v>
      </c>
      <c r="K1131" s="116">
        <f>Overview!$H$87</f>
        <v>0</v>
      </c>
      <c r="L1131" s="117" t="e">
        <f t="shared" si="381"/>
        <v>#DIV/0!</v>
      </c>
      <c r="M1131" s="179"/>
      <c r="N1131" s="179" t="s">
        <v>3139</v>
      </c>
      <c r="O1131" s="141">
        <f t="shared" si="382"/>
        <v>0</v>
      </c>
      <c r="P1131" s="181" t="b">
        <f>COUNTIF('Facility Data'!$A$1:$A$1500,"*"&amp;A1131&amp;"*")&gt;0</f>
        <v>0</v>
      </c>
      <c r="Q1131" s="181" t="b">
        <f>COUNTIF('Account Data'!$A$1:$A$1000,"*"&amp;A1131&amp;"*")&gt;0</f>
        <v>0</v>
      </c>
      <c r="R1131" s="182" t="b">
        <f t="shared" si="383"/>
        <v>0</v>
      </c>
      <c r="S1131" s="182" t="b">
        <f t="shared" si="384"/>
        <v>0</v>
      </c>
      <c r="T1131" s="181" t="b">
        <f>COUNTIF('New Items'!$A$1:$A$175,A1131)&gt;0</f>
        <v>0</v>
      </c>
      <c r="U1131" s="181" t="b">
        <f>COUNTIF(Discontinued!$A$1:$A$150,A1131)&gt;0</f>
        <v>0</v>
      </c>
    </row>
    <row r="1132" spans="1:21" s="8" customFormat="1" ht="11.25" x14ac:dyDescent="0.2">
      <c r="A1132" s="290">
        <v>10136576</v>
      </c>
      <c r="B1132" s="10" t="s">
        <v>4544</v>
      </c>
      <c r="C1132" s="118" t="s">
        <v>1755</v>
      </c>
      <c r="D1132" s="119" t="s">
        <v>1756</v>
      </c>
      <c r="E1132" s="118" t="s">
        <v>772</v>
      </c>
      <c r="F1132" s="120">
        <v>12</v>
      </c>
      <c r="G1132" s="121">
        <f>Overview!$B$87</f>
        <v>15</v>
      </c>
      <c r="H1132" s="114">
        <f t="shared" si="379"/>
        <v>15</v>
      </c>
      <c r="I1132" s="114">
        <f>Overview!$E$87</f>
        <v>0</v>
      </c>
      <c r="J1132" s="115">
        <f t="shared" si="380"/>
        <v>0</v>
      </c>
      <c r="K1132" s="116">
        <f>Overview!$H$87</f>
        <v>0</v>
      </c>
      <c r="L1132" s="117" t="e">
        <f t="shared" si="381"/>
        <v>#DIV/0!</v>
      </c>
      <c r="M1132" s="179"/>
      <c r="N1132" s="179" t="s">
        <v>3139</v>
      </c>
      <c r="O1132" s="141">
        <f t="shared" si="382"/>
        <v>0</v>
      </c>
      <c r="P1132" s="181" t="b">
        <f>COUNTIF('Facility Data'!$A$1:$A$1500,"*"&amp;A1132&amp;"*")&gt;0</f>
        <v>0</v>
      </c>
      <c r="Q1132" s="181" t="b">
        <f>COUNTIF('Account Data'!$A$1:$A$1000,"*"&amp;A1132&amp;"*")&gt;0</f>
        <v>0</v>
      </c>
      <c r="R1132" s="182" t="b">
        <f t="shared" si="383"/>
        <v>1</v>
      </c>
      <c r="S1132" s="182" t="b">
        <f t="shared" si="384"/>
        <v>1</v>
      </c>
      <c r="T1132" s="181" t="b">
        <f>COUNTIF('New Items'!$A$1:$A$175,A1132)&gt;0</f>
        <v>1</v>
      </c>
      <c r="U1132" s="181" t="b">
        <f>COUNTIF(Discontinued!$A$1:$A$150,A1132)&gt;0</f>
        <v>0</v>
      </c>
    </row>
    <row r="1133" spans="1:21" s="8" customFormat="1" ht="11.25" x14ac:dyDescent="0.2">
      <c r="A1133" s="289">
        <v>10136506</v>
      </c>
      <c r="B1133" s="231" t="s">
        <v>4536</v>
      </c>
      <c r="C1133" s="118" t="s">
        <v>855</v>
      </c>
      <c r="D1133" s="119" t="s">
        <v>685</v>
      </c>
      <c r="E1133" s="118" t="s">
        <v>772</v>
      </c>
      <c r="F1133" s="120">
        <v>12</v>
      </c>
      <c r="G1133" s="121">
        <f>Overview!$B$87</f>
        <v>15</v>
      </c>
      <c r="H1133" s="114">
        <f t="shared" si="379"/>
        <v>15</v>
      </c>
      <c r="I1133" s="114">
        <f>Overview!$E$87</f>
        <v>0</v>
      </c>
      <c r="J1133" s="115">
        <f t="shared" si="380"/>
        <v>0</v>
      </c>
      <c r="K1133" s="116">
        <f>Overview!$H$87</f>
        <v>0</v>
      </c>
      <c r="L1133" s="117" t="e">
        <f t="shared" si="381"/>
        <v>#DIV/0!</v>
      </c>
      <c r="M1133" s="179"/>
      <c r="N1133" s="179" t="s">
        <v>3139</v>
      </c>
      <c r="O1133" s="141">
        <f t="shared" si="382"/>
        <v>0</v>
      </c>
      <c r="P1133" s="181" t="b">
        <f>COUNTIF('Facility Data'!$A$1:$A$1500,"*"&amp;A1133&amp;"*")&gt;0</f>
        <v>0</v>
      </c>
      <c r="Q1133" s="181" t="b">
        <f>COUNTIF('Account Data'!$A$1:$A$1000,"*"&amp;A1133&amp;"*")&gt;0</f>
        <v>0</v>
      </c>
      <c r="R1133" s="182" t="b">
        <f t="shared" si="383"/>
        <v>1</v>
      </c>
      <c r="S1133" s="182" t="b">
        <f t="shared" si="384"/>
        <v>1</v>
      </c>
      <c r="T1133" s="181" t="b">
        <f>COUNTIF('New Items'!$A$1:$A$175,A1133)&gt;0</f>
        <v>1</v>
      </c>
      <c r="U1133" s="181" t="b">
        <f>COUNTIF(Discontinued!$A$1:$A$150,A1133)&gt;0</f>
        <v>0</v>
      </c>
    </row>
    <row r="1134" spans="1:21" s="8" customFormat="1" ht="11.25" x14ac:dyDescent="0.2">
      <c r="A1134" s="290">
        <v>10136538</v>
      </c>
      <c r="B1134" s="10" t="s">
        <v>4541</v>
      </c>
      <c r="C1134" s="118" t="s">
        <v>841</v>
      </c>
      <c r="D1134" s="119" t="s">
        <v>690</v>
      </c>
      <c r="E1134" s="118" t="s">
        <v>772</v>
      </c>
      <c r="F1134" s="120">
        <v>12</v>
      </c>
      <c r="G1134" s="121">
        <f>Overview!$B$87</f>
        <v>15</v>
      </c>
      <c r="H1134" s="114">
        <f t="shared" si="379"/>
        <v>15</v>
      </c>
      <c r="I1134" s="114">
        <f>Overview!$E$87</f>
        <v>0</v>
      </c>
      <c r="J1134" s="115">
        <f t="shared" si="380"/>
        <v>0</v>
      </c>
      <c r="K1134" s="116">
        <f>Overview!$H$87</f>
        <v>0</v>
      </c>
      <c r="L1134" s="117" t="e">
        <f t="shared" si="381"/>
        <v>#DIV/0!</v>
      </c>
      <c r="M1134" s="179"/>
      <c r="N1134" s="179" t="s">
        <v>3139</v>
      </c>
      <c r="O1134" s="141">
        <f t="shared" si="382"/>
        <v>0</v>
      </c>
      <c r="P1134" s="181" t="b">
        <f>COUNTIF('Facility Data'!$A$1:$A$1500,"*"&amp;A1134&amp;"*")&gt;0</f>
        <v>0</v>
      </c>
      <c r="Q1134" s="181" t="b">
        <f>COUNTIF('Account Data'!$A$1:$A$1000,"*"&amp;A1134&amp;"*")&gt;0</f>
        <v>0</v>
      </c>
      <c r="R1134" s="182" t="b">
        <f t="shared" si="383"/>
        <v>1</v>
      </c>
      <c r="S1134" s="182" t="b">
        <f t="shared" si="384"/>
        <v>1</v>
      </c>
      <c r="T1134" s="181" t="b">
        <f>COUNTIF('New Items'!$A$1:$A$175,A1134)&gt;0</f>
        <v>1</v>
      </c>
      <c r="U1134" s="181" t="b">
        <f>COUNTIF(Discontinued!$A$1:$A$150,A1134)&gt;0</f>
        <v>0</v>
      </c>
    </row>
    <row r="1135" spans="1:21" s="8" customFormat="1" ht="11.25" x14ac:dyDescent="0.2">
      <c r="A1135" s="289">
        <v>10136464</v>
      </c>
      <c r="B1135" s="231" t="s">
        <v>4547</v>
      </c>
      <c r="C1135" s="118" t="s">
        <v>1119</v>
      </c>
      <c r="D1135" s="119" t="s">
        <v>1118</v>
      </c>
      <c r="E1135" s="118" t="s">
        <v>772</v>
      </c>
      <c r="F1135" s="120">
        <v>12</v>
      </c>
      <c r="G1135" s="121">
        <f>Overview!$B$87</f>
        <v>15</v>
      </c>
      <c r="H1135" s="114">
        <f t="shared" si="379"/>
        <v>15</v>
      </c>
      <c r="I1135" s="114">
        <f>Overview!$E$87</f>
        <v>0</v>
      </c>
      <c r="J1135" s="115">
        <f t="shared" si="380"/>
        <v>0</v>
      </c>
      <c r="K1135" s="116">
        <f>Overview!$H$87</f>
        <v>0</v>
      </c>
      <c r="L1135" s="117" t="e">
        <f t="shared" si="381"/>
        <v>#DIV/0!</v>
      </c>
      <c r="M1135" s="179" t="s">
        <v>1252</v>
      </c>
      <c r="N1135" s="179" t="s">
        <v>3139</v>
      </c>
      <c r="O1135" s="141">
        <f t="shared" si="382"/>
        <v>0</v>
      </c>
      <c r="P1135" s="181" t="b">
        <f>COUNTIF('Facility Data'!$A$1:$A$1500,"*"&amp;A1135&amp;"*")&gt;0</f>
        <v>0</v>
      </c>
      <c r="Q1135" s="181" t="b">
        <f>COUNTIF('Account Data'!$A$1:$A$1000,"*"&amp;A1135&amp;"*")&gt;0</f>
        <v>0</v>
      </c>
      <c r="R1135" s="182" t="b">
        <f t="shared" si="383"/>
        <v>1</v>
      </c>
      <c r="S1135" s="182" t="b">
        <f t="shared" si="384"/>
        <v>1</v>
      </c>
      <c r="T1135" s="181" t="b">
        <f>COUNTIF('New Items'!$A$1:$A$175,A1135)&gt;0</f>
        <v>1</v>
      </c>
      <c r="U1135" s="181" t="b">
        <f>COUNTIF(Discontinued!$A$1:$A$150,A1135)&gt;0</f>
        <v>0</v>
      </c>
    </row>
    <row r="1136" spans="1:21" s="8" customFormat="1" ht="12" thickBot="1" x14ac:dyDescent="0.25">
      <c r="A1136" s="289">
        <v>10136470</v>
      </c>
      <c r="B1136" s="231" t="s">
        <v>4545</v>
      </c>
      <c r="C1136" s="118" t="s">
        <v>1117</v>
      </c>
      <c r="D1136" s="119" t="s">
        <v>725</v>
      </c>
      <c r="E1136" s="118" t="s">
        <v>772</v>
      </c>
      <c r="F1136" s="120">
        <v>12</v>
      </c>
      <c r="G1136" s="121">
        <f>Overview!$B$87</f>
        <v>15</v>
      </c>
      <c r="H1136" s="114">
        <f t="shared" si="379"/>
        <v>15</v>
      </c>
      <c r="I1136" s="114">
        <f>Overview!$E$87</f>
        <v>0</v>
      </c>
      <c r="J1136" s="115">
        <f t="shared" si="380"/>
        <v>0</v>
      </c>
      <c r="K1136" s="116">
        <f>Overview!$H$87</f>
        <v>0</v>
      </c>
      <c r="L1136" s="117" t="e">
        <f t="shared" si="381"/>
        <v>#DIV/0!</v>
      </c>
      <c r="M1136" s="179"/>
      <c r="N1136" s="179" t="s">
        <v>3139</v>
      </c>
      <c r="O1136" s="141">
        <f t="shared" si="382"/>
        <v>0</v>
      </c>
      <c r="P1136" s="181" t="b">
        <f>COUNTIF('Facility Data'!$A$1:$A$1500,"*"&amp;A1136&amp;"*")&gt;0</f>
        <v>0</v>
      </c>
      <c r="Q1136" s="181" t="b">
        <f>COUNTIF('Account Data'!$A$1:$A$1000,"*"&amp;A1136&amp;"*")&gt;0</f>
        <v>0</v>
      </c>
      <c r="R1136" s="182" t="b">
        <f t="shared" si="383"/>
        <v>1</v>
      </c>
      <c r="S1136" s="182" t="b">
        <f t="shared" si="384"/>
        <v>1</v>
      </c>
      <c r="T1136" s="181" t="b">
        <f>COUNTIF('New Items'!$A$1:$A$175,A1136)&gt;0</f>
        <v>1</v>
      </c>
      <c r="U1136" s="181" t="b">
        <f>COUNTIF(Discontinued!$A$1:$A$150,A1136)&gt;0</f>
        <v>0</v>
      </c>
    </row>
    <row r="1137" spans="1:21" s="8" customFormat="1" ht="13.5" thickBot="1" x14ac:dyDescent="0.25">
      <c r="A1137" s="300" t="s">
        <v>2932</v>
      </c>
      <c r="B1137" s="301"/>
      <c r="C1137" s="301"/>
      <c r="D1137" s="301"/>
      <c r="E1137" s="301"/>
      <c r="F1137" s="301"/>
      <c r="G1137" s="301"/>
      <c r="H1137" s="301"/>
      <c r="I1137" s="301"/>
      <c r="J1137" s="301"/>
      <c r="K1137" s="301"/>
      <c r="L1137" s="302"/>
      <c r="M1137" s="179"/>
      <c r="N1137" s="179" t="s">
        <v>3140</v>
      </c>
      <c r="O1137" s="141">
        <f>AVERAGE(O1138:O1181)</f>
        <v>0</v>
      </c>
      <c r="P1137" s="181" t="b">
        <f>COUNTIF(P1138:P1181,TRUE)&gt;0</f>
        <v>0</v>
      </c>
      <c r="Q1137" s="181" t="b">
        <f>COUNTIF(Q1138:Q1181,TRUE)&gt;0</f>
        <v>0</v>
      </c>
      <c r="R1137" s="181" t="b">
        <f>COUNTIF(R1138:R1181,TRUE)&gt;0</f>
        <v>1</v>
      </c>
      <c r="S1137" s="181" t="b">
        <f>COUNTIF(S1138:S1181,TRUE)&gt;0</f>
        <v>1</v>
      </c>
      <c r="T1137" s="181" t="b">
        <f>COUNTIF(T1138:T1181,TRUE)&gt;0</f>
        <v>1</v>
      </c>
      <c r="U1137" s="249"/>
    </row>
    <row r="1138" spans="1:21" s="8" customFormat="1" ht="11.25" x14ac:dyDescent="0.2">
      <c r="A1138" s="290">
        <v>10136463</v>
      </c>
      <c r="B1138" s="10" t="s">
        <v>4549</v>
      </c>
      <c r="C1138" s="12" t="s">
        <v>1121</v>
      </c>
      <c r="D1138" s="11" t="s">
        <v>1120</v>
      </c>
      <c r="E1138" s="12" t="s">
        <v>772</v>
      </c>
      <c r="F1138" s="13">
        <v>24</v>
      </c>
      <c r="G1138" s="22">
        <f>Overview!$B$88</f>
        <v>30</v>
      </c>
      <c r="H1138" s="23">
        <f t="shared" ref="H1138:H1179" si="385">G1138-I1138</f>
        <v>30</v>
      </c>
      <c r="I1138" s="114">
        <f>Overview!$E$88</f>
        <v>0</v>
      </c>
      <c r="J1138" s="24">
        <f t="shared" ref="J1138:J1179" si="386">I1138/F1138</f>
        <v>0</v>
      </c>
      <c r="K1138" s="116">
        <f>Overview!$H$88</f>
        <v>0</v>
      </c>
      <c r="L1138" s="51" t="e">
        <f t="shared" ref="L1138:L1179" si="387">(K1138-J1138)/K1138</f>
        <v>#DIV/0!</v>
      </c>
      <c r="M1138" s="179"/>
      <c r="N1138" s="179" t="s">
        <v>3140</v>
      </c>
      <c r="O1138" s="141">
        <f t="shared" ref="O1138:O1179" si="388">I1138</f>
        <v>0</v>
      </c>
      <c r="P1138" s="181" t="b">
        <f>COUNTIF('Facility Data'!$A$1:$A$1500,"*"&amp;A1138&amp;"*")&gt;0</f>
        <v>0</v>
      </c>
      <c r="Q1138" s="181" t="b">
        <f>COUNTIF('Account Data'!$A$1:$A$1000,"*"&amp;A1138&amp;"*")&gt;0</f>
        <v>0</v>
      </c>
      <c r="R1138" s="182" t="b">
        <f t="shared" ref="R1138:R1181" si="389">IF(OR(P1138=TRUE,T1138=TRUE),TRUE,FALSE)</f>
        <v>1</v>
      </c>
      <c r="S1138" s="182" t="b">
        <f t="shared" ref="S1138:S1179" si="390">IF(OR(Q1138=TRUE,T1138=TRUE),TRUE,FALSE)</f>
        <v>1</v>
      </c>
      <c r="T1138" s="181" t="b">
        <f>COUNTIF('New Items'!$A$1:$A$175,A1138)&gt;0</f>
        <v>1</v>
      </c>
      <c r="U1138" s="181" t="b">
        <f>COUNTIF(Discontinued!$A$1:$A$150,A1138)&gt;0</f>
        <v>0</v>
      </c>
    </row>
    <row r="1139" spans="1:21" s="8" customFormat="1" ht="11.25" x14ac:dyDescent="0.2">
      <c r="A1139" s="290">
        <v>10136513</v>
      </c>
      <c r="B1139" s="10" t="s">
        <v>4568</v>
      </c>
      <c r="C1139" s="12" t="s">
        <v>1789</v>
      </c>
      <c r="D1139" s="11" t="s">
        <v>1798</v>
      </c>
      <c r="E1139" s="12" t="s">
        <v>772</v>
      </c>
      <c r="F1139" s="13">
        <v>24</v>
      </c>
      <c r="G1139" s="22">
        <f>Overview!$B$88</f>
        <v>30</v>
      </c>
      <c r="H1139" s="23">
        <f>G1139-I1139</f>
        <v>30</v>
      </c>
      <c r="I1139" s="114">
        <f>Overview!$E$88</f>
        <v>0</v>
      </c>
      <c r="J1139" s="24">
        <f>I1139/F1139</f>
        <v>0</v>
      </c>
      <c r="K1139" s="116">
        <f>Overview!$H$88</f>
        <v>0</v>
      </c>
      <c r="L1139" s="51" t="e">
        <f>(K1139-J1139)/K1139</f>
        <v>#DIV/0!</v>
      </c>
      <c r="M1139" s="179"/>
      <c r="N1139" s="179" t="s">
        <v>3140</v>
      </c>
      <c r="O1139" s="141">
        <f>I1139</f>
        <v>0</v>
      </c>
      <c r="P1139" s="181" t="b">
        <f>COUNTIF('Facility Data'!$A$1:$A$1500,"*"&amp;A1139&amp;"*")&gt;0</f>
        <v>0</v>
      </c>
      <c r="Q1139" s="181" t="b">
        <f>COUNTIF('Account Data'!$A$1:$A$1000,"*"&amp;A1139&amp;"*")&gt;0</f>
        <v>0</v>
      </c>
      <c r="R1139" s="182" t="b">
        <f t="shared" si="389"/>
        <v>1</v>
      </c>
      <c r="S1139" s="182" t="b">
        <f>IF(OR(Q1139=TRUE,T1139=TRUE),TRUE,FALSE)</f>
        <v>1</v>
      </c>
      <c r="T1139" s="181" t="b">
        <f>COUNTIF('New Items'!$A$1:$A$175,A1139)&gt;0</f>
        <v>1</v>
      </c>
      <c r="U1139" s="181" t="b">
        <f>COUNTIF(Discontinued!$A$1:$A$150,A1139)&gt;0</f>
        <v>0</v>
      </c>
    </row>
    <row r="1140" spans="1:21" s="8" customFormat="1" ht="11.25" x14ac:dyDescent="0.2">
      <c r="A1140" s="290">
        <v>10136489</v>
      </c>
      <c r="B1140" s="10" t="s">
        <v>4556</v>
      </c>
      <c r="C1140" s="12" t="s">
        <v>1795</v>
      </c>
      <c r="D1140" s="11" t="s">
        <v>1753</v>
      </c>
      <c r="E1140" s="12" t="s">
        <v>772</v>
      </c>
      <c r="F1140" s="13">
        <v>24</v>
      </c>
      <c r="G1140" s="22">
        <f>Overview!$B$88</f>
        <v>30</v>
      </c>
      <c r="H1140" s="23">
        <f t="shared" si="385"/>
        <v>30</v>
      </c>
      <c r="I1140" s="114">
        <f>Overview!$E$88</f>
        <v>0</v>
      </c>
      <c r="J1140" s="24">
        <f t="shared" si="386"/>
        <v>0</v>
      </c>
      <c r="K1140" s="116">
        <f>Overview!$H$88</f>
        <v>0</v>
      </c>
      <c r="L1140" s="51" t="e">
        <f t="shared" si="387"/>
        <v>#DIV/0!</v>
      </c>
      <c r="M1140" s="179"/>
      <c r="N1140" s="179" t="s">
        <v>3140</v>
      </c>
      <c r="O1140" s="141">
        <f t="shared" si="388"/>
        <v>0</v>
      </c>
      <c r="P1140" s="181" t="b">
        <f>COUNTIF('Facility Data'!$A$1:$A$1500,"*"&amp;A1140&amp;"*")&gt;0</f>
        <v>0</v>
      </c>
      <c r="Q1140" s="181" t="b">
        <f>COUNTIF('Account Data'!$A$1:$A$1000,"*"&amp;A1140&amp;"*")&gt;0</f>
        <v>0</v>
      </c>
      <c r="R1140" s="182" t="b">
        <f t="shared" si="389"/>
        <v>1</v>
      </c>
      <c r="S1140" s="182" t="b">
        <f t="shared" si="390"/>
        <v>1</v>
      </c>
      <c r="T1140" s="181" t="b">
        <f>COUNTIF('New Items'!$A$1:$A$175,A1140)&gt;0</f>
        <v>1</v>
      </c>
      <c r="U1140" s="181" t="b">
        <f>COUNTIF(Discontinued!$A$1:$A$150,A1140)&gt;0</f>
        <v>0</v>
      </c>
    </row>
    <row r="1141" spans="1:21" s="8" customFormat="1" ht="11.25" x14ac:dyDescent="0.2">
      <c r="A1141" s="290">
        <v>10136496</v>
      </c>
      <c r="B1141" s="10" t="s">
        <v>4559</v>
      </c>
      <c r="C1141" s="12" t="s">
        <v>1767</v>
      </c>
      <c r="D1141" s="11" t="s">
        <v>1751</v>
      </c>
      <c r="E1141" s="12" t="s">
        <v>772</v>
      </c>
      <c r="F1141" s="13">
        <v>24</v>
      </c>
      <c r="G1141" s="22">
        <f>Overview!$B$88</f>
        <v>30</v>
      </c>
      <c r="H1141" s="23">
        <f t="shared" si="385"/>
        <v>30</v>
      </c>
      <c r="I1141" s="114">
        <f>Overview!$E$88</f>
        <v>0</v>
      </c>
      <c r="J1141" s="24">
        <f t="shared" si="386"/>
        <v>0</v>
      </c>
      <c r="K1141" s="116">
        <f>Overview!$H$88</f>
        <v>0</v>
      </c>
      <c r="L1141" s="51" t="e">
        <f t="shared" si="387"/>
        <v>#DIV/0!</v>
      </c>
      <c r="M1141" s="179"/>
      <c r="N1141" s="179" t="s">
        <v>3140</v>
      </c>
      <c r="O1141" s="141">
        <f t="shared" si="388"/>
        <v>0</v>
      </c>
      <c r="P1141" s="181" t="b">
        <f>COUNTIF('Facility Data'!$A$1:$A$1500,"*"&amp;A1141&amp;"*")&gt;0</f>
        <v>0</v>
      </c>
      <c r="Q1141" s="181" t="b">
        <f>COUNTIF('Account Data'!$A$1:$A$1000,"*"&amp;A1141&amp;"*")&gt;0</f>
        <v>0</v>
      </c>
      <c r="R1141" s="182" t="b">
        <f t="shared" si="389"/>
        <v>1</v>
      </c>
      <c r="S1141" s="182" t="b">
        <f t="shared" si="390"/>
        <v>1</v>
      </c>
      <c r="T1141" s="181" t="b">
        <f>COUNTIF('New Items'!$A$1:$A$175,A1141)&gt;0</f>
        <v>1</v>
      </c>
      <c r="U1141" s="181" t="b">
        <f>COUNTIF(Discontinued!$A$1:$A$150,A1141)&gt;0</f>
        <v>0</v>
      </c>
    </row>
    <row r="1142" spans="1:21" s="8" customFormat="1" ht="11.25" x14ac:dyDescent="0.2">
      <c r="A1142" s="290">
        <v>10136495</v>
      </c>
      <c r="B1142" s="10" t="s">
        <v>4558</v>
      </c>
      <c r="C1142" s="12" t="s">
        <v>835</v>
      </c>
      <c r="D1142" s="11" t="s">
        <v>689</v>
      </c>
      <c r="E1142" s="12" t="s">
        <v>772</v>
      </c>
      <c r="F1142" s="13">
        <v>24</v>
      </c>
      <c r="G1142" s="22">
        <f>Overview!$B$88</f>
        <v>30</v>
      </c>
      <c r="H1142" s="23">
        <f t="shared" si="385"/>
        <v>30</v>
      </c>
      <c r="I1142" s="114">
        <f>Overview!$E$88</f>
        <v>0</v>
      </c>
      <c r="J1142" s="24">
        <f t="shared" si="386"/>
        <v>0</v>
      </c>
      <c r="K1142" s="116">
        <f>Overview!$H$88</f>
        <v>0</v>
      </c>
      <c r="L1142" s="51" t="e">
        <f t="shared" si="387"/>
        <v>#DIV/0!</v>
      </c>
      <c r="M1142" s="179"/>
      <c r="N1142" s="179" t="s">
        <v>3140</v>
      </c>
      <c r="O1142" s="141">
        <f t="shared" si="388"/>
        <v>0</v>
      </c>
      <c r="P1142" s="181" t="b">
        <f>COUNTIF('Facility Data'!$A$1:$A$1500,"*"&amp;A1142&amp;"*")&gt;0</f>
        <v>0</v>
      </c>
      <c r="Q1142" s="181" t="b">
        <f>COUNTIF('Account Data'!$A$1:$A$1000,"*"&amp;A1142&amp;"*")&gt;0</f>
        <v>0</v>
      </c>
      <c r="R1142" s="182" t="b">
        <f t="shared" si="389"/>
        <v>1</v>
      </c>
      <c r="S1142" s="182" t="b">
        <f t="shared" si="390"/>
        <v>1</v>
      </c>
      <c r="T1142" s="181" t="b">
        <f>COUNTIF('New Items'!$A$1:$A$175,A1142)&gt;0</f>
        <v>1</v>
      </c>
      <c r="U1142" s="181" t="b">
        <f>COUNTIF(Discontinued!$A$1:$A$150,A1142)&gt;0</f>
        <v>0</v>
      </c>
    </row>
    <row r="1143" spans="1:21" s="8" customFormat="1" ht="11.25" x14ac:dyDescent="0.2">
      <c r="A1143" s="290">
        <v>10136497</v>
      </c>
      <c r="B1143" s="10" t="s">
        <v>4560</v>
      </c>
      <c r="C1143" s="12" t="s">
        <v>1337</v>
      </c>
      <c r="D1143" s="11" t="s">
        <v>1327</v>
      </c>
      <c r="E1143" s="12" t="s">
        <v>772</v>
      </c>
      <c r="F1143" s="13">
        <v>24</v>
      </c>
      <c r="G1143" s="22">
        <f>Overview!$B$88</f>
        <v>30</v>
      </c>
      <c r="H1143" s="23">
        <f t="shared" si="385"/>
        <v>30</v>
      </c>
      <c r="I1143" s="114">
        <f>Overview!$E$88</f>
        <v>0</v>
      </c>
      <c r="J1143" s="24">
        <f t="shared" si="386"/>
        <v>0</v>
      </c>
      <c r="K1143" s="116">
        <f>Overview!$H$88</f>
        <v>0</v>
      </c>
      <c r="L1143" s="51" t="e">
        <f t="shared" si="387"/>
        <v>#DIV/0!</v>
      </c>
      <c r="M1143" s="179"/>
      <c r="N1143" s="179" t="s">
        <v>3140</v>
      </c>
      <c r="O1143" s="141">
        <f t="shared" si="388"/>
        <v>0</v>
      </c>
      <c r="P1143" s="181" t="b">
        <f>COUNTIF('Facility Data'!$A$1:$A$1500,"*"&amp;A1143&amp;"*")&gt;0</f>
        <v>0</v>
      </c>
      <c r="Q1143" s="181" t="b">
        <f>COUNTIF('Account Data'!$A$1:$A$1000,"*"&amp;A1143&amp;"*")&gt;0</f>
        <v>0</v>
      </c>
      <c r="R1143" s="182" t="b">
        <f t="shared" si="389"/>
        <v>1</v>
      </c>
      <c r="S1143" s="182" t="b">
        <f t="shared" si="390"/>
        <v>1</v>
      </c>
      <c r="T1143" s="181" t="b">
        <f>COUNTIF('New Items'!$A$1:$A$175,A1143)&gt;0</f>
        <v>1</v>
      </c>
      <c r="U1143" s="181" t="b">
        <f>COUNTIF(Discontinued!$A$1:$A$150,A1143)&gt;0</f>
        <v>0</v>
      </c>
    </row>
    <row r="1144" spans="1:21" s="8" customFormat="1" ht="11.25" x14ac:dyDescent="0.2">
      <c r="A1144" s="152">
        <v>10119503</v>
      </c>
      <c r="B1144" s="10" t="s">
        <v>2990</v>
      </c>
      <c r="C1144" s="12" t="s">
        <v>1337</v>
      </c>
      <c r="D1144" s="11" t="s">
        <v>1327</v>
      </c>
      <c r="E1144" s="12" t="s">
        <v>772</v>
      </c>
      <c r="F1144" s="13">
        <v>24</v>
      </c>
      <c r="G1144" s="22">
        <f>Overview!$B$88</f>
        <v>30</v>
      </c>
      <c r="H1144" s="23">
        <f t="shared" si="385"/>
        <v>30</v>
      </c>
      <c r="I1144" s="114">
        <f>Overview!$E$88</f>
        <v>0</v>
      </c>
      <c r="J1144" s="24">
        <f t="shared" si="386"/>
        <v>0</v>
      </c>
      <c r="K1144" s="116">
        <f>Overview!$H$88</f>
        <v>0</v>
      </c>
      <c r="L1144" s="51" t="e">
        <f t="shared" si="387"/>
        <v>#DIV/0!</v>
      </c>
      <c r="M1144" s="179" t="s">
        <v>2989</v>
      </c>
      <c r="N1144" s="179" t="s">
        <v>3140</v>
      </c>
      <c r="O1144" s="141">
        <f t="shared" si="388"/>
        <v>0</v>
      </c>
      <c r="P1144" s="181" t="b">
        <f>COUNTIF('Facility Data'!$A$1:$A$1500,"*"&amp;A1144&amp;"*")&gt;0</f>
        <v>0</v>
      </c>
      <c r="Q1144" s="181" t="b">
        <f>COUNTIF('Account Data'!$A$1:$A$1000,"*"&amp;A1144&amp;"*")&gt;0</f>
        <v>0</v>
      </c>
      <c r="R1144" s="182" t="b">
        <f t="shared" si="389"/>
        <v>0</v>
      </c>
      <c r="S1144" s="182" t="b">
        <f t="shared" si="390"/>
        <v>0</v>
      </c>
      <c r="T1144" s="181" t="b">
        <f>COUNTIF('New Items'!$A$1:$A$175,A1144)&gt;0</f>
        <v>0</v>
      </c>
      <c r="U1144" s="181" t="b">
        <f>COUNTIF(Discontinued!$A$1:$A$150,A1144)&gt;0</f>
        <v>0</v>
      </c>
    </row>
    <row r="1145" spans="1:21" s="8" customFormat="1" ht="11.25" x14ac:dyDescent="0.2">
      <c r="A1145" s="290">
        <v>10136536</v>
      </c>
      <c r="B1145" s="10" t="s">
        <v>4574</v>
      </c>
      <c r="C1145" s="12" t="s">
        <v>959</v>
      </c>
      <c r="D1145" s="11" t="s">
        <v>958</v>
      </c>
      <c r="E1145" s="12" t="s">
        <v>772</v>
      </c>
      <c r="F1145" s="13">
        <v>24</v>
      </c>
      <c r="G1145" s="22">
        <f>Overview!$B$88</f>
        <v>30</v>
      </c>
      <c r="H1145" s="23">
        <f>G1145-I1145</f>
        <v>30</v>
      </c>
      <c r="I1145" s="114">
        <f>Overview!$E$88</f>
        <v>0</v>
      </c>
      <c r="J1145" s="24">
        <f>I1145/F1145</f>
        <v>0</v>
      </c>
      <c r="K1145" s="116">
        <f>Overview!$H$88</f>
        <v>0</v>
      </c>
      <c r="L1145" s="51" t="e">
        <f>(K1145-J1145)/K1145</f>
        <v>#DIV/0!</v>
      </c>
      <c r="M1145" s="179"/>
      <c r="N1145" s="179" t="s">
        <v>3140</v>
      </c>
      <c r="O1145" s="141">
        <f>I1145</f>
        <v>0</v>
      </c>
      <c r="P1145" s="181" t="b">
        <f>COUNTIF('Facility Data'!$A$1:$A$1500,"*"&amp;A1145&amp;"*")&gt;0</f>
        <v>0</v>
      </c>
      <c r="Q1145" s="181" t="b">
        <f>COUNTIF('Account Data'!$A$1:$A$1000,"*"&amp;A1145&amp;"*")&gt;0</f>
        <v>0</v>
      </c>
      <c r="R1145" s="182" t="b">
        <f t="shared" si="389"/>
        <v>1</v>
      </c>
      <c r="S1145" s="182" t="b">
        <f>IF(OR(Q1145=TRUE,T1145=TRUE),TRUE,FALSE)</f>
        <v>1</v>
      </c>
      <c r="T1145" s="181" t="b">
        <f>COUNTIF('New Items'!$A$1:$A$175,A1145)&gt;0</f>
        <v>1</v>
      </c>
      <c r="U1145" s="181" t="b">
        <f>COUNTIF(Discontinued!$A$1:$A$150,A1145)&gt;0</f>
        <v>0</v>
      </c>
    </row>
    <row r="1146" spans="1:21" s="8" customFormat="1" ht="11.25" x14ac:dyDescent="0.2">
      <c r="A1146" s="290">
        <v>10136492</v>
      </c>
      <c r="B1146" s="10" t="s">
        <v>4557</v>
      </c>
      <c r="C1146" s="12" t="s">
        <v>1341</v>
      </c>
      <c r="D1146" s="11" t="s">
        <v>1339</v>
      </c>
      <c r="E1146" s="12" t="s">
        <v>772</v>
      </c>
      <c r="F1146" s="13">
        <v>24</v>
      </c>
      <c r="G1146" s="22">
        <f>Overview!$B$88</f>
        <v>30</v>
      </c>
      <c r="H1146" s="23">
        <f t="shared" si="385"/>
        <v>30</v>
      </c>
      <c r="I1146" s="114">
        <f>Overview!$E$88</f>
        <v>0</v>
      </c>
      <c r="J1146" s="24">
        <f t="shared" si="386"/>
        <v>0</v>
      </c>
      <c r="K1146" s="116">
        <f>Overview!$H$88</f>
        <v>0</v>
      </c>
      <c r="L1146" s="51" t="e">
        <f t="shared" si="387"/>
        <v>#DIV/0!</v>
      </c>
      <c r="M1146" s="179"/>
      <c r="N1146" s="179" t="s">
        <v>3140</v>
      </c>
      <c r="O1146" s="141">
        <f t="shared" si="388"/>
        <v>0</v>
      </c>
      <c r="P1146" s="181" t="b">
        <f>COUNTIF('Facility Data'!$A$1:$A$1500,"*"&amp;A1146&amp;"*")&gt;0</f>
        <v>0</v>
      </c>
      <c r="Q1146" s="181" t="b">
        <f>COUNTIF('Account Data'!$A$1:$A$1000,"*"&amp;A1146&amp;"*")&gt;0</f>
        <v>0</v>
      </c>
      <c r="R1146" s="182" t="b">
        <f t="shared" si="389"/>
        <v>1</v>
      </c>
      <c r="S1146" s="182" t="b">
        <f t="shared" si="390"/>
        <v>1</v>
      </c>
      <c r="T1146" s="181" t="b">
        <f>COUNTIF('New Items'!$A$1:$A$175,A1146)&gt;0</f>
        <v>1</v>
      </c>
      <c r="U1146" s="181" t="b">
        <f>COUNTIF(Discontinued!$A$1:$A$150,A1146)&gt;0</f>
        <v>0</v>
      </c>
    </row>
    <row r="1147" spans="1:21" s="8" customFormat="1" ht="11.25" x14ac:dyDescent="0.2">
      <c r="A1147" s="290">
        <v>10136534</v>
      </c>
      <c r="B1147" s="10" t="s">
        <v>4573</v>
      </c>
      <c r="C1147" s="12" t="s">
        <v>837</v>
      </c>
      <c r="D1147" s="11" t="s">
        <v>684</v>
      </c>
      <c r="E1147" s="12" t="s">
        <v>772</v>
      </c>
      <c r="F1147" s="13">
        <v>24</v>
      </c>
      <c r="G1147" s="22">
        <f>Overview!$B$88</f>
        <v>30</v>
      </c>
      <c r="H1147" s="23">
        <f t="shared" si="385"/>
        <v>30</v>
      </c>
      <c r="I1147" s="114">
        <f>Overview!$E$88</f>
        <v>0</v>
      </c>
      <c r="J1147" s="24">
        <f t="shared" si="386"/>
        <v>0</v>
      </c>
      <c r="K1147" s="116">
        <f>Overview!$H$88</f>
        <v>0</v>
      </c>
      <c r="L1147" s="51" t="e">
        <f t="shared" si="387"/>
        <v>#DIV/0!</v>
      </c>
      <c r="M1147" s="179"/>
      <c r="N1147" s="179" t="s">
        <v>3140</v>
      </c>
      <c r="O1147" s="141">
        <f t="shared" si="388"/>
        <v>0</v>
      </c>
      <c r="P1147" s="181" t="b">
        <f>COUNTIF('Facility Data'!$A$1:$A$1500,"*"&amp;A1147&amp;"*")&gt;0</f>
        <v>0</v>
      </c>
      <c r="Q1147" s="181" t="b">
        <f>COUNTIF('Account Data'!$A$1:$A$1000,"*"&amp;A1147&amp;"*")&gt;0</f>
        <v>0</v>
      </c>
      <c r="R1147" s="182" t="b">
        <f t="shared" si="389"/>
        <v>1</v>
      </c>
      <c r="S1147" s="182" t="b">
        <f t="shared" si="390"/>
        <v>1</v>
      </c>
      <c r="T1147" s="181" t="b">
        <f>COUNTIF('New Items'!$A$1:$A$175,A1147)&gt;0</f>
        <v>1</v>
      </c>
      <c r="U1147" s="181" t="b">
        <f>COUNTIF(Discontinued!$A$1:$A$150,A1147)&gt;0</f>
        <v>0</v>
      </c>
    </row>
    <row r="1148" spans="1:21" s="8" customFormat="1" ht="11.25" x14ac:dyDescent="0.2">
      <c r="A1148" s="152">
        <v>10119509</v>
      </c>
      <c r="B1148" s="10" t="s">
        <v>2992</v>
      </c>
      <c r="C1148" s="12" t="s">
        <v>837</v>
      </c>
      <c r="D1148" s="11" t="s">
        <v>684</v>
      </c>
      <c r="E1148" s="12" t="s">
        <v>772</v>
      </c>
      <c r="F1148" s="13">
        <v>24</v>
      </c>
      <c r="G1148" s="22">
        <f>Overview!$B$88</f>
        <v>30</v>
      </c>
      <c r="H1148" s="23">
        <f t="shared" si="385"/>
        <v>30</v>
      </c>
      <c r="I1148" s="114">
        <f>Overview!$E$88</f>
        <v>0</v>
      </c>
      <c r="J1148" s="24">
        <f t="shared" si="386"/>
        <v>0</v>
      </c>
      <c r="K1148" s="116">
        <f>Overview!$H$88</f>
        <v>0</v>
      </c>
      <c r="L1148" s="51" t="e">
        <f t="shared" si="387"/>
        <v>#DIV/0!</v>
      </c>
      <c r="M1148" s="179" t="s">
        <v>2989</v>
      </c>
      <c r="N1148" s="179" t="s">
        <v>3140</v>
      </c>
      <c r="O1148" s="141">
        <f t="shared" si="388"/>
        <v>0</v>
      </c>
      <c r="P1148" s="181" t="b">
        <f>COUNTIF('Facility Data'!$A$1:$A$1500,"*"&amp;A1148&amp;"*")&gt;0</f>
        <v>0</v>
      </c>
      <c r="Q1148" s="181" t="b">
        <f>COUNTIF('Account Data'!$A$1:$A$1000,"*"&amp;A1148&amp;"*")&gt;0</f>
        <v>0</v>
      </c>
      <c r="R1148" s="182" t="b">
        <f t="shared" si="389"/>
        <v>0</v>
      </c>
      <c r="S1148" s="182" t="b">
        <f t="shared" si="390"/>
        <v>0</v>
      </c>
      <c r="T1148" s="181" t="b">
        <f>COUNTIF('New Items'!$A$1:$A$175,A1148)&gt;0</f>
        <v>0</v>
      </c>
      <c r="U1148" s="181" t="b">
        <f>COUNTIF(Discontinued!$A$1:$A$150,A1148)&gt;0</f>
        <v>0</v>
      </c>
    </row>
    <row r="1149" spans="1:21" s="8" customFormat="1" ht="11.25" x14ac:dyDescent="0.2">
      <c r="A1149" s="290">
        <v>10136540</v>
      </c>
      <c r="B1149" s="10" t="s">
        <v>4577</v>
      </c>
      <c r="C1149" s="12" t="s">
        <v>839</v>
      </c>
      <c r="D1149" s="11" t="s">
        <v>686</v>
      </c>
      <c r="E1149" s="12" t="s">
        <v>772</v>
      </c>
      <c r="F1149" s="13">
        <v>24</v>
      </c>
      <c r="G1149" s="22">
        <f>Overview!$B$88</f>
        <v>30</v>
      </c>
      <c r="H1149" s="23">
        <f t="shared" si="385"/>
        <v>30</v>
      </c>
      <c r="I1149" s="114">
        <f>Overview!$E$88</f>
        <v>0</v>
      </c>
      <c r="J1149" s="24">
        <f t="shared" si="386"/>
        <v>0</v>
      </c>
      <c r="K1149" s="116">
        <f>Overview!$H$88</f>
        <v>0</v>
      </c>
      <c r="L1149" s="51" t="e">
        <f t="shared" si="387"/>
        <v>#DIV/0!</v>
      </c>
      <c r="M1149" s="179"/>
      <c r="N1149" s="179" t="s">
        <v>3140</v>
      </c>
      <c r="O1149" s="141">
        <f t="shared" si="388"/>
        <v>0</v>
      </c>
      <c r="P1149" s="181" t="b">
        <f>COUNTIF('Facility Data'!$A$1:$A$1500,"*"&amp;A1149&amp;"*")&gt;0</f>
        <v>0</v>
      </c>
      <c r="Q1149" s="181" t="b">
        <f>COUNTIF('Account Data'!$A$1:$A$1000,"*"&amp;A1149&amp;"*")&gt;0</f>
        <v>0</v>
      </c>
      <c r="R1149" s="182" t="b">
        <f t="shared" si="389"/>
        <v>1</v>
      </c>
      <c r="S1149" s="182" t="b">
        <f t="shared" si="390"/>
        <v>1</v>
      </c>
      <c r="T1149" s="181" t="b">
        <f>COUNTIF('New Items'!$A$1:$A$175,A1149)&gt;0</f>
        <v>1</v>
      </c>
      <c r="U1149" s="181" t="b">
        <f>COUNTIF(Discontinued!$A$1:$A$150,A1149)&gt;0</f>
        <v>0</v>
      </c>
    </row>
    <row r="1150" spans="1:21" s="8" customFormat="1" ht="11.25" x14ac:dyDescent="0.2">
      <c r="A1150" s="290">
        <v>10136541</v>
      </c>
      <c r="B1150" s="10" t="s">
        <v>4578</v>
      </c>
      <c r="C1150" s="12" t="s">
        <v>1772</v>
      </c>
      <c r="D1150" s="11" t="s">
        <v>694</v>
      </c>
      <c r="E1150" s="12" t="s">
        <v>772</v>
      </c>
      <c r="F1150" s="13">
        <v>24</v>
      </c>
      <c r="G1150" s="22">
        <f>Overview!$B$88</f>
        <v>30</v>
      </c>
      <c r="H1150" s="23">
        <f t="shared" si="385"/>
        <v>30</v>
      </c>
      <c r="I1150" s="114">
        <f>Overview!$E$88</f>
        <v>0</v>
      </c>
      <c r="J1150" s="24">
        <f t="shared" si="386"/>
        <v>0</v>
      </c>
      <c r="K1150" s="116">
        <f>Overview!$H$88</f>
        <v>0</v>
      </c>
      <c r="L1150" s="51" t="e">
        <f t="shared" si="387"/>
        <v>#DIV/0!</v>
      </c>
      <c r="M1150" s="179"/>
      <c r="N1150" s="179" t="s">
        <v>3140</v>
      </c>
      <c r="O1150" s="141">
        <f t="shared" si="388"/>
        <v>0</v>
      </c>
      <c r="P1150" s="181" t="b">
        <f>COUNTIF('Facility Data'!$A$1:$A$1500,"*"&amp;A1150&amp;"*")&gt;0</f>
        <v>0</v>
      </c>
      <c r="Q1150" s="181" t="b">
        <f>COUNTIF('Account Data'!$A$1:$A$1000,"*"&amp;A1150&amp;"*")&gt;0</f>
        <v>0</v>
      </c>
      <c r="R1150" s="182" t="b">
        <f t="shared" si="389"/>
        <v>1</v>
      </c>
      <c r="S1150" s="182" t="b">
        <f t="shared" si="390"/>
        <v>1</v>
      </c>
      <c r="T1150" s="181" t="b">
        <f>COUNTIF('New Items'!$A$1:$A$175,A1150)&gt;0</f>
        <v>1</v>
      </c>
      <c r="U1150" s="181" t="b">
        <f>COUNTIF(Discontinued!$A$1:$A$150,A1150)&gt;0</f>
        <v>0</v>
      </c>
    </row>
    <row r="1151" spans="1:21" s="8" customFormat="1" ht="11.25" x14ac:dyDescent="0.2">
      <c r="A1151" s="290">
        <v>10136512</v>
      </c>
      <c r="B1151" s="10" t="s">
        <v>4567</v>
      </c>
      <c r="C1151" s="12" t="s">
        <v>843</v>
      </c>
      <c r="D1151" s="11" t="s">
        <v>693</v>
      </c>
      <c r="E1151" s="12" t="s">
        <v>772</v>
      </c>
      <c r="F1151" s="13">
        <v>24</v>
      </c>
      <c r="G1151" s="22">
        <f>Overview!$B$88</f>
        <v>30</v>
      </c>
      <c r="H1151" s="23">
        <f t="shared" si="385"/>
        <v>30</v>
      </c>
      <c r="I1151" s="114">
        <f>Overview!$E$88</f>
        <v>0</v>
      </c>
      <c r="J1151" s="24">
        <f t="shared" si="386"/>
        <v>0</v>
      </c>
      <c r="K1151" s="116">
        <f>Overview!$H$88</f>
        <v>0</v>
      </c>
      <c r="L1151" s="51" t="e">
        <f t="shared" si="387"/>
        <v>#DIV/0!</v>
      </c>
      <c r="M1151" s="179"/>
      <c r="N1151" s="179" t="s">
        <v>3140</v>
      </c>
      <c r="O1151" s="141">
        <f t="shared" si="388"/>
        <v>0</v>
      </c>
      <c r="P1151" s="181" t="b">
        <f>COUNTIF('Facility Data'!$A$1:$A$1500,"*"&amp;A1151&amp;"*")&gt;0</f>
        <v>0</v>
      </c>
      <c r="Q1151" s="181" t="b">
        <f>COUNTIF('Account Data'!$A$1:$A$1000,"*"&amp;A1151&amp;"*")&gt;0</f>
        <v>0</v>
      </c>
      <c r="R1151" s="182" t="b">
        <f t="shared" si="389"/>
        <v>1</v>
      </c>
      <c r="S1151" s="182" t="b">
        <f t="shared" si="390"/>
        <v>1</v>
      </c>
      <c r="T1151" s="181" t="b">
        <f>COUNTIF('New Items'!$A$1:$A$175,A1151)&gt;0</f>
        <v>1</v>
      </c>
      <c r="U1151" s="181" t="b">
        <f>COUNTIF(Discontinued!$A$1:$A$150,A1151)&gt;0</f>
        <v>0</v>
      </c>
    </row>
    <row r="1152" spans="1:21" s="8" customFormat="1" ht="11.25" x14ac:dyDescent="0.2">
      <c r="A1152" s="152">
        <v>10128136</v>
      </c>
      <c r="B1152" s="10" t="s">
        <v>3833</v>
      </c>
      <c r="C1152" s="12" t="s">
        <v>843</v>
      </c>
      <c r="D1152" s="11" t="s">
        <v>693</v>
      </c>
      <c r="E1152" s="12" t="s">
        <v>772</v>
      </c>
      <c r="F1152" s="13">
        <v>24</v>
      </c>
      <c r="G1152" s="22">
        <f>Overview!$B$88</f>
        <v>30</v>
      </c>
      <c r="H1152" s="23">
        <f t="shared" si="385"/>
        <v>30</v>
      </c>
      <c r="I1152" s="114">
        <f>Overview!$E$88</f>
        <v>0</v>
      </c>
      <c r="J1152" s="24">
        <f t="shared" si="386"/>
        <v>0</v>
      </c>
      <c r="K1152" s="116">
        <f>Overview!$H$88</f>
        <v>0</v>
      </c>
      <c r="L1152" s="51" t="e">
        <f t="shared" si="387"/>
        <v>#DIV/0!</v>
      </c>
      <c r="M1152" s="179" t="s">
        <v>2989</v>
      </c>
      <c r="N1152" s="179" t="s">
        <v>3140</v>
      </c>
      <c r="O1152" s="141">
        <f t="shared" si="388"/>
        <v>0</v>
      </c>
      <c r="P1152" s="181" t="b">
        <f>COUNTIF('Facility Data'!$A$1:$A$1500,"*"&amp;A1152&amp;"*")&gt;0</f>
        <v>0</v>
      </c>
      <c r="Q1152" s="181" t="b">
        <f>COUNTIF('Account Data'!$A$1:$A$1000,"*"&amp;A1152&amp;"*")&gt;0</f>
        <v>0</v>
      </c>
      <c r="R1152" s="182" t="b">
        <f t="shared" si="389"/>
        <v>0</v>
      </c>
      <c r="S1152" s="182" t="b">
        <f t="shared" si="390"/>
        <v>0</v>
      </c>
      <c r="T1152" s="181" t="b">
        <f>COUNTIF('New Items'!$A$1:$A$175,A1152)&gt;0</f>
        <v>0</v>
      </c>
      <c r="U1152" s="181" t="b">
        <f>COUNTIF(Discontinued!$A$1:$A$150,A1152)&gt;0</f>
        <v>0</v>
      </c>
    </row>
    <row r="1153" spans="1:21" s="8" customFormat="1" ht="11.25" x14ac:dyDescent="0.2">
      <c r="A1153" s="290">
        <v>10136574</v>
      </c>
      <c r="B1153" s="10" t="s">
        <v>4579</v>
      </c>
      <c r="C1153" s="12" t="s">
        <v>1787</v>
      </c>
      <c r="D1153" s="11" t="s">
        <v>1797</v>
      </c>
      <c r="E1153" s="12" t="s">
        <v>772</v>
      </c>
      <c r="F1153" s="13">
        <v>24</v>
      </c>
      <c r="G1153" s="22">
        <f>Overview!$B$88</f>
        <v>30</v>
      </c>
      <c r="H1153" s="23">
        <f t="shared" si="385"/>
        <v>30</v>
      </c>
      <c r="I1153" s="114">
        <f>Overview!$E$88</f>
        <v>0</v>
      </c>
      <c r="J1153" s="24">
        <f t="shared" si="386"/>
        <v>0</v>
      </c>
      <c r="K1153" s="116">
        <f>Overview!$H$88</f>
        <v>0</v>
      </c>
      <c r="L1153" s="51" t="e">
        <f t="shared" si="387"/>
        <v>#DIV/0!</v>
      </c>
      <c r="M1153" s="179"/>
      <c r="N1153" s="179" t="s">
        <v>3140</v>
      </c>
      <c r="O1153" s="141">
        <f t="shared" si="388"/>
        <v>0</v>
      </c>
      <c r="P1153" s="181" t="b">
        <f>COUNTIF('Facility Data'!$A$1:$A$1500,"*"&amp;A1153&amp;"*")&gt;0</f>
        <v>0</v>
      </c>
      <c r="Q1153" s="181" t="b">
        <f>COUNTIF('Account Data'!$A$1:$A$1000,"*"&amp;A1153&amp;"*")&gt;0</f>
        <v>0</v>
      </c>
      <c r="R1153" s="182" t="b">
        <f t="shared" si="389"/>
        <v>1</v>
      </c>
      <c r="S1153" s="182" t="b">
        <f t="shared" si="390"/>
        <v>1</v>
      </c>
      <c r="T1153" s="181" t="b">
        <f>COUNTIF('New Items'!$A$1:$A$175,A1153)&gt;0</f>
        <v>1</v>
      </c>
      <c r="U1153" s="181" t="b">
        <f>COUNTIF(Discontinued!$A$1:$A$150,A1153)&gt;0</f>
        <v>0</v>
      </c>
    </row>
    <row r="1154" spans="1:21" s="8" customFormat="1" ht="11.25" x14ac:dyDescent="0.2">
      <c r="A1154" s="290">
        <v>10136511</v>
      </c>
      <c r="B1154" s="10" t="s">
        <v>4566</v>
      </c>
      <c r="C1154" s="12" t="s">
        <v>1776</v>
      </c>
      <c r="D1154" s="11" t="s">
        <v>1502</v>
      </c>
      <c r="E1154" s="12" t="s">
        <v>772</v>
      </c>
      <c r="F1154" s="13">
        <v>24</v>
      </c>
      <c r="G1154" s="22">
        <f>Overview!$B$88</f>
        <v>30</v>
      </c>
      <c r="H1154" s="23">
        <f t="shared" si="385"/>
        <v>30</v>
      </c>
      <c r="I1154" s="114">
        <f>Overview!$E$88</f>
        <v>0</v>
      </c>
      <c r="J1154" s="24">
        <f t="shared" si="386"/>
        <v>0</v>
      </c>
      <c r="K1154" s="116">
        <f>Overview!$H$88</f>
        <v>0</v>
      </c>
      <c r="L1154" s="51" t="e">
        <f t="shared" si="387"/>
        <v>#DIV/0!</v>
      </c>
      <c r="M1154" s="179"/>
      <c r="N1154" s="179" t="s">
        <v>3140</v>
      </c>
      <c r="O1154" s="141">
        <f t="shared" si="388"/>
        <v>0</v>
      </c>
      <c r="P1154" s="181" t="b">
        <f>COUNTIF('Facility Data'!$A$1:$A$1500,"*"&amp;A1154&amp;"*")&gt;0</f>
        <v>0</v>
      </c>
      <c r="Q1154" s="181" t="b">
        <f>COUNTIF('Account Data'!$A$1:$A$1000,"*"&amp;A1154&amp;"*")&gt;0</f>
        <v>0</v>
      </c>
      <c r="R1154" s="182" t="b">
        <f t="shared" si="389"/>
        <v>1</v>
      </c>
      <c r="S1154" s="182" t="b">
        <f t="shared" si="390"/>
        <v>1</v>
      </c>
      <c r="T1154" s="181" t="b">
        <f>COUNTIF('New Items'!$A$1:$A$175,A1154)&gt;0</f>
        <v>1</v>
      </c>
      <c r="U1154" s="181" t="b">
        <f>COUNTIF(Discontinued!$A$1:$A$150,A1154)&gt;0</f>
        <v>0</v>
      </c>
    </row>
    <row r="1155" spans="1:21" s="8" customFormat="1" ht="11.25" x14ac:dyDescent="0.2">
      <c r="A1155" s="290">
        <v>10136501</v>
      </c>
      <c r="B1155" s="10" t="s">
        <v>4561</v>
      </c>
      <c r="C1155" s="12" t="s">
        <v>1765</v>
      </c>
      <c r="D1155" s="11" t="s">
        <v>699</v>
      </c>
      <c r="E1155" s="12" t="s">
        <v>772</v>
      </c>
      <c r="F1155" s="13">
        <v>24</v>
      </c>
      <c r="G1155" s="22">
        <f>Overview!$B$88</f>
        <v>30</v>
      </c>
      <c r="H1155" s="23">
        <f t="shared" si="385"/>
        <v>30</v>
      </c>
      <c r="I1155" s="114">
        <f>Overview!$E$88</f>
        <v>0</v>
      </c>
      <c r="J1155" s="24">
        <f t="shared" si="386"/>
        <v>0</v>
      </c>
      <c r="K1155" s="116">
        <f>Overview!$H$88</f>
        <v>0</v>
      </c>
      <c r="L1155" s="51" t="e">
        <f t="shared" si="387"/>
        <v>#DIV/0!</v>
      </c>
      <c r="M1155" s="179"/>
      <c r="N1155" s="179" t="s">
        <v>3140</v>
      </c>
      <c r="O1155" s="141">
        <f t="shared" si="388"/>
        <v>0</v>
      </c>
      <c r="P1155" s="181" t="b">
        <f>COUNTIF('Facility Data'!$A$1:$A$1500,"*"&amp;A1155&amp;"*")&gt;0</f>
        <v>0</v>
      </c>
      <c r="Q1155" s="181" t="b">
        <f>COUNTIF('Account Data'!$A$1:$A$1000,"*"&amp;A1155&amp;"*")&gt;0</f>
        <v>0</v>
      </c>
      <c r="R1155" s="182" t="b">
        <f t="shared" si="389"/>
        <v>1</v>
      </c>
      <c r="S1155" s="182" t="b">
        <f t="shared" si="390"/>
        <v>1</v>
      </c>
      <c r="T1155" s="181" t="b">
        <f>COUNTIF('New Items'!$A$1:$A$175,A1155)&gt;0</f>
        <v>1</v>
      </c>
      <c r="U1155" s="181" t="b">
        <f>COUNTIF(Discontinued!$A$1:$A$150,A1155)&gt;0</f>
        <v>0</v>
      </c>
    </row>
    <row r="1156" spans="1:21" s="8" customFormat="1" ht="11.25" x14ac:dyDescent="0.2">
      <c r="A1156" s="290">
        <v>10136502</v>
      </c>
      <c r="B1156" s="10" t="s">
        <v>4562</v>
      </c>
      <c r="C1156" s="12" t="s">
        <v>849</v>
      </c>
      <c r="D1156" s="11" t="s">
        <v>688</v>
      </c>
      <c r="E1156" s="12" t="s">
        <v>772</v>
      </c>
      <c r="F1156" s="13">
        <v>24</v>
      </c>
      <c r="G1156" s="22">
        <f>Overview!$B$88</f>
        <v>30</v>
      </c>
      <c r="H1156" s="23">
        <f t="shared" si="385"/>
        <v>30</v>
      </c>
      <c r="I1156" s="114">
        <f>Overview!$E$88</f>
        <v>0</v>
      </c>
      <c r="J1156" s="24">
        <f t="shared" si="386"/>
        <v>0</v>
      </c>
      <c r="K1156" s="116">
        <f>Overview!$H$88</f>
        <v>0</v>
      </c>
      <c r="L1156" s="51" t="e">
        <f t="shared" si="387"/>
        <v>#DIV/0!</v>
      </c>
      <c r="M1156" s="179"/>
      <c r="N1156" s="179" t="s">
        <v>3140</v>
      </c>
      <c r="O1156" s="141">
        <f t="shared" si="388"/>
        <v>0</v>
      </c>
      <c r="P1156" s="181" t="b">
        <f>COUNTIF('Facility Data'!$A$1:$A$1500,"*"&amp;A1156&amp;"*")&gt;0</f>
        <v>0</v>
      </c>
      <c r="Q1156" s="181" t="b">
        <f>COUNTIF('Account Data'!$A$1:$A$1000,"*"&amp;A1156&amp;"*")&gt;0</f>
        <v>0</v>
      </c>
      <c r="R1156" s="182" t="b">
        <f t="shared" si="389"/>
        <v>1</v>
      </c>
      <c r="S1156" s="182" t="b">
        <f t="shared" si="390"/>
        <v>1</v>
      </c>
      <c r="T1156" s="181" t="b">
        <f>COUNTIF('New Items'!$A$1:$A$175,A1156)&gt;0</f>
        <v>1</v>
      </c>
      <c r="U1156" s="181" t="b">
        <f>COUNTIF(Discontinued!$A$1:$A$150,A1156)&gt;0</f>
        <v>0</v>
      </c>
    </row>
    <row r="1157" spans="1:21" s="8" customFormat="1" ht="11.25" x14ac:dyDescent="0.2">
      <c r="A1157" s="290">
        <v>10136516</v>
      </c>
      <c r="B1157" s="10" t="s">
        <v>4569</v>
      </c>
      <c r="C1157" s="12" t="s">
        <v>845</v>
      </c>
      <c r="D1157" s="11" t="s">
        <v>691</v>
      </c>
      <c r="E1157" s="12" t="s">
        <v>772</v>
      </c>
      <c r="F1157" s="13">
        <v>24</v>
      </c>
      <c r="G1157" s="22">
        <f>Overview!$B$88</f>
        <v>30</v>
      </c>
      <c r="H1157" s="23">
        <f t="shared" si="385"/>
        <v>30</v>
      </c>
      <c r="I1157" s="114">
        <f>Overview!$E$88</f>
        <v>0</v>
      </c>
      <c r="J1157" s="24">
        <f t="shared" si="386"/>
        <v>0</v>
      </c>
      <c r="K1157" s="116">
        <f>Overview!$H$88</f>
        <v>0</v>
      </c>
      <c r="L1157" s="51" t="e">
        <f t="shared" si="387"/>
        <v>#DIV/0!</v>
      </c>
      <c r="M1157" s="179"/>
      <c r="N1157" s="179" t="s">
        <v>3140</v>
      </c>
      <c r="O1157" s="141">
        <f t="shared" si="388"/>
        <v>0</v>
      </c>
      <c r="P1157" s="181" t="b">
        <f>COUNTIF('Facility Data'!$A$1:$A$1500,"*"&amp;A1157&amp;"*")&gt;0</f>
        <v>0</v>
      </c>
      <c r="Q1157" s="181" t="b">
        <f>COUNTIF('Account Data'!$A$1:$A$1000,"*"&amp;A1157&amp;"*")&gt;0</f>
        <v>0</v>
      </c>
      <c r="R1157" s="182" t="b">
        <f t="shared" si="389"/>
        <v>1</v>
      </c>
      <c r="S1157" s="182" t="b">
        <f t="shared" si="390"/>
        <v>1</v>
      </c>
      <c r="T1157" s="181" t="b">
        <f>COUNTIF('New Items'!$A$1:$A$175,A1157)&gt;0</f>
        <v>1</v>
      </c>
      <c r="U1157" s="181" t="b">
        <f>COUNTIF(Discontinued!$A$1:$A$150,A1157)&gt;0</f>
        <v>0</v>
      </c>
    </row>
    <row r="1158" spans="1:21" s="8" customFormat="1" ht="11.25" x14ac:dyDescent="0.2">
      <c r="A1158" s="152">
        <v>10119506</v>
      </c>
      <c r="B1158" s="10" t="s">
        <v>2995</v>
      </c>
      <c r="C1158" s="12" t="s">
        <v>845</v>
      </c>
      <c r="D1158" s="11" t="s">
        <v>691</v>
      </c>
      <c r="E1158" s="12" t="s">
        <v>772</v>
      </c>
      <c r="F1158" s="13">
        <v>24</v>
      </c>
      <c r="G1158" s="22">
        <f>Overview!$B$88</f>
        <v>30</v>
      </c>
      <c r="H1158" s="23">
        <f t="shared" si="385"/>
        <v>30</v>
      </c>
      <c r="I1158" s="114">
        <f>Overview!$E$88</f>
        <v>0</v>
      </c>
      <c r="J1158" s="24">
        <f t="shared" si="386"/>
        <v>0</v>
      </c>
      <c r="K1158" s="116">
        <f>Overview!$H$88</f>
        <v>0</v>
      </c>
      <c r="L1158" s="51" t="e">
        <f t="shared" si="387"/>
        <v>#DIV/0!</v>
      </c>
      <c r="M1158" s="179" t="s">
        <v>2989</v>
      </c>
      <c r="N1158" s="179" t="s">
        <v>3140</v>
      </c>
      <c r="O1158" s="141">
        <f t="shared" si="388"/>
        <v>0</v>
      </c>
      <c r="P1158" s="181" t="b">
        <f>COUNTIF('Facility Data'!$A$1:$A$1500,"*"&amp;A1158&amp;"*")&gt;0</f>
        <v>0</v>
      </c>
      <c r="Q1158" s="181" t="b">
        <f>COUNTIF('Account Data'!$A$1:$A$1000,"*"&amp;A1158&amp;"*")&gt;0</f>
        <v>0</v>
      </c>
      <c r="R1158" s="182" t="b">
        <f t="shared" si="389"/>
        <v>0</v>
      </c>
      <c r="S1158" s="182" t="b">
        <f t="shared" si="390"/>
        <v>0</v>
      </c>
      <c r="T1158" s="181" t="b">
        <f>COUNTIF('New Items'!$A$1:$A$175,A1158)&gt;0</f>
        <v>0</v>
      </c>
      <c r="U1158" s="181" t="b">
        <f>COUNTIF(Discontinued!$A$1:$A$150,A1158)&gt;0</f>
        <v>0</v>
      </c>
    </row>
    <row r="1159" spans="1:21" s="8" customFormat="1" ht="11.25" x14ac:dyDescent="0.2">
      <c r="A1159" s="290">
        <v>10136508</v>
      </c>
      <c r="B1159" s="10" t="s">
        <v>4564</v>
      </c>
      <c r="C1159" s="12" t="s">
        <v>1335</v>
      </c>
      <c r="D1159" s="11" t="s">
        <v>1326</v>
      </c>
      <c r="E1159" s="12" t="s">
        <v>772</v>
      </c>
      <c r="F1159" s="13">
        <v>24</v>
      </c>
      <c r="G1159" s="22">
        <f>Overview!$B$88</f>
        <v>30</v>
      </c>
      <c r="H1159" s="23">
        <f t="shared" si="385"/>
        <v>30</v>
      </c>
      <c r="I1159" s="114">
        <f>Overview!$E$88</f>
        <v>0</v>
      </c>
      <c r="J1159" s="24">
        <f t="shared" si="386"/>
        <v>0</v>
      </c>
      <c r="K1159" s="116">
        <f>Overview!$H$88</f>
        <v>0</v>
      </c>
      <c r="L1159" s="51" t="e">
        <f t="shared" si="387"/>
        <v>#DIV/0!</v>
      </c>
      <c r="M1159" s="179"/>
      <c r="N1159" s="179" t="s">
        <v>3140</v>
      </c>
      <c r="O1159" s="141">
        <f t="shared" si="388"/>
        <v>0</v>
      </c>
      <c r="P1159" s="181" t="b">
        <f>COUNTIF('Facility Data'!$A$1:$A$1500,"*"&amp;A1159&amp;"*")&gt;0</f>
        <v>0</v>
      </c>
      <c r="Q1159" s="181" t="b">
        <f>COUNTIF('Account Data'!$A$1:$A$1000,"*"&amp;A1159&amp;"*")&gt;0</f>
        <v>0</v>
      </c>
      <c r="R1159" s="182" t="b">
        <f t="shared" si="389"/>
        <v>1</v>
      </c>
      <c r="S1159" s="182" t="b">
        <f t="shared" si="390"/>
        <v>1</v>
      </c>
      <c r="T1159" s="181" t="b">
        <f>COUNTIF('New Items'!$A$1:$A$175,A1159)&gt;0</f>
        <v>1</v>
      </c>
      <c r="U1159" s="181" t="b">
        <f>COUNTIF(Discontinued!$A$1:$A$150,A1159)&gt;0</f>
        <v>0</v>
      </c>
    </row>
    <row r="1160" spans="1:21" s="8" customFormat="1" ht="11.25" x14ac:dyDescent="0.2">
      <c r="A1160" s="152">
        <v>10119508</v>
      </c>
      <c r="B1160" s="10" t="s">
        <v>2988</v>
      </c>
      <c r="C1160" s="12" t="s">
        <v>1335</v>
      </c>
      <c r="D1160" s="11" t="s">
        <v>1326</v>
      </c>
      <c r="E1160" s="12" t="s">
        <v>772</v>
      </c>
      <c r="F1160" s="13">
        <v>24</v>
      </c>
      <c r="G1160" s="22">
        <f>Overview!$B$88</f>
        <v>30</v>
      </c>
      <c r="H1160" s="23">
        <f t="shared" si="385"/>
        <v>30</v>
      </c>
      <c r="I1160" s="114">
        <f>Overview!$E$88</f>
        <v>0</v>
      </c>
      <c r="J1160" s="24">
        <f t="shared" si="386"/>
        <v>0</v>
      </c>
      <c r="K1160" s="116">
        <f>Overview!$H$88</f>
        <v>0</v>
      </c>
      <c r="L1160" s="51" t="e">
        <f t="shared" si="387"/>
        <v>#DIV/0!</v>
      </c>
      <c r="M1160" s="179" t="s">
        <v>2989</v>
      </c>
      <c r="N1160" s="179" t="s">
        <v>3140</v>
      </c>
      <c r="O1160" s="141">
        <f t="shared" si="388"/>
        <v>0</v>
      </c>
      <c r="P1160" s="181" t="b">
        <f>COUNTIF('Facility Data'!$A$1:$A$1500,"*"&amp;A1160&amp;"*")&gt;0</f>
        <v>0</v>
      </c>
      <c r="Q1160" s="181" t="b">
        <f>COUNTIF('Account Data'!$A$1:$A$1000,"*"&amp;A1160&amp;"*")&gt;0</f>
        <v>0</v>
      </c>
      <c r="R1160" s="182" t="b">
        <f t="shared" si="389"/>
        <v>0</v>
      </c>
      <c r="S1160" s="182" t="b">
        <f t="shared" si="390"/>
        <v>0</v>
      </c>
      <c r="T1160" s="181" t="b">
        <f>COUNTIF('New Items'!$A$1:$A$175,A1160)&gt;0</f>
        <v>0</v>
      </c>
      <c r="U1160" s="181" t="b">
        <f>COUNTIF(Discontinued!$A$1:$A$150,A1160)&gt;0</f>
        <v>0</v>
      </c>
    </row>
    <row r="1161" spans="1:21" s="8" customFormat="1" ht="11.25" x14ac:dyDescent="0.2">
      <c r="A1161" s="290">
        <v>10136469</v>
      </c>
      <c r="B1161" s="10" t="s">
        <v>4553</v>
      </c>
      <c r="C1161" s="12" t="s">
        <v>1778</v>
      </c>
      <c r="D1161" s="11" t="s">
        <v>742</v>
      </c>
      <c r="E1161" s="12" t="s">
        <v>772</v>
      </c>
      <c r="F1161" s="13">
        <v>24</v>
      </c>
      <c r="G1161" s="22">
        <f>Overview!$B$88</f>
        <v>30</v>
      </c>
      <c r="H1161" s="23">
        <f t="shared" si="385"/>
        <v>30</v>
      </c>
      <c r="I1161" s="114">
        <f>Overview!$E$88</f>
        <v>0</v>
      </c>
      <c r="J1161" s="24">
        <f t="shared" si="386"/>
        <v>0</v>
      </c>
      <c r="K1161" s="116">
        <f>Overview!$H$88</f>
        <v>0</v>
      </c>
      <c r="L1161" s="51" t="e">
        <f t="shared" si="387"/>
        <v>#DIV/0!</v>
      </c>
      <c r="M1161" s="179"/>
      <c r="N1161" s="179" t="s">
        <v>3140</v>
      </c>
      <c r="O1161" s="141">
        <f t="shared" si="388"/>
        <v>0</v>
      </c>
      <c r="P1161" s="181" t="b">
        <f>COUNTIF('Facility Data'!$A$1:$A$1500,"*"&amp;A1161&amp;"*")&gt;0</f>
        <v>0</v>
      </c>
      <c r="Q1161" s="181" t="b">
        <f>COUNTIF('Account Data'!$A$1:$A$1000,"*"&amp;A1161&amp;"*")&gt;0</f>
        <v>0</v>
      </c>
      <c r="R1161" s="182" t="b">
        <f t="shared" si="389"/>
        <v>1</v>
      </c>
      <c r="S1161" s="182" t="b">
        <f t="shared" si="390"/>
        <v>1</v>
      </c>
      <c r="T1161" s="181" t="b">
        <f>COUNTIF('New Items'!$A$1:$A$175,A1161)&gt;0</f>
        <v>1</v>
      </c>
      <c r="U1161" s="181" t="b">
        <f>COUNTIF(Discontinued!$A$1:$A$150,A1161)&gt;0</f>
        <v>0</v>
      </c>
    </row>
    <row r="1162" spans="1:21" s="8" customFormat="1" ht="11.25" x14ac:dyDescent="0.2">
      <c r="A1162" s="152">
        <v>10125812</v>
      </c>
      <c r="B1162" s="10" t="s">
        <v>3835</v>
      </c>
      <c r="C1162" s="12" t="s">
        <v>3834</v>
      </c>
      <c r="D1162" s="11" t="s">
        <v>1153</v>
      </c>
      <c r="E1162" s="12" t="s">
        <v>772</v>
      </c>
      <c r="F1162" s="13">
        <v>24</v>
      </c>
      <c r="G1162" s="22">
        <f>Overview!$B$88</f>
        <v>30</v>
      </c>
      <c r="H1162" s="23">
        <f>G1162-I1162</f>
        <v>30</v>
      </c>
      <c r="I1162" s="114">
        <f>Overview!$E$88</f>
        <v>0</v>
      </c>
      <c r="J1162" s="24">
        <f>I1162/F1162</f>
        <v>0</v>
      </c>
      <c r="K1162" s="116">
        <f>Overview!$H$88</f>
        <v>0</v>
      </c>
      <c r="L1162" s="51" t="e">
        <f>(K1162-J1162)/K1162</f>
        <v>#DIV/0!</v>
      </c>
      <c r="M1162" s="179"/>
      <c r="N1162" s="179" t="s">
        <v>3140</v>
      </c>
      <c r="O1162" s="141">
        <f>I1162</f>
        <v>0</v>
      </c>
      <c r="P1162" s="181" t="b">
        <f>COUNTIF('Facility Data'!$A$1:$A$1500,"*"&amp;A1162&amp;"*")&gt;0</f>
        <v>0</v>
      </c>
      <c r="Q1162" s="181" t="b">
        <f>COUNTIF('Account Data'!$A$1:$A$1000,"*"&amp;A1162&amp;"*")&gt;0</f>
        <v>0</v>
      </c>
      <c r="R1162" s="182" t="b">
        <f t="shared" si="389"/>
        <v>0</v>
      </c>
      <c r="S1162" s="182" t="b">
        <f>IF(OR(Q1162=TRUE,T1162=TRUE),TRUE,FALSE)</f>
        <v>0</v>
      </c>
      <c r="T1162" s="181" t="b">
        <f>COUNTIF('New Items'!$A$1:$A$175,A1162)&gt;0</f>
        <v>0</v>
      </c>
      <c r="U1162" s="181" t="b">
        <f>COUNTIF(Discontinued!$A$1:$A$150,A1162)&gt;0</f>
        <v>0</v>
      </c>
    </row>
    <row r="1163" spans="1:21" s="8" customFormat="1" ht="11.25" x14ac:dyDescent="0.2">
      <c r="A1163" s="152">
        <v>10125813</v>
      </c>
      <c r="B1163" s="10" t="s">
        <v>3836</v>
      </c>
      <c r="C1163" s="12" t="s">
        <v>3834</v>
      </c>
      <c r="D1163" s="11" t="s">
        <v>1153</v>
      </c>
      <c r="E1163" s="12" t="s">
        <v>772</v>
      </c>
      <c r="F1163" s="13">
        <v>24</v>
      </c>
      <c r="G1163" s="22">
        <f>Overview!$B$88</f>
        <v>30</v>
      </c>
      <c r="H1163" s="23">
        <f>G1163-I1163</f>
        <v>30</v>
      </c>
      <c r="I1163" s="114">
        <f>Overview!$E$88</f>
        <v>0</v>
      </c>
      <c r="J1163" s="24">
        <f>I1163/F1163</f>
        <v>0</v>
      </c>
      <c r="K1163" s="116">
        <f>Overview!$H$88</f>
        <v>0</v>
      </c>
      <c r="L1163" s="51" t="e">
        <f>(K1163-J1163)/K1163</f>
        <v>#DIV/0!</v>
      </c>
      <c r="M1163" s="179" t="s">
        <v>1000</v>
      </c>
      <c r="N1163" s="179" t="s">
        <v>3140</v>
      </c>
      <c r="O1163" s="141">
        <f>I1163</f>
        <v>0</v>
      </c>
      <c r="P1163" s="181" t="b">
        <f>COUNTIF('Facility Data'!$A$1:$A$1500,"*"&amp;A1163&amp;"*")&gt;0</f>
        <v>0</v>
      </c>
      <c r="Q1163" s="181" t="b">
        <f>COUNTIF('Account Data'!$A$1:$A$1000,"*"&amp;A1163&amp;"*")&gt;0</f>
        <v>0</v>
      </c>
      <c r="R1163" s="182" t="b">
        <f t="shared" si="389"/>
        <v>0</v>
      </c>
      <c r="S1163" s="182" t="b">
        <f>IF(OR(Q1163=TRUE,T1163=TRUE),TRUE,FALSE)</f>
        <v>0</v>
      </c>
      <c r="T1163" s="181" t="b">
        <f>COUNTIF('New Items'!$A$1:$A$175,A1163)&gt;0</f>
        <v>0</v>
      </c>
      <c r="U1163" s="181" t="b">
        <f>COUNTIF(Discontinued!$A$1:$A$150,A1163)&gt;0</f>
        <v>0</v>
      </c>
    </row>
    <row r="1164" spans="1:21" s="8" customFormat="1" ht="11.25" x14ac:dyDescent="0.2">
      <c r="A1164" s="290">
        <v>10136537</v>
      </c>
      <c r="B1164" s="10" t="s">
        <v>4570</v>
      </c>
      <c r="C1164" s="12" t="s">
        <v>847</v>
      </c>
      <c r="D1164" s="11" t="s">
        <v>692</v>
      </c>
      <c r="E1164" s="12" t="s">
        <v>772</v>
      </c>
      <c r="F1164" s="13">
        <v>24</v>
      </c>
      <c r="G1164" s="22">
        <f>Overview!$B$88</f>
        <v>30</v>
      </c>
      <c r="H1164" s="23">
        <f t="shared" si="385"/>
        <v>30</v>
      </c>
      <c r="I1164" s="114">
        <f>Overview!$E$88</f>
        <v>0</v>
      </c>
      <c r="J1164" s="24">
        <f t="shared" si="386"/>
        <v>0</v>
      </c>
      <c r="K1164" s="116">
        <f>Overview!$H$88</f>
        <v>0</v>
      </c>
      <c r="L1164" s="51" t="e">
        <f t="shared" si="387"/>
        <v>#DIV/0!</v>
      </c>
      <c r="M1164" s="179"/>
      <c r="N1164" s="179" t="s">
        <v>3140</v>
      </c>
      <c r="O1164" s="141">
        <f t="shared" si="388"/>
        <v>0</v>
      </c>
      <c r="P1164" s="181" t="b">
        <f>COUNTIF('Facility Data'!$A$1:$A$1500,"*"&amp;A1164&amp;"*")&gt;0</f>
        <v>0</v>
      </c>
      <c r="Q1164" s="181" t="b">
        <f>COUNTIF('Account Data'!$A$1:$A$1000,"*"&amp;A1164&amp;"*")&gt;0</f>
        <v>0</v>
      </c>
      <c r="R1164" s="182" t="b">
        <f t="shared" si="389"/>
        <v>1</v>
      </c>
      <c r="S1164" s="182" t="b">
        <f t="shared" si="390"/>
        <v>1</v>
      </c>
      <c r="T1164" s="181" t="b">
        <f>COUNTIF('New Items'!$A$1:$A$175,A1164)&gt;0</f>
        <v>1</v>
      </c>
      <c r="U1164" s="181" t="b">
        <f>COUNTIF(Discontinued!$A$1:$A$150,A1164)&gt;0</f>
        <v>0</v>
      </c>
    </row>
    <row r="1165" spans="1:21" s="8" customFormat="1" ht="11.25" x14ac:dyDescent="0.2">
      <c r="A1165" s="290">
        <v>10136510</v>
      </c>
      <c r="B1165" s="10" t="s">
        <v>4565</v>
      </c>
      <c r="C1165" s="12" t="s">
        <v>851</v>
      </c>
      <c r="D1165" s="11" t="s">
        <v>687</v>
      </c>
      <c r="E1165" s="12" t="s">
        <v>772</v>
      </c>
      <c r="F1165" s="13">
        <v>24</v>
      </c>
      <c r="G1165" s="22">
        <f>Overview!$B$88</f>
        <v>30</v>
      </c>
      <c r="H1165" s="23">
        <f t="shared" si="385"/>
        <v>30</v>
      </c>
      <c r="I1165" s="114">
        <f>Overview!$E$88</f>
        <v>0</v>
      </c>
      <c r="J1165" s="24">
        <f t="shared" si="386"/>
        <v>0</v>
      </c>
      <c r="K1165" s="116">
        <f>Overview!$H$88</f>
        <v>0</v>
      </c>
      <c r="L1165" s="51" t="e">
        <f t="shared" si="387"/>
        <v>#DIV/0!</v>
      </c>
      <c r="M1165" s="179"/>
      <c r="N1165" s="179" t="s">
        <v>3140</v>
      </c>
      <c r="O1165" s="141">
        <f t="shared" si="388"/>
        <v>0</v>
      </c>
      <c r="P1165" s="181" t="b">
        <f>COUNTIF('Facility Data'!$A$1:$A$1500,"*"&amp;A1165&amp;"*")&gt;0</f>
        <v>0</v>
      </c>
      <c r="Q1165" s="181" t="b">
        <f>COUNTIF('Account Data'!$A$1:$A$1000,"*"&amp;A1165&amp;"*")&gt;0</f>
        <v>0</v>
      </c>
      <c r="R1165" s="182" t="b">
        <f t="shared" si="389"/>
        <v>1</v>
      </c>
      <c r="S1165" s="182" t="b">
        <f t="shared" si="390"/>
        <v>1</v>
      </c>
      <c r="T1165" s="181" t="b">
        <f>COUNTIF('New Items'!$A$1:$A$175,A1165)&gt;0</f>
        <v>1</v>
      </c>
      <c r="U1165" s="181" t="b">
        <f>COUNTIF(Discontinued!$A$1:$A$150,A1165)&gt;0</f>
        <v>0</v>
      </c>
    </row>
    <row r="1166" spans="1:21" s="8" customFormat="1" ht="11.25" x14ac:dyDescent="0.2">
      <c r="A1166" s="152">
        <v>10119505</v>
      </c>
      <c r="B1166" s="10" t="s">
        <v>2993</v>
      </c>
      <c r="C1166" s="12" t="s">
        <v>851</v>
      </c>
      <c r="D1166" s="11" t="s">
        <v>687</v>
      </c>
      <c r="E1166" s="12" t="s">
        <v>772</v>
      </c>
      <c r="F1166" s="13">
        <v>24</v>
      </c>
      <c r="G1166" s="22">
        <f>Overview!$B$88</f>
        <v>30</v>
      </c>
      <c r="H1166" s="23">
        <f t="shared" si="385"/>
        <v>30</v>
      </c>
      <c r="I1166" s="114">
        <f>Overview!$E$88</f>
        <v>0</v>
      </c>
      <c r="J1166" s="24">
        <f t="shared" si="386"/>
        <v>0</v>
      </c>
      <c r="K1166" s="116">
        <f>Overview!$H$88</f>
        <v>0</v>
      </c>
      <c r="L1166" s="51" t="e">
        <f t="shared" si="387"/>
        <v>#DIV/0!</v>
      </c>
      <c r="M1166" s="179" t="s">
        <v>2989</v>
      </c>
      <c r="N1166" s="179" t="s">
        <v>3140</v>
      </c>
      <c r="O1166" s="141">
        <f t="shared" si="388"/>
        <v>0</v>
      </c>
      <c r="P1166" s="181" t="b">
        <f>COUNTIF('Facility Data'!$A$1:$A$1500,"*"&amp;A1166&amp;"*")&gt;0</f>
        <v>0</v>
      </c>
      <c r="Q1166" s="181" t="b">
        <f>COUNTIF('Account Data'!$A$1:$A$1000,"*"&amp;A1166&amp;"*")&gt;0</f>
        <v>0</v>
      </c>
      <c r="R1166" s="182" t="b">
        <f t="shared" si="389"/>
        <v>0</v>
      </c>
      <c r="S1166" s="182" t="b">
        <f t="shared" si="390"/>
        <v>0</v>
      </c>
      <c r="T1166" s="181" t="b">
        <f>COUNTIF('New Items'!$A$1:$A$175,A1166)&gt;0</f>
        <v>0</v>
      </c>
      <c r="U1166" s="181" t="b">
        <f>COUNTIF(Discontinued!$A$1:$A$150,A1166)&gt;0</f>
        <v>0</v>
      </c>
    </row>
    <row r="1167" spans="1:21" s="8" customFormat="1" ht="11.25" x14ac:dyDescent="0.2">
      <c r="A1167" s="290">
        <v>10136518</v>
      </c>
      <c r="B1167" s="10" t="s">
        <v>4571</v>
      </c>
      <c r="C1167" s="12" t="s">
        <v>1791</v>
      </c>
      <c r="D1167" s="11" t="s">
        <v>1471</v>
      </c>
      <c r="E1167" s="12" t="s">
        <v>772</v>
      </c>
      <c r="F1167" s="13">
        <v>24</v>
      </c>
      <c r="G1167" s="22">
        <f>Overview!$B$88</f>
        <v>30</v>
      </c>
      <c r="H1167" s="23">
        <f t="shared" si="385"/>
        <v>30</v>
      </c>
      <c r="I1167" s="114">
        <f>Overview!$E$88</f>
        <v>0</v>
      </c>
      <c r="J1167" s="24">
        <f t="shared" si="386"/>
        <v>0</v>
      </c>
      <c r="K1167" s="116">
        <f>Overview!$H$88</f>
        <v>0</v>
      </c>
      <c r="L1167" s="51" t="e">
        <f t="shared" si="387"/>
        <v>#DIV/0!</v>
      </c>
      <c r="M1167" s="179"/>
      <c r="N1167" s="179" t="s">
        <v>3140</v>
      </c>
      <c r="O1167" s="141">
        <f t="shared" si="388"/>
        <v>0</v>
      </c>
      <c r="P1167" s="181" t="b">
        <f>COUNTIF('Facility Data'!$A$1:$A$1500,"*"&amp;A1167&amp;"*")&gt;0</f>
        <v>0</v>
      </c>
      <c r="Q1167" s="181" t="b">
        <f>COUNTIF('Account Data'!$A$1:$A$1000,"*"&amp;A1167&amp;"*")&gt;0</f>
        <v>0</v>
      </c>
      <c r="R1167" s="182" t="b">
        <f t="shared" si="389"/>
        <v>1</v>
      </c>
      <c r="S1167" s="182" t="b">
        <f t="shared" si="390"/>
        <v>1</v>
      </c>
      <c r="T1167" s="181" t="b">
        <f>COUNTIF('New Items'!$A$1:$A$175,A1167)&gt;0</f>
        <v>1</v>
      </c>
      <c r="U1167" s="181" t="b">
        <f>COUNTIF(Discontinued!$A$1:$A$150,A1167)&gt;0</f>
        <v>0</v>
      </c>
    </row>
    <row r="1168" spans="1:21" s="8" customFormat="1" ht="11.25" x14ac:dyDescent="0.2">
      <c r="A1168" s="290">
        <v>10136519</v>
      </c>
      <c r="B1168" s="10" t="s">
        <v>4572</v>
      </c>
      <c r="C1168" s="12" t="s">
        <v>1774</v>
      </c>
      <c r="D1168" s="11" t="s">
        <v>1154</v>
      </c>
      <c r="E1168" s="12" t="s">
        <v>772</v>
      </c>
      <c r="F1168" s="13">
        <v>24</v>
      </c>
      <c r="G1168" s="22">
        <f>Overview!$B$88</f>
        <v>30</v>
      </c>
      <c r="H1168" s="23">
        <f t="shared" si="385"/>
        <v>30</v>
      </c>
      <c r="I1168" s="114">
        <f>Overview!$E$88</f>
        <v>0</v>
      </c>
      <c r="J1168" s="24">
        <f t="shared" si="386"/>
        <v>0</v>
      </c>
      <c r="K1168" s="116">
        <f>Overview!$H$88</f>
        <v>0</v>
      </c>
      <c r="L1168" s="51" t="e">
        <f t="shared" si="387"/>
        <v>#DIV/0!</v>
      </c>
      <c r="M1168" s="179"/>
      <c r="N1168" s="179" t="s">
        <v>3140</v>
      </c>
      <c r="O1168" s="141">
        <f t="shared" si="388"/>
        <v>0</v>
      </c>
      <c r="P1168" s="181" t="b">
        <f>COUNTIF('Facility Data'!$A$1:$A$1500,"*"&amp;A1168&amp;"*")&gt;0</f>
        <v>0</v>
      </c>
      <c r="Q1168" s="181" t="b">
        <f>COUNTIF('Account Data'!$A$1:$A$1000,"*"&amp;A1168&amp;"*")&gt;0</f>
        <v>0</v>
      </c>
      <c r="R1168" s="182" t="b">
        <f t="shared" si="389"/>
        <v>1</v>
      </c>
      <c r="S1168" s="182" t="b">
        <f t="shared" si="390"/>
        <v>1</v>
      </c>
      <c r="T1168" s="181" t="b">
        <f>COUNTIF('New Items'!$A$1:$A$175,A1168)&gt;0</f>
        <v>1</v>
      </c>
      <c r="U1168" s="181" t="b">
        <f>COUNTIF(Discontinued!$A$1:$A$150,A1168)&gt;0</f>
        <v>0</v>
      </c>
    </row>
    <row r="1169" spans="1:21" s="8" customFormat="1" ht="11.25" x14ac:dyDescent="0.2">
      <c r="A1169" s="152">
        <v>10128135</v>
      </c>
      <c r="B1169" s="10" t="s">
        <v>3832</v>
      </c>
      <c r="C1169" s="12" t="s">
        <v>1774</v>
      </c>
      <c r="D1169" s="11" t="s">
        <v>1154</v>
      </c>
      <c r="E1169" s="12" t="s">
        <v>772</v>
      </c>
      <c r="F1169" s="13">
        <v>24</v>
      </c>
      <c r="G1169" s="22">
        <f>Overview!$B$88</f>
        <v>30</v>
      </c>
      <c r="H1169" s="23">
        <f t="shared" si="385"/>
        <v>30</v>
      </c>
      <c r="I1169" s="114">
        <f>Overview!$E$88</f>
        <v>0</v>
      </c>
      <c r="J1169" s="24">
        <f t="shared" si="386"/>
        <v>0</v>
      </c>
      <c r="K1169" s="116">
        <f>Overview!$H$88</f>
        <v>0</v>
      </c>
      <c r="L1169" s="51" t="e">
        <f t="shared" si="387"/>
        <v>#DIV/0!</v>
      </c>
      <c r="M1169" s="179" t="s">
        <v>2989</v>
      </c>
      <c r="N1169" s="179" t="s">
        <v>3140</v>
      </c>
      <c r="O1169" s="141">
        <f t="shared" si="388"/>
        <v>0</v>
      </c>
      <c r="P1169" s="181" t="b">
        <f>COUNTIF('Facility Data'!$A$1:$A$1500,"*"&amp;A1169&amp;"*")&gt;0</f>
        <v>0</v>
      </c>
      <c r="Q1169" s="181" t="b">
        <f>COUNTIF('Account Data'!$A$1:$A$1000,"*"&amp;A1169&amp;"*")&gt;0</f>
        <v>0</v>
      </c>
      <c r="R1169" s="182" t="b">
        <f t="shared" si="389"/>
        <v>0</v>
      </c>
      <c r="S1169" s="182" t="b">
        <f t="shared" si="390"/>
        <v>0</v>
      </c>
      <c r="T1169" s="181" t="b">
        <f>COUNTIF('New Items'!$A$1:$A$175,A1169)&gt;0</f>
        <v>0</v>
      </c>
      <c r="U1169" s="181" t="b">
        <f>COUNTIF(Discontinued!$A$1:$A$150,A1169)&gt;0</f>
        <v>0</v>
      </c>
    </row>
    <row r="1170" spans="1:21" s="8" customFormat="1" ht="11.25" x14ac:dyDescent="0.2">
      <c r="A1170" s="290">
        <v>10136468</v>
      </c>
      <c r="B1170" s="10" t="s">
        <v>4552</v>
      </c>
      <c r="C1170" s="12" t="s">
        <v>1343</v>
      </c>
      <c r="D1170" s="11" t="s">
        <v>1338</v>
      </c>
      <c r="E1170" s="12" t="s">
        <v>772</v>
      </c>
      <c r="F1170" s="13">
        <v>24</v>
      </c>
      <c r="G1170" s="22">
        <f>Overview!$B$88</f>
        <v>30</v>
      </c>
      <c r="H1170" s="23">
        <f t="shared" si="385"/>
        <v>30</v>
      </c>
      <c r="I1170" s="114">
        <f>Overview!$E$88</f>
        <v>0</v>
      </c>
      <c r="J1170" s="24">
        <f t="shared" si="386"/>
        <v>0</v>
      </c>
      <c r="K1170" s="116">
        <f>Overview!$H$88</f>
        <v>0</v>
      </c>
      <c r="L1170" s="51" t="e">
        <f t="shared" si="387"/>
        <v>#DIV/0!</v>
      </c>
      <c r="M1170" s="179"/>
      <c r="N1170" s="179" t="s">
        <v>3140</v>
      </c>
      <c r="O1170" s="141">
        <f t="shared" si="388"/>
        <v>0</v>
      </c>
      <c r="P1170" s="181" t="b">
        <f>COUNTIF('Facility Data'!$A$1:$A$1500,"*"&amp;A1170&amp;"*")&gt;0</f>
        <v>0</v>
      </c>
      <c r="Q1170" s="181" t="b">
        <f>COUNTIF('Account Data'!$A$1:$A$1000,"*"&amp;A1170&amp;"*")&gt;0</f>
        <v>0</v>
      </c>
      <c r="R1170" s="182" t="b">
        <f t="shared" si="389"/>
        <v>1</v>
      </c>
      <c r="S1170" s="182" t="b">
        <f t="shared" si="390"/>
        <v>1</v>
      </c>
      <c r="T1170" s="181" t="b">
        <f>COUNTIF('New Items'!$A$1:$A$175,A1170)&gt;0</f>
        <v>1</v>
      </c>
      <c r="U1170" s="181" t="b">
        <f>COUNTIF(Discontinued!$A$1:$A$150,A1170)&gt;0</f>
        <v>0</v>
      </c>
    </row>
    <row r="1171" spans="1:21" s="8" customFormat="1" ht="11.25" x14ac:dyDescent="0.2">
      <c r="A1171" s="290">
        <v>10136507</v>
      </c>
      <c r="B1171" s="10" t="s">
        <v>4563</v>
      </c>
      <c r="C1171" s="12" t="s">
        <v>853</v>
      </c>
      <c r="D1171" s="11" t="s">
        <v>683</v>
      </c>
      <c r="E1171" s="12" t="s">
        <v>772</v>
      </c>
      <c r="F1171" s="13">
        <v>24</v>
      </c>
      <c r="G1171" s="22">
        <f>Overview!$B$88</f>
        <v>30</v>
      </c>
      <c r="H1171" s="23">
        <f t="shared" si="385"/>
        <v>30</v>
      </c>
      <c r="I1171" s="114">
        <f>Overview!$E$88</f>
        <v>0</v>
      </c>
      <c r="J1171" s="24">
        <f t="shared" si="386"/>
        <v>0</v>
      </c>
      <c r="K1171" s="116">
        <f>Overview!$H$88</f>
        <v>0</v>
      </c>
      <c r="L1171" s="51" t="e">
        <f t="shared" si="387"/>
        <v>#DIV/0!</v>
      </c>
      <c r="M1171" s="179"/>
      <c r="N1171" s="179" t="s">
        <v>3140</v>
      </c>
      <c r="O1171" s="141">
        <f t="shared" si="388"/>
        <v>0</v>
      </c>
      <c r="P1171" s="181" t="b">
        <f>COUNTIF('Facility Data'!$A$1:$A$1500,"*"&amp;A1171&amp;"*")&gt;0</f>
        <v>0</v>
      </c>
      <c r="Q1171" s="181" t="b">
        <f>COUNTIF('Account Data'!$A$1:$A$1000,"*"&amp;A1171&amp;"*")&gt;0</f>
        <v>0</v>
      </c>
      <c r="R1171" s="182" t="b">
        <f t="shared" si="389"/>
        <v>1</v>
      </c>
      <c r="S1171" s="182" t="b">
        <f t="shared" si="390"/>
        <v>1</v>
      </c>
      <c r="T1171" s="181" t="b">
        <f>COUNTIF('New Items'!$A$1:$A$175,A1171)&gt;0</f>
        <v>1</v>
      </c>
      <c r="U1171" s="181" t="b">
        <f>COUNTIF(Discontinued!$A$1:$A$150,A1171)&gt;0</f>
        <v>0</v>
      </c>
    </row>
    <row r="1172" spans="1:21" s="8" customFormat="1" ht="11.25" x14ac:dyDescent="0.2">
      <c r="A1172" s="152">
        <v>10119507</v>
      </c>
      <c r="B1172" s="10" t="s">
        <v>2991</v>
      </c>
      <c r="C1172" s="12" t="s">
        <v>853</v>
      </c>
      <c r="D1172" s="11" t="s">
        <v>683</v>
      </c>
      <c r="E1172" s="12" t="s">
        <v>772</v>
      </c>
      <c r="F1172" s="13">
        <v>24</v>
      </c>
      <c r="G1172" s="22">
        <f>Overview!$B$88</f>
        <v>30</v>
      </c>
      <c r="H1172" s="23">
        <f t="shared" si="385"/>
        <v>30</v>
      </c>
      <c r="I1172" s="114">
        <f>Overview!$E$88</f>
        <v>0</v>
      </c>
      <c r="J1172" s="24">
        <f t="shared" si="386"/>
        <v>0</v>
      </c>
      <c r="K1172" s="116">
        <f>Overview!$H$88</f>
        <v>0</v>
      </c>
      <c r="L1172" s="51" t="e">
        <f t="shared" si="387"/>
        <v>#DIV/0!</v>
      </c>
      <c r="M1172" s="179" t="s">
        <v>2989</v>
      </c>
      <c r="N1172" s="179" t="s">
        <v>3140</v>
      </c>
      <c r="O1172" s="141">
        <f t="shared" si="388"/>
        <v>0</v>
      </c>
      <c r="P1172" s="181" t="b">
        <f>COUNTIF('Facility Data'!$A$1:$A$1500,"*"&amp;A1172&amp;"*")&gt;0</f>
        <v>0</v>
      </c>
      <c r="Q1172" s="181" t="b">
        <f>COUNTIF('Account Data'!$A$1:$A$1000,"*"&amp;A1172&amp;"*")&gt;0</f>
        <v>0</v>
      </c>
      <c r="R1172" s="182" t="b">
        <f t="shared" si="389"/>
        <v>0</v>
      </c>
      <c r="S1172" s="182" t="b">
        <f t="shared" si="390"/>
        <v>0</v>
      </c>
      <c r="T1172" s="181" t="b">
        <f>COUNTIF('New Items'!$A$1:$A$175,A1172)&gt;0</f>
        <v>0</v>
      </c>
      <c r="U1172" s="181" t="b">
        <f>COUNTIF(Discontinued!$A$1:$A$150,A1172)&gt;0</f>
        <v>0</v>
      </c>
    </row>
    <row r="1173" spans="1:21" s="8" customFormat="1" ht="11.25" x14ac:dyDescent="0.2">
      <c r="A1173" s="152">
        <v>10109318</v>
      </c>
      <c r="B1173" s="10" t="s">
        <v>1770</v>
      </c>
      <c r="C1173" s="12" t="s">
        <v>997</v>
      </c>
      <c r="D1173" s="11" t="s">
        <v>999</v>
      </c>
      <c r="E1173" s="12" t="s">
        <v>772</v>
      </c>
      <c r="F1173" s="13">
        <v>24</v>
      </c>
      <c r="G1173" s="22">
        <f>Overview!$B$88</f>
        <v>30</v>
      </c>
      <c r="H1173" s="23">
        <f t="shared" si="385"/>
        <v>30</v>
      </c>
      <c r="I1173" s="114">
        <f>Overview!$E$88</f>
        <v>0</v>
      </c>
      <c r="J1173" s="24">
        <f t="shared" si="386"/>
        <v>0</v>
      </c>
      <c r="K1173" s="116">
        <f>Overview!$H$88</f>
        <v>0</v>
      </c>
      <c r="L1173" s="51" t="e">
        <f t="shared" si="387"/>
        <v>#DIV/0!</v>
      </c>
      <c r="M1173" s="179"/>
      <c r="N1173" s="179" t="s">
        <v>3140</v>
      </c>
      <c r="O1173" s="141">
        <f t="shared" si="388"/>
        <v>0</v>
      </c>
      <c r="P1173" s="181" t="b">
        <f>COUNTIF('Facility Data'!$A$1:$A$1500,"*"&amp;A1173&amp;"*")&gt;0</f>
        <v>0</v>
      </c>
      <c r="Q1173" s="181" t="b">
        <f>COUNTIF('Account Data'!$A$1:$A$1000,"*"&amp;A1173&amp;"*")&gt;0</f>
        <v>0</v>
      </c>
      <c r="R1173" s="182" t="b">
        <f t="shared" si="389"/>
        <v>0</v>
      </c>
      <c r="S1173" s="182" t="b">
        <f t="shared" si="390"/>
        <v>0</v>
      </c>
      <c r="T1173" s="181" t="b">
        <f>COUNTIF('New Items'!$A$1:$A$175,A1173)&gt;0</f>
        <v>0</v>
      </c>
      <c r="U1173" s="181" t="b">
        <f>COUNTIF(Discontinued!$A$1:$A$150,A1173)&gt;0</f>
        <v>0</v>
      </c>
    </row>
    <row r="1174" spans="1:21" s="8" customFormat="1" ht="11.25" x14ac:dyDescent="0.2">
      <c r="A1174" s="160">
        <v>10134000</v>
      </c>
      <c r="B1174" s="231" t="s">
        <v>4359</v>
      </c>
      <c r="C1174" s="118" t="s">
        <v>3996</v>
      </c>
      <c r="D1174" s="119" t="s">
        <v>754</v>
      </c>
      <c r="E1174" s="12" t="s">
        <v>772</v>
      </c>
      <c r="F1174" s="13">
        <v>24</v>
      </c>
      <c r="G1174" s="22">
        <f>Overview!$B$88</f>
        <v>30</v>
      </c>
      <c r="H1174" s="23">
        <f>G1174-I1174</f>
        <v>30</v>
      </c>
      <c r="I1174" s="114">
        <f>Overview!$E$88</f>
        <v>0</v>
      </c>
      <c r="J1174" s="24">
        <f>I1174/F1174</f>
        <v>0</v>
      </c>
      <c r="K1174" s="116">
        <f>Overview!$H$88</f>
        <v>0</v>
      </c>
      <c r="L1174" s="51" t="e">
        <f>(K1174-J1174)/K1174</f>
        <v>#DIV/0!</v>
      </c>
      <c r="M1174" s="179"/>
      <c r="N1174" s="179" t="s">
        <v>3140</v>
      </c>
      <c r="O1174" s="141">
        <f>I1174</f>
        <v>0</v>
      </c>
      <c r="P1174" s="181" t="b">
        <f>COUNTIF('Facility Data'!$A$1:$A$1500,"*"&amp;A1174&amp;"*")&gt;0</f>
        <v>0</v>
      </c>
      <c r="Q1174" s="181" t="b">
        <f>COUNTIF('Account Data'!$A$1:$A$1000,"*"&amp;A1174&amp;"*")&gt;0</f>
        <v>0</v>
      </c>
      <c r="R1174" s="182" t="b">
        <f t="shared" si="389"/>
        <v>0</v>
      </c>
      <c r="S1174" s="182" t="b">
        <f>IF(OR(Q1174=TRUE,T1174=TRUE),TRUE,FALSE)</f>
        <v>0</v>
      </c>
      <c r="T1174" s="181" t="b">
        <f>COUNTIF('New Items'!$A$1:$A$175,A1174)&gt;0</f>
        <v>0</v>
      </c>
      <c r="U1174" s="181" t="b">
        <f>COUNTIF(Discontinued!$A$1:$A$150,A1174)&gt;0</f>
        <v>0</v>
      </c>
    </row>
    <row r="1175" spans="1:21" s="8" customFormat="1" ht="11.25" x14ac:dyDescent="0.2">
      <c r="A1175" s="290">
        <v>10136465</v>
      </c>
      <c r="B1175" s="10" t="s">
        <v>4550</v>
      </c>
      <c r="C1175" s="12" t="s">
        <v>1755</v>
      </c>
      <c r="D1175" s="11" t="s">
        <v>1756</v>
      </c>
      <c r="E1175" s="12" t="s">
        <v>772</v>
      </c>
      <c r="F1175" s="13">
        <v>24</v>
      </c>
      <c r="G1175" s="22">
        <f>Overview!$B$88</f>
        <v>30</v>
      </c>
      <c r="H1175" s="23">
        <f t="shared" si="385"/>
        <v>30</v>
      </c>
      <c r="I1175" s="114">
        <f>Overview!$E$88</f>
        <v>0</v>
      </c>
      <c r="J1175" s="24">
        <f t="shared" si="386"/>
        <v>0</v>
      </c>
      <c r="K1175" s="116">
        <f>Overview!$H$88</f>
        <v>0</v>
      </c>
      <c r="L1175" s="51" t="e">
        <f t="shared" si="387"/>
        <v>#DIV/0!</v>
      </c>
      <c r="M1175" s="179"/>
      <c r="N1175" s="179" t="s">
        <v>3140</v>
      </c>
      <c r="O1175" s="141">
        <f t="shared" si="388"/>
        <v>0</v>
      </c>
      <c r="P1175" s="181" t="b">
        <f>COUNTIF('Facility Data'!$A$1:$A$1500,"*"&amp;A1175&amp;"*")&gt;0</f>
        <v>0</v>
      </c>
      <c r="Q1175" s="181" t="b">
        <f>COUNTIF('Account Data'!$A$1:$A$1000,"*"&amp;A1175&amp;"*")&gt;0</f>
        <v>0</v>
      </c>
      <c r="R1175" s="182" t="b">
        <f t="shared" si="389"/>
        <v>1</v>
      </c>
      <c r="S1175" s="182" t="b">
        <f t="shared" si="390"/>
        <v>1</v>
      </c>
      <c r="T1175" s="181" t="b">
        <f>COUNTIF('New Items'!$A$1:$A$175,A1175)&gt;0</f>
        <v>1</v>
      </c>
      <c r="U1175" s="181" t="b">
        <f>COUNTIF(Discontinued!$A$1:$A$150,A1175)&gt;0</f>
        <v>0</v>
      </c>
    </row>
    <row r="1176" spans="1:21" s="8" customFormat="1" ht="11.25" x14ac:dyDescent="0.2">
      <c r="A1176" s="290">
        <v>10136471</v>
      </c>
      <c r="B1176" s="10" t="s">
        <v>4554</v>
      </c>
      <c r="C1176" s="12" t="s">
        <v>1785</v>
      </c>
      <c r="D1176" s="11" t="s">
        <v>1796</v>
      </c>
      <c r="E1176" s="12" t="s">
        <v>772</v>
      </c>
      <c r="F1176" s="13">
        <v>24</v>
      </c>
      <c r="G1176" s="22">
        <f>Overview!$B$88</f>
        <v>30</v>
      </c>
      <c r="H1176" s="23">
        <f t="shared" si="385"/>
        <v>30</v>
      </c>
      <c r="I1176" s="114">
        <f>Overview!$E$88</f>
        <v>0</v>
      </c>
      <c r="J1176" s="24">
        <f t="shared" si="386"/>
        <v>0</v>
      </c>
      <c r="K1176" s="116">
        <f>Overview!$H$88</f>
        <v>0</v>
      </c>
      <c r="L1176" s="51" t="e">
        <f t="shared" si="387"/>
        <v>#DIV/0!</v>
      </c>
      <c r="M1176" s="179"/>
      <c r="N1176" s="179" t="s">
        <v>3140</v>
      </c>
      <c r="O1176" s="141">
        <f t="shared" si="388"/>
        <v>0</v>
      </c>
      <c r="P1176" s="181" t="b">
        <f>COUNTIF('Facility Data'!$A$1:$A$1500,"*"&amp;A1176&amp;"*")&gt;0</f>
        <v>0</v>
      </c>
      <c r="Q1176" s="181" t="b">
        <f>COUNTIF('Account Data'!$A$1:$A$1000,"*"&amp;A1176&amp;"*")&gt;0</f>
        <v>0</v>
      </c>
      <c r="R1176" s="182" t="b">
        <f t="shared" si="389"/>
        <v>1</v>
      </c>
      <c r="S1176" s="182" t="b">
        <f t="shared" si="390"/>
        <v>1</v>
      </c>
      <c r="T1176" s="181" t="b">
        <f>COUNTIF('New Items'!$A$1:$A$175,A1176)&gt;0</f>
        <v>1</v>
      </c>
      <c r="U1176" s="181" t="b">
        <f>COUNTIF(Discontinued!$A$1:$A$150,A1176)&gt;0</f>
        <v>0</v>
      </c>
    </row>
    <row r="1177" spans="1:21" s="8" customFormat="1" ht="11.25" x14ac:dyDescent="0.2">
      <c r="A1177" s="290">
        <v>10136485</v>
      </c>
      <c r="B1177" s="10" t="s">
        <v>4555</v>
      </c>
      <c r="C1177" s="12" t="s">
        <v>855</v>
      </c>
      <c r="D1177" s="11" t="s">
        <v>685</v>
      </c>
      <c r="E1177" s="12" t="s">
        <v>772</v>
      </c>
      <c r="F1177" s="13">
        <v>24</v>
      </c>
      <c r="G1177" s="22">
        <f>Overview!$B$88</f>
        <v>30</v>
      </c>
      <c r="H1177" s="23">
        <f t="shared" si="385"/>
        <v>30</v>
      </c>
      <c r="I1177" s="114">
        <f>Overview!$E$88</f>
        <v>0</v>
      </c>
      <c r="J1177" s="24">
        <f t="shared" si="386"/>
        <v>0</v>
      </c>
      <c r="K1177" s="116">
        <f>Overview!$H$88</f>
        <v>0</v>
      </c>
      <c r="L1177" s="51" t="e">
        <f t="shared" si="387"/>
        <v>#DIV/0!</v>
      </c>
      <c r="M1177" s="179"/>
      <c r="N1177" s="179" t="s">
        <v>3140</v>
      </c>
      <c r="O1177" s="141">
        <f t="shared" si="388"/>
        <v>0</v>
      </c>
      <c r="P1177" s="181" t="b">
        <f>COUNTIF('Facility Data'!$A$1:$A$1500,"*"&amp;A1177&amp;"*")&gt;0</f>
        <v>0</v>
      </c>
      <c r="Q1177" s="181" t="b">
        <f>COUNTIF('Account Data'!$A$1:$A$1000,"*"&amp;A1177&amp;"*")&gt;0</f>
        <v>0</v>
      </c>
      <c r="R1177" s="182" t="b">
        <f t="shared" si="389"/>
        <v>1</v>
      </c>
      <c r="S1177" s="182" t="b">
        <f t="shared" si="390"/>
        <v>1</v>
      </c>
      <c r="T1177" s="181" t="b">
        <f>COUNTIF('New Items'!$A$1:$A$175,A1177)&gt;0</f>
        <v>1</v>
      </c>
      <c r="U1177" s="181" t="b">
        <f>COUNTIF(Discontinued!$A$1:$A$150,A1177)&gt;0</f>
        <v>0</v>
      </c>
    </row>
    <row r="1178" spans="1:21" s="8" customFormat="1" ht="11.25" x14ac:dyDescent="0.2">
      <c r="A1178" s="290">
        <v>10136539</v>
      </c>
      <c r="B1178" s="10" t="s">
        <v>4576</v>
      </c>
      <c r="C1178" s="12" t="s">
        <v>841</v>
      </c>
      <c r="D1178" s="11" t="s">
        <v>690</v>
      </c>
      <c r="E1178" s="12" t="s">
        <v>772</v>
      </c>
      <c r="F1178" s="13">
        <v>24</v>
      </c>
      <c r="G1178" s="22">
        <f>Overview!$B$88</f>
        <v>30</v>
      </c>
      <c r="H1178" s="23">
        <f t="shared" si="385"/>
        <v>30</v>
      </c>
      <c r="I1178" s="114">
        <f>Overview!$E$88</f>
        <v>0</v>
      </c>
      <c r="J1178" s="24">
        <f t="shared" si="386"/>
        <v>0</v>
      </c>
      <c r="K1178" s="116">
        <f>Overview!$H$88</f>
        <v>0</v>
      </c>
      <c r="L1178" s="51" t="e">
        <f t="shared" si="387"/>
        <v>#DIV/0!</v>
      </c>
      <c r="M1178" s="179"/>
      <c r="N1178" s="179" t="s">
        <v>3140</v>
      </c>
      <c r="O1178" s="141">
        <f t="shared" si="388"/>
        <v>0</v>
      </c>
      <c r="P1178" s="181" t="b">
        <f>COUNTIF('Facility Data'!$A$1:$A$1500,"*"&amp;A1178&amp;"*")&gt;0</f>
        <v>0</v>
      </c>
      <c r="Q1178" s="181" t="b">
        <f>COUNTIF('Account Data'!$A$1:$A$1000,"*"&amp;A1178&amp;"*")&gt;0</f>
        <v>0</v>
      </c>
      <c r="R1178" s="182" t="b">
        <f t="shared" si="389"/>
        <v>1</v>
      </c>
      <c r="S1178" s="182" t="b">
        <f t="shared" si="390"/>
        <v>1</v>
      </c>
      <c r="T1178" s="181" t="b">
        <f>COUNTIF('New Items'!$A$1:$A$175,A1178)&gt;0</f>
        <v>1</v>
      </c>
      <c r="U1178" s="181" t="b">
        <f>COUNTIF(Discontinued!$A$1:$A$150,A1178)&gt;0</f>
        <v>0</v>
      </c>
    </row>
    <row r="1179" spans="1:21" s="8" customFormat="1" ht="11.25" x14ac:dyDescent="0.2">
      <c r="A1179" s="152">
        <v>10119504</v>
      </c>
      <c r="B1179" s="10" t="s">
        <v>2994</v>
      </c>
      <c r="C1179" s="12" t="s">
        <v>841</v>
      </c>
      <c r="D1179" s="11" t="s">
        <v>690</v>
      </c>
      <c r="E1179" s="12" t="s">
        <v>772</v>
      </c>
      <c r="F1179" s="13">
        <v>24</v>
      </c>
      <c r="G1179" s="22">
        <f>Overview!$B$88</f>
        <v>30</v>
      </c>
      <c r="H1179" s="23">
        <f t="shared" si="385"/>
        <v>30</v>
      </c>
      <c r="I1179" s="114">
        <f>Overview!$E$88</f>
        <v>0</v>
      </c>
      <c r="J1179" s="24">
        <f t="shared" si="386"/>
        <v>0</v>
      </c>
      <c r="K1179" s="116">
        <f>Overview!$H$88</f>
        <v>0</v>
      </c>
      <c r="L1179" s="51" t="e">
        <f t="shared" si="387"/>
        <v>#DIV/0!</v>
      </c>
      <c r="M1179" s="179" t="s">
        <v>2989</v>
      </c>
      <c r="N1179" s="179" t="s">
        <v>3140</v>
      </c>
      <c r="O1179" s="141">
        <f t="shared" si="388"/>
        <v>0</v>
      </c>
      <c r="P1179" s="181" t="b">
        <f>COUNTIF('Facility Data'!$A$1:$A$1500,"*"&amp;A1179&amp;"*")&gt;0</f>
        <v>0</v>
      </c>
      <c r="Q1179" s="181" t="b">
        <f>COUNTIF('Account Data'!$A$1:$A$1000,"*"&amp;A1179&amp;"*")&gt;0</f>
        <v>0</v>
      </c>
      <c r="R1179" s="182" t="b">
        <f t="shared" si="389"/>
        <v>0</v>
      </c>
      <c r="S1179" s="182" t="b">
        <f t="shared" si="390"/>
        <v>0</v>
      </c>
      <c r="T1179" s="181" t="b">
        <f>COUNTIF('New Items'!$A$1:$A$175,A1179)&gt;0</f>
        <v>0</v>
      </c>
      <c r="U1179" s="181" t="b">
        <f>COUNTIF(Discontinued!$A$1:$A$150,A1179)&gt;0</f>
        <v>0</v>
      </c>
    </row>
    <row r="1180" spans="1:21" s="8" customFormat="1" ht="11.25" x14ac:dyDescent="0.2">
      <c r="A1180" s="290">
        <v>10136462</v>
      </c>
      <c r="B1180" s="10" t="s">
        <v>4548</v>
      </c>
      <c r="C1180" s="12" t="s">
        <v>1119</v>
      </c>
      <c r="D1180" s="11" t="s">
        <v>1118</v>
      </c>
      <c r="E1180" s="12" t="s">
        <v>772</v>
      </c>
      <c r="F1180" s="13">
        <v>24</v>
      </c>
      <c r="G1180" s="22">
        <f>Overview!$B$88</f>
        <v>30</v>
      </c>
      <c r="H1180" s="23">
        <f>G1180-I1180</f>
        <v>30</v>
      </c>
      <c r="I1180" s="114">
        <f>Overview!$E$88</f>
        <v>0</v>
      </c>
      <c r="J1180" s="24">
        <f>I1180/F1180</f>
        <v>0</v>
      </c>
      <c r="K1180" s="116">
        <f>Overview!$H$88</f>
        <v>0</v>
      </c>
      <c r="L1180" s="51" t="e">
        <f>(K1180-J1180)/K1180</f>
        <v>#DIV/0!</v>
      </c>
      <c r="M1180" s="179" t="s">
        <v>2989</v>
      </c>
      <c r="N1180" s="179" t="s">
        <v>3140</v>
      </c>
      <c r="O1180" s="141">
        <f>I1180</f>
        <v>0</v>
      </c>
      <c r="P1180" s="181" t="b">
        <f>COUNTIF('Facility Data'!$A$1:$A$1500,"*"&amp;A1180&amp;"*")&gt;0</f>
        <v>0</v>
      </c>
      <c r="Q1180" s="181" t="b">
        <f>COUNTIF('Account Data'!$A$1:$A$1000,"*"&amp;A1180&amp;"*")&gt;0</f>
        <v>0</v>
      </c>
      <c r="R1180" s="182" t="b">
        <f t="shared" si="389"/>
        <v>1</v>
      </c>
      <c r="S1180" s="182" t="b">
        <f>IF(OR(Q1180=TRUE,T1180=TRUE),TRUE,FALSE)</f>
        <v>1</v>
      </c>
      <c r="T1180" s="181" t="b">
        <f>COUNTIF('New Items'!$A$1:$A$175,A1180)&gt;0</f>
        <v>1</v>
      </c>
      <c r="U1180" s="181" t="b">
        <f>COUNTIF(Discontinued!$A$1:$A$150,A1180)&gt;0</f>
        <v>0</v>
      </c>
    </row>
    <row r="1181" spans="1:21" s="8" customFormat="1" ht="12" thickBot="1" x14ac:dyDescent="0.25">
      <c r="A1181" s="290">
        <v>10136467</v>
      </c>
      <c r="B1181" s="10" t="s">
        <v>4551</v>
      </c>
      <c r="C1181" s="12" t="s">
        <v>1117</v>
      </c>
      <c r="D1181" s="11" t="s">
        <v>725</v>
      </c>
      <c r="E1181" s="12" t="s">
        <v>772</v>
      </c>
      <c r="F1181" s="13">
        <v>24</v>
      </c>
      <c r="G1181" s="22">
        <f>Overview!$B$88</f>
        <v>30</v>
      </c>
      <c r="H1181" s="23">
        <f>G1181-I1181</f>
        <v>30</v>
      </c>
      <c r="I1181" s="114">
        <f>Overview!$E$88</f>
        <v>0</v>
      </c>
      <c r="J1181" s="24">
        <f>I1181/F1181</f>
        <v>0</v>
      </c>
      <c r="K1181" s="116">
        <f>Overview!$H$88</f>
        <v>0</v>
      </c>
      <c r="L1181" s="51" t="e">
        <f>(K1181-J1181)/K1181</f>
        <v>#DIV/0!</v>
      </c>
      <c r="M1181" s="179" t="s">
        <v>2989</v>
      </c>
      <c r="N1181" s="179" t="s">
        <v>3140</v>
      </c>
      <c r="O1181" s="141">
        <f>I1181</f>
        <v>0</v>
      </c>
      <c r="P1181" s="181" t="b">
        <f>COUNTIF('Facility Data'!$A$1:$A$1500,"*"&amp;A1181&amp;"*")&gt;0</f>
        <v>0</v>
      </c>
      <c r="Q1181" s="181" t="b">
        <f>COUNTIF('Account Data'!$A$1:$A$1000,"*"&amp;A1181&amp;"*")&gt;0</f>
        <v>0</v>
      </c>
      <c r="R1181" s="182" t="b">
        <f t="shared" si="389"/>
        <v>1</v>
      </c>
      <c r="S1181" s="182" t="b">
        <f>IF(OR(Q1181=TRUE,T1181=TRUE),TRUE,FALSE)</f>
        <v>1</v>
      </c>
      <c r="T1181" s="181" t="b">
        <f>COUNTIF('New Items'!$A$1:$A$175,A1181)&gt;0</f>
        <v>1</v>
      </c>
      <c r="U1181" s="181" t="b">
        <f>COUNTIF(Discontinued!$A$1:$A$150,A1181)&gt;0</f>
        <v>0</v>
      </c>
    </row>
    <row r="1182" spans="1:21" s="8" customFormat="1" ht="13.5" thickBot="1" x14ac:dyDescent="0.25">
      <c r="A1182" s="300" t="s">
        <v>4580</v>
      </c>
      <c r="B1182" s="301"/>
      <c r="C1182" s="301"/>
      <c r="D1182" s="301"/>
      <c r="E1182" s="301"/>
      <c r="F1182" s="301"/>
      <c r="G1182" s="301"/>
      <c r="H1182" s="301"/>
      <c r="I1182" s="301"/>
      <c r="J1182" s="301"/>
      <c r="K1182" s="301"/>
      <c r="L1182" s="302"/>
      <c r="M1182" s="179"/>
      <c r="N1182" s="179" t="s">
        <v>984</v>
      </c>
      <c r="O1182" s="141">
        <f>AVERAGE(O1183:O1204)</f>
        <v>0</v>
      </c>
      <c r="P1182" s="181" t="b">
        <f>COUNTIF(P1183:P1204,TRUE)&gt;0</f>
        <v>0</v>
      </c>
      <c r="Q1182" s="181" t="b">
        <f>COUNTIF(Q1183:Q1204,TRUE)&gt;0</f>
        <v>1</v>
      </c>
      <c r="R1182" s="181" t="b">
        <f>COUNTIF(R1183:R1204,TRUE)&gt;0</f>
        <v>1</v>
      </c>
      <c r="S1182" s="181" t="b">
        <f>COUNTIF(S1183:S1204,TRUE)&gt;0</f>
        <v>1</v>
      </c>
      <c r="T1182" s="181" t="b">
        <f>COUNTIF(T1183:T1204,TRUE)&gt;0</f>
        <v>1</v>
      </c>
      <c r="U1182" s="249"/>
    </row>
    <row r="1183" spans="1:21" s="8" customFormat="1" ht="11.25" x14ac:dyDescent="0.2">
      <c r="A1183" s="289">
        <v>10137144</v>
      </c>
      <c r="B1183" s="231" t="s">
        <v>4610</v>
      </c>
      <c r="C1183" s="118" t="s">
        <v>4611</v>
      </c>
      <c r="D1183" s="119" t="s">
        <v>1120</v>
      </c>
      <c r="E1183" s="12" t="s">
        <v>772</v>
      </c>
      <c r="F1183" s="13">
        <v>4</v>
      </c>
      <c r="G1183" s="22">
        <f>Overview!$B$89</f>
        <v>30</v>
      </c>
      <c r="H1183" s="23">
        <f t="shared" ref="H1183:H1204" si="391">G1183-I1183</f>
        <v>30</v>
      </c>
      <c r="I1183" s="114">
        <f>Overview!$E$89</f>
        <v>0</v>
      </c>
      <c r="J1183" s="24">
        <f t="shared" ref="J1183:J1204" si="392">I1183/F1183</f>
        <v>0</v>
      </c>
      <c r="K1183" s="116">
        <f>Overview!$H$89</f>
        <v>0</v>
      </c>
      <c r="L1183" s="51" t="e">
        <f t="shared" ref="L1183:L1204" si="393">(K1183-J1183)/K1183</f>
        <v>#DIV/0!</v>
      </c>
      <c r="M1183" s="179"/>
      <c r="N1183" s="179" t="s">
        <v>984</v>
      </c>
      <c r="O1183" s="141">
        <f t="shared" ref="O1183:O1204" si="394">I1183</f>
        <v>0</v>
      </c>
      <c r="P1183" s="181" t="b">
        <f>COUNTIF('Facility Data'!$A$1:$A$1500,"*"&amp;A1183&amp;"*")&gt;0</f>
        <v>0</v>
      </c>
      <c r="Q1183" s="181" t="b">
        <f>COUNTIF('Account Data'!$A$1:$A$1000,"*"&amp;A1183&amp;"*")&gt;0</f>
        <v>0</v>
      </c>
      <c r="R1183" s="182" t="b">
        <f t="shared" ref="R1183:R1204" si="395">IF(OR(P1183=TRUE,T1183=TRUE),TRUE,FALSE)</f>
        <v>1</v>
      </c>
      <c r="S1183" s="182" t="b">
        <f t="shared" ref="S1183:S1204" si="396">IF(OR(Q1183=TRUE,T1183=TRUE),TRUE,FALSE)</f>
        <v>1</v>
      </c>
      <c r="T1183" s="181" t="b">
        <f>COUNTIF('New Items'!$A$1:$A$175,A1183)&gt;0</f>
        <v>1</v>
      </c>
      <c r="U1183" s="181" t="b">
        <f>COUNTIF(Discontinued!$A$1:$A$150,A1183)&gt;0</f>
        <v>0</v>
      </c>
    </row>
    <row r="1184" spans="1:21" s="8" customFormat="1" ht="11.25" x14ac:dyDescent="0.2">
      <c r="A1184" s="290">
        <v>10136474</v>
      </c>
      <c r="B1184" s="10" t="s">
        <v>4582</v>
      </c>
      <c r="C1184" s="12" t="s">
        <v>4583</v>
      </c>
      <c r="D1184" s="11" t="s">
        <v>1753</v>
      </c>
      <c r="E1184" s="12" t="s">
        <v>772</v>
      </c>
      <c r="F1184" s="13">
        <v>4</v>
      </c>
      <c r="G1184" s="22">
        <f>Overview!$B$89</f>
        <v>30</v>
      </c>
      <c r="H1184" s="23">
        <f>G1184-I1184</f>
        <v>30</v>
      </c>
      <c r="I1184" s="114">
        <f>Overview!$E$89</f>
        <v>0</v>
      </c>
      <c r="J1184" s="24">
        <f>I1184/F1184</f>
        <v>0</v>
      </c>
      <c r="K1184" s="116">
        <f>Overview!$H$89</f>
        <v>0</v>
      </c>
      <c r="L1184" s="51" t="e">
        <f>(K1184-J1184)/K1184</f>
        <v>#DIV/0!</v>
      </c>
      <c r="M1184" s="179"/>
      <c r="N1184" s="179" t="s">
        <v>984</v>
      </c>
      <c r="O1184" s="141">
        <f>I1184</f>
        <v>0</v>
      </c>
      <c r="P1184" s="181" t="b">
        <f>COUNTIF('Facility Data'!$A$1:$A$1500,"*"&amp;A1184&amp;"*")&gt;0</f>
        <v>0</v>
      </c>
      <c r="Q1184" s="181" t="b">
        <f>COUNTIF('Account Data'!$A$1:$A$1000,"*"&amp;A1184&amp;"*")&gt;0</f>
        <v>0</v>
      </c>
      <c r="R1184" s="182" t="b">
        <f t="shared" si="395"/>
        <v>1</v>
      </c>
      <c r="S1184" s="182" t="b">
        <f>IF(OR(Q1184=TRUE,T1184=TRUE),TRUE,FALSE)</f>
        <v>1</v>
      </c>
      <c r="T1184" s="181" t="b">
        <f>COUNTIF('New Items'!$A$1:$A$175,A1184)&gt;0</f>
        <v>1</v>
      </c>
      <c r="U1184" s="181" t="b">
        <f>COUNTIF(Discontinued!$A$1:$A$150,A1184)&gt;0</f>
        <v>0</v>
      </c>
    </row>
    <row r="1185" spans="1:21" s="8" customFormat="1" ht="11.25" x14ac:dyDescent="0.2">
      <c r="A1185" s="289">
        <v>10136473</v>
      </c>
      <c r="B1185" s="231" t="s">
        <v>4584</v>
      </c>
      <c r="C1185" s="118" t="s">
        <v>4585</v>
      </c>
      <c r="D1185" s="11" t="s">
        <v>1751</v>
      </c>
      <c r="E1185" s="12" t="s">
        <v>772</v>
      </c>
      <c r="F1185" s="13">
        <v>4</v>
      </c>
      <c r="G1185" s="22">
        <f>Overview!$B$89</f>
        <v>30</v>
      </c>
      <c r="H1185" s="23">
        <f t="shared" si="391"/>
        <v>30</v>
      </c>
      <c r="I1185" s="114">
        <f>Overview!$E$89</f>
        <v>0</v>
      </c>
      <c r="J1185" s="24">
        <f t="shared" si="392"/>
        <v>0</v>
      </c>
      <c r="K1185" s="116">
        <f>Overview!$H$89</f>
        <v>0</v>
      </c>
      <c r="L1185" s="51" t="e">
        <f t="shared" si="393"/>
        <v>#DIV/0!</v>
      </c>
      <c r="M1185" s="179"/>
      <c r="N1185" s="179" t="s">
        <v>984</v>
      </c>
      <c r="O1185" s="141">
        <f t="shared" si="394"/>
        <v>0</v>
      </c>
      <c r="P1185" s="181" t="b">
        <f>COUNTIF('Facility Data'!$A$1:$A$1500,"*"&amp;A1185&amp;"*")&gt;0</f>
        <v>0</v>
      </c>
      <c r="Q1185" s="181" t="b">
        <f>COUNTIF('Account Data'!$A$1:$A$1000,"*"&amp;A1185&amp;"*")&gt;0</f>
        <v>0</v>
      </c>
      <c r="R1185" s="182" t="b">
        <f t="shared" si="395"/>
        <v>1</v>
      </c>
      <c r="S1185" s="182" t="b">
        <f t="shared" si="396"/>
        <v>1</v>
      </c>
      <c r="T1185" s="181" t="b">
        <f>COUNTIF('New Items'!$A$1:$A$175,A1185)&gt;0</f>
        <v>1</v>
      </c>
      <c r="U1185" s="181" t="b">
        <f>COUNTIF(Discontinued!$A$1:$A$150,A1185)&gt;0</f>
        <v>0</v>
      </c>
    </row>
    <row r="1186" spans="1:21" s="8" customFormat="1" ht="11.25" x14ac:dyDescent="0.2">
      <c r="A1186" s="289">
        <v>10136475</v>
      </c>
      <c r="B1186" s="231" t="s">
        <v>4586</v>
      </c>
      <c r="C1186" s="118" t="s">
        <v>4587</v>
      </c>
      <c r="D1186" s="11" t="s">
        <v>689</v>
      </c>
      <c r="E1186" s="12" t="s">
        <v>772</v>
      </c>
      <c r="F1186" s="13">
        <v>4</v>
      </c>
      <c r="G1186" s="22">
        <f>Overview!$B$89</f>
        <v>30</v>
      </c>
      <c r="H1186" s="23">
        <f t="shared" si="391"/>
        <v>30</v>
      </c>
      <c r="I1186" s="114">
        <f>Overview!$E$89</f>
        <v>0</v>
      </c>
      <c r="J1186" s="24">
        <f t="shared" si="392"/>
        <v>0</v>
      </c>
      <c r="K1186" s="116">
        <f>Overview!$H$89</f>
        <v>0</v>
      </c>
      <c r="L1186" s="51" t="e">
        <f t="shared" si="393"/>
        <v>#DIV/0!</v>
      </c>
      <c r="M1186" s="179"/>
      <c r="N1186" s="179" t="s">
        <v>984</v>
      </c>
      <c r="O1186" s="141">
        <f t="shared" si="394"/>
        <v>0</v>
      </c>
      <c r="P1186" s="181" t="b">
        <f>COUNTIF('Facility Data'!$A$1:$A$1500,"*"&amp;A1186&amp;"*")&gt;0</f>
        <v>0</v>
      </c>
      <c r="Q1186" s="181" t="b">
        <f>COUNTIF('Account Data'!$A$1:$A$1000,"*"&amp;A1186&amp;"*")&gt;0</f>
        <v>0</v>
      </c>
      <c r="R1186" s="182" t="b">
        <f t="shared" si="395"/>
        <v>1</v>
      </c>
      <c r="S1186" s="182" t="b">
        <f t="shared" si="396"/>
        <v>1</v>
      </c>
      <c r="T1186" s="181" t="b">
        <f>COUNTIF('New Items'!$A$1:$A$175,A1186)&gt;0</f>
        <v>1</v>
      </c>
      <c r="U1186" s="181" t="b">
        <f>COUNTIF(Discontinued!$A$1:$A$150,A1186)&gt;0</f>
        <v>0</v>
      </c>
    </row>
    <row r="1187" spans="1:21" s="8" customFormat="1" ht="11.25" x14ac:dyDescent="0.2">
      <c r="A1187" s="290">
        <v>10136477</v>
      </c>
      <c r="B1187" s="10" t="s">
        <v>4588</v>
      </c>
      <c r="C1187" s="12" t="s">
        <v>4589</v>
      </c>
      <c r="D1187" s="11" t="s">
        <v>1327</v>
      </c>
      <c r="E1187" s="12" t="s">
        <v>772</v>
      </c>
      <c r="F1187" s="13">
        <v>4</v>
      </c>
      <c r="G1187" s="22">
        <f>Overview!$B$89</f>
        <v>30</v>
      </c>
      <c r="H1187" s="23">
        <f t="shared" si="391"/>
        <v>30</v>
      </c>
      <c r="I1187" s="114">
        <f>Overview!$E$89</f>
        <v>0</v>
      </c>
      <c r="J1187" s="24">
        <f t="shared" si="392"/>
        <v>0</v>
      </c>
      <c r="K1187" s="116">
        <f>Overview!$H$89</f>
        <v>0</v>
      </c>
      <c r="L1187" s="51" t="e">
        <f t="shared" si="393"/>
        <v>#DIV/0!</v>
      </c>
      <c r="M1187" s="179"/>
      <c r="N1187" s="179" t="s">
        <v>984</v>
      </c>
      <c r="O1187" s="141">
        <f t="shared" si="394"/>
        <v>0</v>
      </c>
      <c r="P1187" s="181" t="b">
        <f>COUNTIF('Facility Data'!$A$1:$A$1500,"*"&amp;A1187&amp;"*")&gt;0</f>
        <v>0</v>
      </c>
      <c r="Q1187" s="181" t="b">
        <f>COUNTIF('Account Data'!$A$1:$A$1000,"*"&amp;A1187&amp;"*")&gt;0</f>
        <v>0</v>
      </c>
      <c r="R1187" s="182" t="b">
        <f t="shared" si="395"/>
        <v>1</v>
      </c>
      <c r="S1187" s="182" t="b">
        <f t="shared" si="396"/>
        <v>1</v>
      </c>
      <c r="T1187" s="181" t="b">
        <f>COUNTIF('New Items'!$A$1:$A$175,A1187)&gt;0</f>
        <v>1</v>
      </c>
      <c r="U1187" s="181" t="b">
        <f>COUNTIF(Discontinued!$A$1:$A$150,A1187)&gt;0</f>
        <v>0</v>
      </c>
    </row>
    <row r="1188" spans="1:21" s="8" customFormat="1" ht="11.25" x14ac:dyDescent="0.2">
      <c r="A1188" s="289">
        <v>10136478</v>
      </c>
      <c r="B1188" s="231" t="s">
        <v>4590</v>
      </c>
      <c r="C1188" s="118" t="s">
        <v>4591</v>
      </c>
      <c r="D1188" s="119" t="s">
        <v>958</v>
      </c>
      <c r="E1188" s="118" t="s">
        <v>772</v>
      </c>
      <c r="F1188" s="120">
        <v>4</v>
      </c>
      <c r="G1188" s="121">
        <f>Overview!$B$89</f>
        <v>30</v>
      </c>
      <c r="H1188" s="114">
        <f t="shared" si="391"/>
        <v>30</v>
      </c>
      <c r="I1188" s="114">
        <f>Overview!$E$89</f>
        <v>0</v>
      </c>
      <c r="J1188" s="115">
        <f t="shared" si="392"/>
        <v>0</v>
      </c>
      <c r="K1188" s="116">
        <f>Overview!$H$89</f>
        <v>0</v>
      </c>
      <c r="L1188" s="117" t="e">
        <f t="shared" si="393"/>
        <v>#DIV/0!</v>
      </c>
      <c r="M1188" s="179"/>
      <c r="N1188" s="179" t="s">
        <v>984</v>
      </c>
      <c r="O1188" s="141">
        <f t="shared" si="394"/>
        <v>0</v>
      </c>
      <c r="P1188" s="181" t="b">
        <f>COUNTIF('Facility Data'!$A$1:$A$1500,"*"&amp;A1188&amp;"*")&gt;0</f>
        <v>0</v>
      </c>
      <c r="Q1188" s="181" t="b">
        <f>COUNTIF('Account Data'!$A$1:$A$1000,"*"&amp;A1188&amp;"*")&gt;0</f>
        <v>0</v>
      </c>
      <c r="R1188" s="182" t="b">
        <f t="shared" si="395"/>
        <v>1</v>
      </c>
      <c r="S1188" s="182" t="b">
        <f t="shared" si="396"/>
        <v>1</v>
      </c>
      <c r="T1188" s="181" t="b">
        <f>COUNTIF('New Items'!$A$1:$A$175,A1188)&gt;0</f>
        <v>1</v>
      </c>
      <c r="U1188" s="181" t="b">
        <f>COUNTIF(Discontinued!$A$1:$A$150,A1188)&gt;0</f>
        <v>0</v>
      </c>
    </row>
    <row r="1189" spans="1:21" s="8" customFormat="1" ht="11.25" x14ac:dyDescent="0.2">
      <c r="A1189" s="289">
        <v>10137149</v>
      </c>
      <c r="B1189" s="231" t="s">
        <v>4620</v>
      </c>
      <c r="C1189" s="12" t="s">
        <v>4621</v>
      </c>
      <c r="D1189" s="11" t="s">
        <v>684</v>
      </c>
      <c r="E1189" s="12" t="s">
        <v>772</v>
      </c>
      <c r="F1189" s="13">
        <v>4</v>
      </c>
      <c r="G1189" s="22">
        <f>Overview!$B$89</f>
        <v>30</v>
      </c>
      <c r="H1189" s="23">
        <f t="shared" si="391"/>
        <v>30</v>
      </c>
      <c r="I1189" s="114">
        <f>Overview!$E$89</f>
        <v>0</v>
      </c>
      <c r="J1189" s="24">
        <f t="shared" si="392"/>
        <v>0</v>
      </c>
      <c r="K1189" s="116">
        <f>Overview!$H$89</f>
        <v>0</v>
      </c>
      <c r="L1189" s="51" t="e">
        <f t="shared" si="393"/>
        <v>#DIV/0!</v>
      </c>
      <c r="M1189" s="179"/>
      <c r="N1189" s="179" t="s">
        <v>984</v>
      </c>
      <c r="O1189" s="141">
        <f t="shared" si="394"/>
        <v>0</v>
      </c>
      <c r="P1189" s="181" t="b">
        <f>COUNTIF('Facility Data'!$A$1:$A$1500,"*"&amp;A1189&amp;"*")&gt;0</f>
        <v>0</v>
      </c>
      <c r="Q1189" s="181" t="b">
        <f>COUNTIF('Account Data'!$A$1:$A$1000,"*"&amp;A1189&amp;"*")&gt;0</f>
        <v>0</v>
      </c>
      <c r="R1189" s="182" t="b">
        <f t="shared" si="395"/>
        <v>1</v>
      </c>
      <c r="S1189" s="182" t="b">
        <f t="shared" si="396"/>
        <v>1</v>
      </c>
      <c r="T1189" s="181" t="b">
        <f>COUNTIF('New Items'!$A$1:$A$175,A1189)&gt;0</f>
        <v>1</v>
      </c>
      <c r="U1189" s="181" t="b">
        <f>COUNTIF(Discontinued!$A$1:$A$150,A1189)&gt;0</f>
        <v>0</v>
      </c>
    </row>
    <row r="1190" spans="1:21" s="8" customFormat="1" ht="11.25" x14ac:dyDescent="0.2">
      <c r="A1190" s="289">
        <v>10136570</v>
      </c>
      <c r="B1190" s="231" t="s">
        <v>4592</v>
      </c>
      <c r="C1190" s="118" t="s">
        <v>4593</v>
      </c>
      <c r="D1190" s="11" t="s">
        <v>686</v>
      </c>
      <c r="E1190" s="12" t="s">
        <v>772</v>
      </c>
      <c r="F1190" s="13">
        <v>4</v>
      </c>
      <c r="G1190" s="22">
        <f>Overview!$B$89</f>
        <v>30</v>
      </c>
      <c r="H1190" s="23">
        <f t="shared" si="391"/>
        <v>30</v>
      </c>
      <c r="I1190" s="114">
        <f>Overview!$E$89</f>
        <v>0</v>
      </c>
      <c r="J1190" s="24">
        <f t="shared" si="392"/>
        <v>0</v>
      </c>
      <c r="K1190" s="116">
        <f>Overview!$H$89</f>
        <v>0</v>
      </c>
      <c r="L1190" s="51" t="e">
        <f t="shared" si="393"/>
        <v>#DIV/0!</v>
      </c>
      <c r="M1190" s="179"/>
      <c r="N1190" s="179" t="s">
        <v>984</v>
      </c>
      <c r="O1190" s="141">
        <f t="shared" si="394"/>
        <v>0</v>
      </c>
      <c r="P1190" s="181" t="b">
        <f>COUNTIF('Facility Data'!$A$1:$A$1500,"*"&amp;A1190&amp;"*")&gt;0</f>
        <v>0</v>
      </c>
      <c r="Q1190" s="181" t="b">
        <f>COUNTIF('Account Data'!$A$1:$A$1000,"*"&amp;A1190&amp;"*")&gt;0</f>
        <v>0</v>
      </c>
      <c r="R1190" s="182" t="b">
        <f t="shared" si="395"/>
        <v>1</v>
      </c>
      <c r="S1190" s="182" t="b">
        <f t="shared" si="396"/>
        <v>1</v>
      </c>
      <c r="T1190" s="181" t="b">
        <f>COUNTIF('New Items'!$A$1:$A$175,A1190)&gt;0</f>
        <v>1</v>
      </c>
      <c r="U1190" s="181" t="b">
        <f>COUNTIF(Discontinued!$A$1:$A$150,A1190)&gt;0</f>
        <v>0</v>
      </c>
    </row>
    <row r="1191" spans="1:21" s="8" customFormat="1" ht="11.25" x14ac:dyDescent="0.2">
      <c r="A1191" s="289">
        <v>10136571</v>
      </c>
      <c r="B1191" s="231" t="s">
        <v>4594</v>
      </c>
      <c r="C1191" s="118" t="s">
        <v>4595</v>
      </c>
      <c r="D1191" s="11" t="s">
        <v>694</v>
      </c>
      <c r="E1191" s="12" t="s">
        <v>772</v>
      </c>
      <c r="F1191" s="13">
        <v>4</v>
      </c>
      <c r="G1191" s="22">
        <f>Overview!$B$89</f>
        <v>30</v>
      </c>
      <c r="H1191" s="23">
        <f t="shared" si="391"/>
        <v>30</v>
      </c>
      <c r="I1191" s="114">
        <f>Overview!$E$89</f>
        <v>0</v>
      </c>
      <c r="J1191" s="24">
        <f t="shared" si="392"/>
        <v>0</v>
      </c>
      <c r="K1191" s="116">
        <f>Overview!$H$89</f>
        <v>0</v>
      </c>
      <c r="L1191" s="51" t="e">
        <f t="shared" si="393"/>
        <v>#DIV/0!</v>
      </c>
      <c r="M1191" s="179"/>
      <c r="N1191" s="179" t="s">
        <v>984</v>
      </c>
      <c r="O1191" s="141">
        <f t="shared" si="394"/>
        <v>0</v>
      </c>
      <c r="P1191" s="181" t="b">
        <f>COUNTIF('Facility Data'!$A$1:$A$1500,"*"&amp;A1191&amp;"*")&gt;0</f>
        <v>0</v>
      </c>
      <c r="Q1191" s="181" t="b">
        <f>COUNTIF('Account Data'!$A$1:$A$1000,"*"&amp;A1191&amp;"*")&gt;0</f>
        <v>0</v>
      </c>
      <c r="R1191" s="182" t="b">
        <f t="shared" si="395"/>
        <v>1</v>
      </c>
      <c r="S1191" s="182" t="b">
        <f t="shared" si="396"/>
        <v>1</v>
      </c>
      <c r="T1191" s="181" t="b">
        <f>COUNTIF('New Items'!$A$1:$A$175,A1191)&gt;0</f>
        <v>1</v>
      </c>
      <c r="U1191" s="181" t="b">
        <f>COUNTIF(Discontinued!$A$1:$A$150,A1191)&gt;0</f>
        <v>0</v>
      </c>
    </row>
    <row r="1192" spans="1:21" s="8" customFormat="1" ht="11.25" x14ac:dyDescent="0.2">
      <c r="A1192" s="289">
        <v>10136573</v>
      </c>
      <c r="B1192" s="231" t="s">
        <v>4596</v>
      </c>
      <c r="C1192" s="118" t="s">
        <v>4597</v>
      </c>
      <c r="D1192" s="11" t="s">
        <v>699</v>
      </c>
      <c r="E1192" s="12" t="s">
        <v>772</v>
      </c>
      <c r="F1192" s="13">
        <v>4</v>
      </c>
      <c r="G1192" s="22">
        <f>Overview!$B$89</f>
        <v>30</v>
      </c>
      <c r="H1192" s="23">
        <f t="shared" si="391"/>
        <v>30</v>
      </c>
      <c r="I1192" s="114">
        <f>Overview!$E$89</f>
        <v>0</v>
      </c>
      <c r="J1192" s="24">
        <f t="shared" si="392"/>
        <v>0</v>
      </c>
      <c r="K1192" s="116">
        <f>Overview!$H$89</f>
        <v>0</v>
      </c>
      <c r="L1192" s="51" t="e">
        <f t="shared" si="393"/>
        <v>#DIV/0!</v>
      </c>
      <c r="M1192" s="179"/>
      <c r="N1192" s="179" t="s">
        <v>984</v>
      </c>
      <c r="O1192" s="141">
        <f t="shared" si="394"/>
        <v>0</v>
      </c>
      <c r="P1192" s="181" t="b">
        <f>COUNTIF('Facility Data'!$A$1:$A$1500,"*"&amp;A1192&amp;"*")&gt;0</f>
        <v>0</v>
      </c>
      <c r="Q1192" s="181" t="b">
        <f>COUNTIF('Account Data'!$A$1:$A$1000,"*"&amp;A1192&amp;"*")&gt;0</f>
        <v>0</v>
      </c>
      <c r="R1192" s="182" t="b">
        <f t="shared" si="395"/>
        <v>1</v>
      </c>
      <c r="S1192" s="182" t="b">
        <f t="shared" si="396"/>
        <v>1</v>
      </c>
      <c r="T1192" s="181" t="b">
        <f>COUNTIF('New Items'!$A$1:$A$175,A1192)&gt;0</f>
        <v>1</v>
      </c>
      <c r="U1192" s="181" t="b">
        <f>COUNTIF(Discontinued!$A$1:$A$150,A1192)&gt;0</f>
        <v>0</v>
      </c>
    </row>
    <row r="1193" spans="1:21" s="8" customFormat="1" ht="11.25" x14ac:dyDescent="0.2">
      <c r="A1193" s="289">
        <v>10136529</v>
      </c>
      <c r="B1193" s="231" t="s">
        <v>4602</v>
      </c>
      <c r="C1193" s="118" t="s">
        <v>4603</v>
      </c>
      <c r="D1193" s="11" t="s">
        <v>688</v>
      </c>
      <c r="E1193" s="12" t="s">
        <v>772</v>
      </c>
      <c r="F1193" s="13">
        <v>4</v>
      </c>
      <c r="G1193" s="22">
        <f>Overview!$B$89</f>
        <v>30</v>
      </c>
      <c r="H1193" s="23">
        <f t="shared" si="391"/>
        <v>30</v>
      </c>
      <c r="I1193" s="114">
        <f>Overview!$E$89</f>
        <v>0</v>
      </c>
      <c r="J1193" s="24">
        <f t="shared" si="392"/>
        <v>0</v>
      </c>
      <c r="K1193" s="116">
        <f>Overview!$H$89</f>
        <v>0</v>
      </c>
      <c r="L1193" s="51" t="e">
        <f t="shared" si="393"/>
        <v>#DIV/0!</v>
      </c>
      <c r="M1193" s="179"/>
      <c r="N1193" s="179" t="s">
        <v>984</v>
      </c>
      <c r="O1193" s="141">
        <f t="shared" si="394"/>
        <v>0</v>
      </c>
      <c r="P1193" s="181" t="b">
        <f>COUNTIF('Facility Data'!$A$1:$A$1500,"*"&amp;A1193&amp;"*")&gt;0</f>
        <v>0</v>
      </c>
      <c r="Q1193" s="181" t="b">
        <f>COUNTIF('Account Data'!$A$1:$A$1000,"*"&amp;A1193&amp;"*")&gt;0</f>
        <v>0</v>
      </c>
      <c r="R1193" s="182" t="b">
        <f t="shared" si="395"/>
        <v>1</v>
      </c>
      <c r="S1193" s="182" t="b">
        <f t="shared" si="396"/>
        <v>1</v>
      </c>
      <c r="T1193" s="181" t="b">
        <f>COUNTIF('New Items'!$A$1:$A$175,A1193)&gt;0</f>
        <v>1</v>
      </c>
      <c r="U1193" s="181" t="b">
        <f>COUNTIF(Discontinued!$A$1:$A$150,A1193)&gt;0</f>
        <v>0</v>
      </c>
    </row>
    <row r="1194" spans="1:21" s="8" customFormat="1" ht="11.25" x14ac:dyDescent="0.2">
      <c r="A1194" s="290">
        <v>10137148</v>
      </c>
      <c r="B1194" s="10" t="s">
        <v>4616</v>
      </c>
      <c r="C1194" s="118" t="s">
        <v>4617</v>
      </c>
      <c r="D1194" s="11" t="s">
        <v>691</v>
      </c>
      <c r="E1194" s="12" t="s">
        <v>772</v>
      </c>
      <c r="F1194" s="13">
        <v>4</v>
      </c>
      <c r="G1194" s="22">
        <f>Overview!$B$89</f>
        <v>30</v>
      </c>
      <c r="H1194" s="23">
        <f t="shared" si="391"/>
        <v>30</v>
      </c>
      <c r="I1194" s="114">
        <f>Overview!$E$89</f>
        <v>0</v>
      </c>
      <c r="J1194" s="24">
        <f t="shared" si="392"/>
        <v>0</v>
      </c>
      <c r="K1194" s="116">
        <f>Overview!$H$89</f>
        <v>0</v>
      </c>
      <c r="L1194" s="51" t="e">
        <f t="shared" si="393"/>
        <v>#DIV/0!</v>
      </c>
      <c r="M1194" s="179"/>
      <c r="N1194" s="179" t="s">
        <v>984</v>
      </c>
      <c r="O1194" s="141">
        <f t="shared" si="394"/>
        <v>0</v>
      </c>
      <c r="P1194" s="181" t="b">
        <f>COUNTIF('Facility Data'!$A$1:$A$1500,"*"&amp;A1194&amp;"*")&gt;0</f>
        <v>0</v>
      </c>
      <c r="Q1194" s="181" t="b">
        <f>COUNTIF('Account Data'!$A$1:$A$1000,"*"&amp;A1194&amp;"*")&gt;0</f>
        <v>0</v>
      </c>
      <c r="R1194" s="182" t="b">
        <f t="shared" si="395"/>
        <v>1</v>
      </c>
      <c r="S1194" s="182" t="b">
        <f t="shared" si="396"/>
        <v>1</v>
      </c>
      <c r="T1194" s="181" t="b">
        <f>COUNTIF('New Items'!$A$1:$A$175,A1194)&gt;0</f>
        <v>1</v>
      </c>
      <c r="U1194" s="181" t="b">
        <f>COUNTIF(Discontinued!$A$1:$A$150,A1194)&gt;0</f>
        <v>0</v>
      </c>
    </row>
    <row r="1195" spans="1:21" s="8" customFormat="1" ht="11.25" x14ac:dyDescent="0.2">
      <c r="A1195" s="290">
        <v>10136530</v>
      </c>
      <c r="B1195" s="10" t="s">
        <v>4604</v>
      </c>
      <c r="C1195" s="12" t="s">
        <v>4605</v>
      </c>
      <c r="D1195" s="11" t="s">
        <v>1326</v>
      </c>
      <c r="E1195" s="12" t="s">
        <v>772</v>
      </c>
      <c r="F1195" s="13">
        <v>4</v>
      </c>
      <c r="G1195" s="22">
        <f>Overview!$B$89</f>
        <v>30</v>
      </c>
      <c r="H1195" s="23">
        <f t="shared" si="391"/>
        <v>30</v>
      </c>
      <c r="I1195" s="114">
        <f>Overview!$E$89</f>
        <v>0</v>
      </c>
      <c r="J1195" s="24">
        <f t="shared" si="392"/>
        <v>0</v>
      </c>
      <c r="K1195" s="116">
        <f>Overview!$H$89</f>
        <v>0</v>
      </c>
      <c r="L1195" s="51" t="e">
        <f t="shared" si="393"/>
        <v>#DIV/0!</v>
      </c>
      <c r="M1195" s="179"/>
      <c r="N1195" s="179" t="s">
        <v>984</v>
      </c>
      <c r="O1195" s="141">
        <f t="shared" si="394"/>
        <v>0</v>
      </c>
      <c r="P1195" s="181" t="b">
        <f>COUNTIF('Facility Data'!$A$1:$A$1500,"*"&amp;A1195&amp;"*")&gt;0</f>
        <v>0</v>
      </c>
      <c r="Q1195" s="181" t="b">
        <f>COUNTIF('Account Data'!$A$1:$A$1000,"*"&amp;A1195&amp;"*")&gt;0</f>
        <v>0</v>
      </c>
      <c r="R1195" s="182" t="b">
        <f t="shared" si="395"/>
        <v>1</v>
      </c>
      <c r="S1195" s="182" t="b">
        <f t="shared" si="396"/>
        <v>1</v>
      </c>
      <c r="T1195" s="181" t="b">
        <f>COUNTIF('New Items'!$A$1:$A$175,A1195)&gt;0</f>
        <v>1</v>
      </c>
      <c r="U1195" s="181" t="b">
        <f>COUNTIF(Discontinued!$A$1:$A$150,A1195)&gt;0</f>
        <v>0</v>
      </c>
    </row>
    <row r="1196" spans="1:21" s="8" customFormat="1" ht="11.25" x14ac:dyDescent="0.2">
      <c r="A1196" s="290">
        <v>10136522</v>
      </c>
      <c r="B1196" s="10" t="s">
        <v>4600</v>
      </c>
      <c r="C1196" s="12" t="s">
        <v>4601</v>
      </c>
      <c r="D1196" s="11" t="s">
        <v>692</v>
      </c>
      <c r="E1196" s="12" t="s">
        <v>772</v>
      </c>
      <c r="F1196" s="13">
        <v>4</v>
      </c>
      <c r="G1196" s="22">
        <f>Overview!$B$89</f>
        <v>30</v>
      </c>
      <c r="H1196" s="23">
        <f t="shared" si="391"/>
        <v>30</v>
      </c>
      <c r="I1196" s="114">
        <f>Overview!$E$89</f>
        <v>0</v>
      </c>
      <c r="J1196" s="24">
        <f t="shared" si="392"/>
        <v>0</v>
      </c>
      <c r="K1196" s="116">
        <f>Overview!$H$89</f>
        <v>0</v>
      </c>
      <c r="L1196" s="51" t="e">
        <f t="shared" si="393"/>
        <v>#DIV/0!</v>
      </c>
      <c r="M1196" s="179"/>
      <c r="N1196" s="179" t="s">
        <v>984</v>
      </c>
      <c r="O1196" s="141">
        <f t="shared" si="394"/>
        <v>0</v>
      </c>
      <c r="P1196" s="181" t="b">
        <f>COUNTIF('Facility Data'!$A$1:$A$1500,"*"&amp;A1196&amp;"*")&gt;0</f>
        <v>0</v>
      </c>
      <c r="Q1196" s="181" t="b">
        <f>COUNTIF('Account Data'!$A$1:$A$1000,"*"&amp;A1196&amp;"*")&gt;0</f>
        <v>0</v>
      </c>
      <c r="R1196" s="182" t="b">
        <f t="shared" si="395"/>
        <v>1</v>
      </c>
      <c r="S1196" s="182" t="b">
        <f t="shared" si="396"/>
        <v>1</v>
      </c>
      <c r="T1196" s="181" t="b">
        <f>COUNTIF('New Items'!$A$1:$A$175,A1196)&gt;0</f>
        <v>1</v>
      </c>
      <c r="U1196" s="181" t="b">
        <f>COUNTIF(Discontinued!$A$1:$A$150,A1196)&gt;0</f>
        <v>0</v>
      </c>
    </row>
    <row r="1197" spans="1:21" s="8" customFormat="1" ht="11.25" x14ac:dyDescent="0.2">
      <c r="A1197" s="289">
        <v>10137147</v>
      </c>
      <c r="B1197" s="231" t="s">
        <v>4614</v>
      </c>
      <c r="C1197" s="118" t="s">
        <v>4615</v>
      </c>
      <c r="D1197" s="11" t="s">
        <v>687</v>
      </c>
      <c r="E1197" s="12" t="s">
        <v>772</v>
      </c>
      <c r="F1197" s="13">
        <v>4</v>
      </c>
      <c r="G1197" s="22">
        <f>Overview!$B$89</f>
        <v>30</v>
      </c>
      <c r="H1197" s="23">
        <f t="shared" si="391"/>
        <v>30</v>
      </c>
      <c r="I1197" s="114">
        <f>Overview!$E$89</f>
        <v>0</v>
      </c>
      <c r="J1197" s="24">
        <f t="shared" si="392"/>
        <v>0</v>
      </c>
      <c r="K1197" s="116">
        <f>Overview!$H$89</f>
        <v>0</v>
      </c>
      <c r="L1197" s="51" t="e">
        <f t="shared" si="393"/>
        <v>#DIV/0!</v>
      </c>
      <c r="M1197" s="179"/>
      <c r="N1197" s="179" t="s">
        <v>984</v>
      </c>
      <c r="O1197" s="141">
        <f t="shared" si="394"/>
        <v>0</v>
      </c>
      <c r="P1197" s="181" t="b">
        <f>COUNTIF('Facility Data'!$A$1:$A$1500,"*"&amp;A1197&amp;"*")&gt;0</f>
        <v>0</v>
      </c>
      <c r="Q1197" s="181" t="b">
        <f>COUNTIF('Account Data'!$A$1:$A$1000,"*"&amp;A1197&amp;"*")&gt;0</f>
        <v>0</v>
      </c>
      <c r="R1197" s="182" t="b">
        <f t="shared" si="395"/>
        <v>1</v>
      </c>
      <c r="S1197" s="182" t="b">
        <f t="shared" si="396"/>
        <v>1</v>
      </c>
      <c r="T1197" s="181" t="b">
        <f>COUNTIF('New Items'!$A$1:$A$175,A1197)&gt;0</f>
        <v>1</v>
      </c>
      <c r="U1197" s="181" t="b">
        <f>COUNTIF(Discontinued!$A$1:$A$150,A1197)&gt;0</f>
        <v>0</v>
      </c>
    </row>
    <row r="1198" spans="1:21" s="8" customFormat="1" ht="11.25" x14ac:dyDescent="0.2">
      <c r="A1198" s="290">
        <v>10137150</v>
      </c>
      <c r="B1198" s="10" t="s">
        <v>4618</v>
      </c>
      <c r="C1198" s="12" t="s">
        <v>4619</v>
      </c>
      <c r="D1198" s="11" t="s">
        <v>683</v>
      </c>
      <c r="E1198" s="12" t="s">
        <v>772</v>
      </c>
      <c r="F1198" s="13">
        <v>4</v>
      </c>
      <c r="G1198" s="22">
        <f>Overview!$B$89</f>
        <v>30</v>
      </c>
      <c r="H1198" s="23">
        <f t="shared" si="391"/>
        <v>30</v>
      </c>
      <c r="I1198" s="114">
        <f>Overview!$E$89</f>
        <v>0</v>
      </c>
      <c r="J1198" s="24">
        <f t="shared" si="392"/>
        <v>0</v>
      </c>
      <c r="K1198" s="116">
        <f>Overview!$H$89</f>
        <v>0</v>
      </c>
      <c r="L1198" s="51" t="e">
        <f t="shared" si="393"/>
        <v>#DIV/0!</v>
      </c>
      <c r="M1198" s="179"/>
      <c r="N1198" s="179" t="s">
        <v>984</v>
      </c>
      <c r="O1198" s="141">
        <f t="shared" si="394"/>
        <v>0</v>
      </c>
      <c r="P1198" s="181" t="b">
        <f>COUNTIF('Facility Data'!$A$1:$A$1500,"*"&amp;A1198&amp;"*")&gt;0</f>
        <v>0</v>
      </c>
      <c r="Q1198" s="181" t="b">
        <f>COUNTIF('Account Data'!$A$1:$A$1000,"*"&amp;A1198&amp;"*")&gt;0</f>
        <v>0</v>
      </c>
      <c r="R1198" s="182" t="b">
        <f t="shared" si="395"/>
        <v>1</v>
      </c>
      <c r="S1198" s="182" t="b">
        <f t="shared" si="396"/>
        <v>1</v>
      </c>
      <c r="T1198" s="181" t="b">
        <f>COUNTIF('New Items'!$A$1:$A$175,A1198)&gt;0</f>
        <v>1</v>
      </c>
      <c r="U1198" s="181" t="b">
        <f>COUNTIF(Discontinued!$A$1:$A$150,A1198)&gt;0</f>
        <v>0</v>
      </c>
    </row>
    <row r="1199" spans="1:21" s="8" customFormat="1" ht="11.25" x14ac:dyDescent="0.2">
      <c r="A1199" s="152">
        <v>10109319</v>
      </c>
      <c r="B1199" s="10" t="s">
        <v>995</v>
      </c>
      <c r="C1199" s="12" t="s">
        <v>998</v>
      </c>
      <c r="D1199" s="11" t="s">
        <v>999</v>
      </c>
      <c r="E1199" s="12" t="s">
        <v>772</v>
      </c>
      <c r="F1199" s="13">
        <v>4</v>
      </c>
      <c r="G1199" s="22">
        <f>Overview!$B$89</f>
        <v>30</v>
      </c>
      <c r="H1199" s="23">
        <f t="shared" si="391"/>
        <v>30</v>
      </c>
      <c r="I1199" s="114">
        <f>Overview!$E$89</f>
        <v>0</v>
      </c>
      <c r="J1199" s="24">
        <f t="shared" si="392"/>
        <v>0</v>
      </c>
      <c r="K1199" s="116">
        <f>Overview!$H$89</f>
        <v>0</v>
      </c>
      <c r="L1199" s="51" t="e">
        <f t="shared" si="393"/>
        <v>#DIV/0!</v>
      </c>
      <c r="M1199" s="179" t="s">
        <v>1000</v>
      </c>
      <c r="N1199" s="179" t="s">
        <v>984</v>
      </c>
      <c r="O1199" s="141">
        <f t="shared" si="394"/>
        <v>0</v>
      </c>
      <c r="P1199" s="181" t="b">
        <f>COUNTIF('Facility Data'!$A$1:$A$1500,"*"&amp;A1199&amp;"*")&gt;0</f>
        <v>0</v>
      </c>
      <c r="Q1199" s="181" t="b">
        <f>COUNTIF('Account Data'!$A$1:$A$1000,"*"&amp;A1199&amp;"*")&gt;0</f>
        <v>1</v>
      </c>
      <c r="R1199" s="182" t="b">
        <f t="shared" si="395"/>
        <v>0</v>
      </c>
      <c r="S1199" s="182" t="b">
        <f t="shared" si="396"/>
        <v>1</v>
      </c>
      <c r="T1199" s="181" t="b">
        <f>COUNTIF('New Items'!$A$1:$A$175,A1199)&gt;0</f>
        <v>0</v>
      </c>
      <c r="U1199" s="181" t="b">
        <f>COUNTIF(Discontinued!$A$1:$A$150,A1199)&gt;0</f>
        <v>0</v>
      </c>
    </row>
    <row r="1200" spans="1:21" s="8" customFormat="1" ht="11.25" x14ac:dyDescent="0.2">
      <c r="A1200" s="289">
        <v>10136494</v>
      </c>
      <c r="B1200" s="231" t="s">
        <v>4606</v>
      </c>
      <c r="C1200" s="118" t="s">
        <v>4607</v>
      </c>
      <c r="D1200" s="11" t="s">
        <v>685</v>
      </c>
      <c r="E1200" s="12" t="s">
        <v>772</v>
      </c>
      <c r="F1200" s="13">
        <v>4</v>
      </c>
      <c r="G1200" s="22">
        <f>Overview!$B$89</f>
        <v>30</v>
      </c>
      <c r="H1200" s="23">
        <f t="shared" si="391"/>
        <v>30</v>
      </c>
      <c r="I1200" s="114">
        <f>Overview!$E$89</f>
        <v>0</v>
      </c>
      <c r="J1200" s="24">
        <f t="shared" si="392"/>
        <v>0</v>
      </c>
      <c r="K1200" s="116">
        <f>Overview!$H$89</f>
        <v>0</v>
      </c>
      <c r="L1200" s="51" t="e">
        <f t="shared" si="393"/>
        <v>#DIV/0!</v>
      </c>
      <c r="M1200" s="179"/>
      <c r="N1200" s="179" t="s">
        <v>984</v>
      </c>
      <c r="O1200" s="141">
        <f t="shared" si="394"/>
        <v>0</v>
      </c>
      <c r="P1200" s="181" t="b">
        <f>COUNTIF('Facility Data'!$A$1:$A$1500,"*"&amp;A1200&amp;"*")&gt;0</f>
        <v>0</v>
      </c>
      <c r="Q1200" s="181" t="b">
        <f>COUNTIF('Account Data'!$A$1:$A$1000,"*"&amp;A1200&amp;"*")&gt;0</f>
        <v>0</v>
      </c>
      <c r="R1200" s="182" t="b">
        <f t="shared" si="395"/>
        <v>1</v>
      </c>
      <c r="S1200" s="182" t="b">
        <f t="shared" si="396"/>
        <v>1</v>
      </c>
      <c r="T1200" s="181" t="b">
        <f>COUNTIF('New Items'!$A$1:$A$175,A1200)&gt;0</f>
        <v>1</v>
      </c>
      <c r="U1200" s="181" t="b">
        <f>COUNTIF(Discontinued!$A$1:$A$150,A1200)&gt;0</f>
        <v>0</v>
      </c>
    </row>
    <row r="1201" spans="1:21" s="8" customFormat="1" ht="11.25" x14ac:dyDescent="0.2">
      <c r="A1201" s="290">
        <v>10137145</v>
      </c>
      <c r="B1201" s="10" t="s">
        <v>4608</v>
      </c>
      <c r="C1201" s="12" t="s">
        <v>4609</v>
      </c>
      <c r="D1201" s="119" t="s">
        <v>690</v>
      </c>
      <c r="E1201" s="118" t="s">
        <v>772</v>
      </c>
      <c r="F1201" s="120">
        <v>4</v>
      </c>
      <c r="G1201" s="121">
        <f>Overview!$B$89</f>
        <v>30</v>
      </c>
      <c r="H1201" s="114">
        <f t="shared" si="391"/>
        <v>30</v>
      </c>
      <c r="I1201" s="114">
        <f>Overview!$E$89</f>
        <v>0</v>
      </c>
      <c r="J1201" s="115">
        <f t="shared" si="392"/>
        <v>0</v>
      </c>
      <c r="K1201" s="116">
        <f>Overview!$H$89</f>
        <v>0</v>
      </c>
      <c r="L1201" s="117" t="e">
        <f t="shared" si="393"/>
        <v>#DIV/0!</v>
      </c>
      <c r="M1201" s="179"/>
      <c r="N1201" s="179" t="s">
        <v>984</v>
      </c>
      <c r="O1201" s="141">
        <f t="shared" si="394"/>
        <v>0</v>
      </c>
      <c r="P1201" s="181" t="b">
        <f>COUNTIF('Facility Data'!$A$1:$A$1500,"*"&amp;A1201&amp;"*")&gt;0</f>
        <v>0</v>
      </c>
      <c r="Q1201" s="181" t="b">
        <f>COUNTIF('Account Data'!$A$1:$A$1000,"*"&amp;A1201&amp;"*")&gt;0</f>
        <v>0</v>
      </c>
      <c r="R1201" s="182" t="b">
        <f t="shared" si="395"/>
        <v>1</v>
      </c>
      <c r="S1201" s="182" t="b">
        <f t="shared" si="396"/>
        <v>1</v>
      </c>
      <c r="T1201" s="181" t="b">
        <f>COUNTIF('New Items'!$A$1:$A$175,A1201)&gt;0</f>
        <v>1</v>
      </c>
      <c r="U1201" s="181" t="b">
        <f>COUNTIF(Discontinued!$A$1:$A$150,A1201)&gt;0</f>
        <v>0</v>
      </c>
    </row>
    <row r="1202" spans="1:21" s="8" customFormat="1" ht="11.25" x14ac:dyDescent="0.2">
      <c r="A1202" s="289">
        <v>10137146</v>
      </c>
      <c r="B1202" s="231" t="s">
        <v>4612</v>
      </c>
      <c r="C1202" s="118" t="s">
        <v>4613</v>
      </c>
      <c r="D1202" s="119" t="s">
        <v>1118</v>
      </c>
      <c r="E1202" s="118" t="s">
        <v>772</v>
      </c>
      <c r="F1202" s="120">
        <v>4</v>
      </c>
      <c r="G1202" s="121">
        <f>Overview!$B$89</f>
        <v>30</v>
      </c>
      <c r="H1202" s="114">
        <f>G1202-I1202</f>
        <v>30</v>
      </c>
      <c r="I1202" s="114">
        <f>Overview!$E$89</f>
        <v>0</v>
      </c>
      <c r="J1202" s="115">
        <f>I1202/F1202</f>
        <v>0</v>
      </c>
      <c r="K1202" s="116">
        <f>Overview!$H$89</f>
        <v>0</v>
      </c>
      <c r="L1202" s="117" t="e">
        <f>(K1202-J1202)/K1202</f>
        <v>#DIV/0!</v>
      </c>
      <c r="M1202" s="179"/>
      <c r="N1202" s="179" t="s">
        <v>984</v>
      </c>
      <c r="O1202" s="141">
        <f>I1202</f>
        <v>0</v>
      </c>
      <c r="P1202" s="181" t="b">
        <f>COUNTIF('Facility Data'!$A$1:$A$1500,"*"&amp;A1202&amp;"*")&gt;0</f>
        <v>0</v>
      </c>
      <c r="Q1202" s="181" t="b">
        <f>COUNTIF('Account Data'!$A$1:$A$1000,"*"&amp;A1202&amp;"*")&gt;0</f>
        <v>0</v>
      </c>
      <c r="R1202" s="182" t="b">
        <f t="shared" si="395"/>
        <v>1</v>
      </c>
      <c r="S1202" s="182" t="b">
        <f>IF(OR(Q1202=TRUE,T1202=TRUE),TRUE,FALSE)</f>
        <v>1</v>
      </c>
      <c r="T1202" s="181" t="b">
        <f>COUNTIF('New Items'!$A$1:$A$175,A1202)&gt;0</f>
        <v>1</v>
      </c>
      <c r="U1202" s="181" t="b">
        <f>COUNTIF(Discontinued!$A$1:$A$150,A1202)&gt;0</f>
        <v>0</v>
      </c>
    </row>
    <row r="1203" spans="1:21" s="8" customFormat="1" ht="11.25" x14ac:dyDescent="0.2">
      <c r="A1203" s="160">
        <v>10002429</v>
      </c>
      <c r="B1203" s="231" t="s">
        <v>1749</v>
      </c>
      <c r="C1203" s="118" t="s">
        <v>1750</v>
      </c>
      <c r="D1203" s="119" t="s">
        <v>679</v>
      </c>
      <c r="E1203" s="118" t="s">
        <v>772</v>
      </c>
      <c r="F1203" s="120">
        <v>4</v>
      </c>
      <c r="G1203" s="121">
        <f>Overview!$B$89</f>
        <v>30</v>
      </c>
      <c r="H1203" s="114">
        <f t="shared" si="391"/>
        <v>30</v>
      </c>
      <c r="I1203" s="114">
        <f>Overview!$E$89</f>
        <v>0</v>
      </c>
      <c r="J1203" s="115">
        <f t="shared" si="392"/>
        <v>0</v>
      </c>
      <c r="K1203" s="116">
        <f>Overview!$H$89</f>
        <v>0</v>
      </c>
      <c r="L1203" s="117" t="e">
        <f t="shared" si="393"/>
        <v>#DIV/0!</v>
      </c>
      <c r="M1203" s="179"/>
      <c r="N1203" s="179" t="s">
        <v>984</v>
      </c>
      <c r="O1203" s="141">
        <f t="shared" si="394"/>
        <v>0</v>
      </c>
      <c r="P1203" s="181" t="b">
        <f>COUNTIF('Facility Data'!$A$1:$A$1500,"*"&amp;A1203&amp;"*")&gt;0</f>
        <v>0</v>
      </c>
      <c r="Q1203" s="181" t="b">
        <f>COUNTIF('Account Data'!$A$1:$A$1000,"*"&amp;A1203&amp;"*")&gt;0</f>
        <v>0</v>
      </c>
      <c r="R1203" s="182" t="b">
        <f t="shared" si="395"/>
        <v>0</v>
      </c>
      <c r="S1203" s="182" t="b">
        <f t="shared" si="396"/>
        <v>0</v>
      </c>
      <c r="T1203" s="181" t="b">
        <f>COUNTIF('New Items'!$A$1:$A$175,A1203)&gt;0</f>
        <v>0</v>
      </c>
      <c r="U1203" s="181" t="b">
        <f>COUNTIF(Discontinued!$A$1:$A$150,A1203)&gt;0</f>
        <v>0</v>
      </c>
    </row>
    <row r="1204" spans="1:21" s="8" customFormat="1" ht="12" thickBot="1" x14ac:dyDescent="0.25">
      <c r="A1204" s="289">
        <v>10136575</v>
      </c>
      <c r="B1204" s="231" t="s">
        <v>4598</v>
      </c>
      <c r="C1204" s="118" t="s">
        <v>4599</v>
      </c>
      <c r="D1204" s="119" t="s">
        <v>725</v>
      </c>
      <c r="E1204" s="118" t="s">
        <v>772</v>
      </c>
      <c r="F1204" s="120">
        <v>4</v>
      </c>
      <c r="G1204" s="121">
        <f>Overview!$B$89</f>
        <v>30</v>
      </c>
      <c r="H1204" s="114">
        <f t="shared" si="391"/>
        <v>30</v>
      </c>
      <c r="I1204" s="114">
        <f>Overview!$E$89</f>
        <v>0</v>
      </c>
      <c r="J1204" s="115">
        <f t="shared" si="392"/>
        <v>0</v>
      </c>
      <c r="K1204" s="116">
        <f>Overview!$H$89</f>
        <v>0</v>
      </c>
      <c r="L1204" s="117" t="e">
        <f t="shared" si="393"/>
        <v>#DIV/0!</v>
      </c>
      <c r="M1204" s="179"/>
      <c r="N1204" s="179" t="s">
        <v>984</v>
      </c>
      <c r="O1204" s="141">
        <f t="shared" si="394"/>
        <v>0</v>
      </c>
      <c r="P1204" s="181" t="b">
        <f>COUNTIF('Facility Data'!$A$1:$A$1500,"*"&amp;A1204&amp;"*")&gt;0</f>
        <v>0</v>
      </c>
      <c r="Q1204" s="181" t="b">
        <f>COUNTIF('Account Data'!$A$1:$A$1000,"*"&amp;A1204&amp;"*")&gt;0</f>
        <v>0</v>
      </c>
      <c r="R1204" s="182" t="b">
        <f t="shared" si="395"/>
        <v>1</v>
      </c>
      <c r="S1204" s="182" t="b">
        <f t="shared" si="396"/>
        <v>1</v>
      </c>
      <c r="T1204" s="181" t="b">
        <f>COUNTIF('New Items'!$A$1:$A$175,A1204)&gt;0</f>
        <v>1</v>
      </c>
      <c r="U1204" s="181" t="b">
        <f>COUNTIF(Discontinued!$A$1:$A$150,A1204)&gt;0</f>
        <v>0</v>
      </c>
    </row>
    <row r="1205" spans="1:21" s="8" customFormat="1" ht="13.5" thickBot="1" x14ac:dyDescent="0.25">
      <c r="A1205" s="300" t="s">
        <v>4581</v>
      </c>
      <c r="B1205" s="301"/>
      <c r="C1205" s="301"/>
      <c r="D1205" s="301"/>
      <c r="E1205" s="301"/>
      <c r="F1205" s="301"/>
      <c r="G1205" s="301"/>
      <c r="H1205" s="301"/>
      <c r="I1205" s="301"/>
      <c r="J1205" s="301"/>
      <c r="K1205" s="301"/>
      <c r="L1205" s="302"/>
      <c r="M1205" s="179"/>
      <c r="N1205" s="179" t="s">
        <v>3141</v>
      </c>
      <c r="O1205" s="141">
        <f>AVERAGE(O1206:O1219)</f>
        <v>0</v>
      </c>
      <c r="P1205" s="181" t="b">
        <f>COUNTIF(P1206:P1219,TRUE)&gt;0</f>
        <v>0</v>
      </c>
      <c r="Q1205" s="181" t="b">
        <f>COUNTIF(Q1206:Q1219,TRUE)&gt;0</f>
        <v>0</v>
      </c>
      <c r="R1205" s="181" t="b">
        <f>COUNTIF(R1206:R1219,TRUE)&gt;0</f>
        <v>1</v>
      </c>
      <c r="S1205" s="181" t="b">
        <f>COUNTIF(S1206:S1219,TRUE)&gt;0</f>
        <v>1</v>
      </c>
      <c r="T1205" s="181" t="b">
        <f>COUNTIF(T1206:T1219,TRUE)&gt;0</f>
        <v>1</v>
      </c>
      <c r="U1205" s="249"/>
    </row>
    <row r="1206" spans="1:21" s="8" customFormat="1" ht="11.25" x14ac:dyDescent="0.2">
      <c r="A1206" s="290">
        <v>10136480</v>
      </c>
      <c r="B1206" s="10" t="s">
        <v>4622</v>
      </c>
      <c r="C1206" s="12" t="s">
        <v>4623</v>
      </c>
      <c r="D1206" s="11" t="s">
        <v>689</v>
      </c>
      <c r="E1206" s="12" t="s">
        <v>772</v>
      </c>
      <c r="F1206" s="13">
        <v>2</v>
      </c>
      <c r="G1206" s="22">
        <f>Overview!$B$90</f>
        <v>30</v>
      </c>
      <c r="H1206" s="23">
        <f t="shared" ref="H1206:H1219" si="397">G1206-I1206</f>
        <v>30</v>
      </c>
      <c r="I1206" s="114">
        <f>Overview!$E$90</f>
        <v>0</v>
      </c>
      <c r="J1206" s="24">
        <f t="shared" ref="J1206:J1219" si="398">I1206/F1206</f>
        <v>0</v>
      </c>
      <c r="K1206" s="116">
        <f>Overview!$H$90</f>
        <v>0</v>
      </c>
      <c r="L1206" s="51" t="e">
        <f t="shared" ref="L1206:L1219" si="399">(K1206-J1206)/K1206</f>
        <v>#DIV/0!</v>
      </c>
      <c r="M1206" s="179" t="s">
        <v>1000</v>
      </c>
      <c r="N1206" s="179" t="s">
        <v>3141</v>
      </c>
      <c r="O1206" s="141">
        <f t="shared" ref="O1206:O1219" si="400">I1206</f>
        <v>0</v>
      </c>
      <c r="P1206" s="181" t="b">
        <f>COUNTIF('Facility Data'!$A$1:$A$1500,"*"&amp;A1206&amp;"*")&gt;0</f>
        <v>0</v>
      </c>
      <c r="Q1206" s="181" t="b">
        <f>COUNTIF('Account Data'!$A$1:$A$1000,"*"&amp;A1206&amp;"*")&gt;0</f>
        <v>0</v>
      </c>
      <c r="R1206" s="182" t="b">
        <f t="shared" ref="R1206:R1219" si="401">IF(OR(P1206=TRUE,T1206=TRUE),TRUE,FALSE)</f>
        <v>1</v>
      </c>
      <c r="S1206" s="182" t="b">
        <f t="shared" ref="S1206:S1219" si="402">IF(OR(Q1206=TRUE,T1206=TRUE),TRUE,FALSE)</f>
        <v>1</v>
      </c>
      <c r="T1206" s="181" t="b">
        <f>COUNTIF('New Items'!$A$1:$A$175,A1206)&gt;0</f>
        <v>1</v>
      </c>
      <c r="U1206" s="181" t="b">
        <f>COUNTIF(Discontinued!$A$1:$A$150,A1206)&gt;0</f>
        <v>0</v>
      </c>
    </row>
    <row r="1207" spans="1:21" s="8" customFormat="1" ht="11.25" x14ac:dyDescent="0.2">
      <c r="A1207" s="290">
        <v>10136479</v>
      </c>
      <c r="B1207" s="10" t="s">
        <v>4624</v>
      </c>
      <c r="C1207" s="12" t="s">
        <v>4589</v>
      </c>
      <c r="D1207" s="11" t="s">
        <v>1327</v>
      </c>
      <c r="E1207" s="12" t="s">
        <v>772</v>
      </c>
      <c r="F1207" s="13">
        <v>2</v>
      </c>
      <c r="G1207" s="22">
        <f>Overview!$B$90</f>
        <v>30</v>
      </c>
      <c r="H1207" s="23">
        <f t="shared" si="397"/>
        <v>30</v>
      </c>
      <c r="I1207" s="114">
        <f>Overview!$E$90</f>
        <v>0</v>
      </c>
      <c r="J1207" s="24">
        <f t="shared" si="398"/>
        <v>0</v>
      </c>
      <c r="K1207" s="116">
        <f>Overview!$H$90</f>
        <v>0</v>
      </c>
      <c r="L1207" s="51" t="e">
        <f t="shared" si="399"/>
        <v>#DIV/0!</v>
      </c>
      <c r="M1207" s="179"/>
      <c r="N1207" s="179" t="s">
        <v>3141</v>
      </c>
      <c r="O1207" s="141">
        <f t="shared" si="400"/>
        <v>0</v>
      </c>
      <c r="P1207" s="181" t="b">
        <f>COUNTIF('Facility Data'!$A$1:$A$1500,"*"&amp;A1207&amp;"*")&gt;0</f>
        <v>0</v>
      </c>
      <c r="Q1207" s="181" t="b">
        <f>COUNTIF('Account Data'!$A$1:$A$1000,"*"&amp;A1207&amp;"*")&gt;0</f>
        <v>0</v>
      </c>
      <c r="R1207" s="182" t="b">
        <f t="shared" si="401"/>
        <v>1</v>
      </c>
      <c r="S1207" s="182" t="b">
        <f t="shared" si="402"/>
        <v>1</v>
      </c>
      <c r="T1207" s="181" t="b">
        <f>COUNTIF('New Items'!$A$1:$A$175,A1207)&gt;0</f>
        <v>1</v>
      </c>
      <c r="U1207" s="181" t="b">
        <f>COUNTIF(Discontinued!$A$1:$A$150,A1207)&gt;0</f>
        <v>0</v>
      </c>
    </row>
    <row r="1208" spans="1:21" s="8" customFormat="1" ht="11.25" x14ac:dyDescent="0.2">
      <c r="A1208" s="290">
        <v>10136482</v>
      </c>
      <c r="B1208" s="10" t="s">
        <v>4625</v>
      </c>
      <c r="C1208" s="12" t="s">
        <v>4626</v>
      </c>
      <c r="D1208" s="11" t="s">
        <v>958</v>
      </c>
      <c r="E1208" s="12" t="s">
        <v>772</v>
      </c>
      <c r="F1208" s="13">
        <v>2</v>
      </c>
      <c r="G1208" s="22">
        <f>Overview!$B$90</f>
        <v>30</v>
      </c>
      <c r="H1208" s="23">
        <f>G1208-I1208</f>
        <v>30</v>
      </c>
      <c r="I1208" s="114">
        <f>Overview!$E$90</f>
        <v>0</v>
      </c>
      <c r="J1208" s="24">
        <f>I1208/F1208</f>
        <v>0</v>
      </c>
      <c r="K1208" s="116">
        <f>Overview!$H$90</f>
        <v>0</v>
      </c>
      <c r="L1208" s="51" t="e">
        <f>(K1208-J1208)/K1208</f>
        <v>#DIV/0!</v>
      </c>
      <c r="M1208" s="179"/>
      <c r="N1208" s="179" t="s">
        <v>3141</v>
      </c>
      <c r="O1208" s="141">
        <f>I1208</f>
        <v>0</v>
      </c>
      <c r="P1208" s="181" t="b">
        <f>COUNTIF('Facility Data'!$A$1:$A$1500,"*"&amp;A1208&amp;"*")&gt;0</f>
        <v>0</v>
      </c>
      <c r="Q1208" s="181" t="b">
        <f>COUNTIF('Account Data'!$A$1:$A$1000,"*"&amp;A1208&amp;"*")&gt;0</f>
        <v>0</v>
      </c>
      <c r="R1208" s="182" t="b">
        <f t="shared" si="401"/>
        <v>1</v>
      </c>
      <c r="S1208" s="182" t="b">
        <f>IF(OR(Q1208=TRUE,T1208=TRUE),TRUE,FALSE)</f>
        <v>1</v>
      </c>
      <c r="T1208" s="181" t="b">
        <f>COUNTIF('New Items'!$A$1:$A$175,A1208)&gt;0</f>
        <v>1</v>
      </c>
      <c r="U1208" s="181" t="b">
        <f>COUNTIF(Discontinued!$A$1:$A$150,A1208)&gt;0</f>
        <v>0</v>
      </c>
    </row>
    <row r="1209" spans="1:21" s="8" customFormat="1" ht="11.25" x14ac:dyDescent="0.2">
      <c r="A1209" s="290">
        <v>10136481</v>
      </c>
      <c r="B1209" s="10" t="s">
        <v>4627</v>
      </c>
      <c r="C1209" s="12" t="s">
        <v>4628</v>
      </c>
      <c r="D1209" s="11" t="s">
        <v>684</v>
      </c>
      <c r="E1209" s="12" t="s">
        <v>772</v>
      </c>
      <c r="F1209" s="13">
        <v>2</v>
      </c>
      <c r="G1209" s="22">
        <f>Overview!$B$90</f>
        <v>30</v>
      </c>
      <c r="H1209" s="23">
        <f t="shared" si="397"/>
        <v>30</v>
      </c>
      <c r="I1209" s="114">
        <f>Overview!$E$90</f>
        <v>0</v>
      </c>
      <c r="J1209" s="24">
        <f t="shared" si="398"/>
        <v>0</v>
      </c>
      <c r="K1209" s="116">
        <f>Overview!$H$90</f>
        <v>0</v>
      </c>
      <c r="L1209" s="51" t="e">
        <f t="shared" si="399"/>
        <v>#DIV/0!</v>
      </c>
      <c r="M1209" s="179"/>
      <c r="N1209" s="179" t="s">
        <v>3141</v>
      </c>
      <c r="O1209" s="141">
        <f t="shared" si="400"/>
        <v>0</v>
      </c>
      <c r="P1209" s="181" t="b">
        <f>COUNTIF('Facility Data'!$A$1:$A$1500,"*"&amp;A1209&amp;"*")&gt;0</f>
        <v>0</v>
      </c>
      <c r="Q1209" s="181" t="b">
        <f>COUNTIF('Account Data'!$A$1:$A$1000,"*"&amp;A1209&amp;"*")&gt;0</f>
        <v>0</v>
      </c>
      <c r="R1209" s="182" t="b">
        <f t="shared" si="401"/>
        <v>1</v>
      </c>
      <c r="S1209" s="182" t="b">
        <f t="shared" si="402"/>
        <v>1</v>
      </c>
      <c r="T1209" s="181" t="b">
        <f>COUNTIF('New Items'!$A$1:$A$175,A1209)&gt;0</f>
        <v>1</v>
      </c>
      <c r="U1209" s="181" t="b">
        <f>COUNTIF(Discontinued!$A$1:$A$150,A1209)&gt;0</f>
        <v>0</v>
      </c>
    </row>
    <row r="1210" spans="1:21" s="8" customFormat="1" ht="11.25" x14ac:dyDescent="0.2">
      <c r="A1210" s="290">
        <v>10136568</v>
      </c>
      <c r="B1210" s="10" t="s">
        <v>4629</v>
      </c>
      <c r="C1210" s="12" t="s">
        <v>4630</v>
      </c>
      <c r="D1210" s="11" t="s">
        <v>686</v>
      </c>
      <c r="E1210" s="12" t="s">
        <v>772</v>
      </c>
      <c r="F1210" s="13">
        <v>2</v>
      </c>
      <c r="G1210" s="22">
        <f>Overview!$B$90</f>
        <v>30</v>
      </c>
      <c r="H1210" s="23">
        <f t="shared" si="397"/>
        <v>30</v>
      </c>
      <c r="I1210" s="114">
        <f>Overview!$E$90</f>
        <v>0</v>
      </c>
      <c r="J1210" s="24">
        <f t="shared" si="398"/>
        <v>0</v>
      </c>
      <c r="K1210" s="116">
        <f>Overview!$H$90</f>
        <v>0</v>
      </c>
      <c r="L1210" s="51" t="e">
        <f t="shared" si="399"/>
        <v>#DIV/0!</v>
      </c>
      <c r="M1210" s="179"/>
      <c r="N1210" s="179" t="s">
        <v>3141</v>
      </c>
      <c r="O1210" s="141">
        <f t="shared" si="400"/>
        <v>0</v>
      </c>
      <c r="P1210" s="181" t="b">
        <f>COUNTIF('Facility Data'!$A$1:$A$1500,"*"&amp;A1210&amp;"*")&gt;0</f>
        <v>0</v>
      </c>
      <c r="Q1210" s="181" t="b">
        <f>COUNTIF('Account Data'!$A$1:$A$1000,"*"&amp;A1210&amp;"*")&gt;0</f>
        <v>0</v>
      </c>
      <c r="R1210" s="182" t="b">
        <f t="shared" si="401"/>
        <v>1</v>
      </c>
      <c r="S1210" s="182" t="b">
        <f t="shared" si="402"/>
        <v>1</v>
      </c>
      <c r="T1210" s="181" t="b">
        <f>COUNTIF('New Items'!$A$1:$A$175,A1210)&gt;0</f>
        <v>1</v>
      </c>
      <c r="U1210" s="181" t="b">
        <f>COUNTIF(Discontinued!$A$1:$A$150,A1210)&gt;0</f>
        <v>0</v>
      </c>
    </row>
    <row r="1211" spans="1:21" s="8" customFormat="1" ht="11.25" x14ac:dyDescent="0.2">
      <c r="A1211" s="290">
        <v>10136524</v>
      </c>
      <c r="B1211" s="10" t="s">
        <v>4639</v>
      </c>
      <c r="C1211" s="12" t="s">
        <v>4640</v>
      </c>
      <c r="D1211" s="11" t="s">
        <v>688</v>
      </c>
      <c r="E1211" s="12" t="s">
        <v>772</v>
      </c>
      <c r="F1211" s="13">
        <v>2</v>
      </c>
      <c r="G1211" s="22">
        <f>Overview!$B$90</f>
        <v>30</v>
      </c>
      <c r="H1211" s="23">
        <f t="shared" si="397"/>
        <v>30</v>
      </c>
      <c r="I1211" s="114">
        <f>Overview!$E$90</f>
        <v>0</v>
      </c>
      <c r="J1211" s="24">
        <f t="shared" si="398"/>
        <v>0</v>
      </c>
      <c r="K1211" s="116">
        <f>Overview!$H$90</f>
        <v>0</v>
      </c>
      <c r="L1211" s="51" t="e">
        <f t="shared" si="399"/>
        <v>#DIV/0!</v>
      </c>
      <c r="M1211" s="179"/>
      <c r="N1211" s="179" t="s">
        <v>3141</v>
      </c>
      <c r="O1211" s="141">
        <f t="shared" si="400"/>
        <v>0</v>
      </c>
      <c r="P1211" s="181" t="b">
        <f>COUNTIF('Facility Data'!$A$1:$A$1500,"*"&amp;A1211&amp;"*")&gt;0</f>
        <v>0</v>
      </c>
      <c r="Q1211" s="181" t="b">
        <f>COUNTIF('Account Data'!$A$1:$A$1000,"*"&amp;A1211&amp;"*")&gt;0</f>
        <v>0</v>
      </c>
      <c r="R1211" s="182" t="b">
        <f t="shared" si="401"/>
        <v>1</v>
      </c>
      <c r="S1211" s="182" t="b">
        <f t="shared" si="402"/>
        <v>1</v>
      </c>
      <c r="T1211" s="181" t="b">
        <f>COUNTIF('New Items'!$A$1:$A$175,A1211)&gt;0</f>
        <v>1</v>
      </c>
      <c r="U1211" s="181" t="b">
        <f>COUNTIF(Discontinued!$A$1:$A$150,A1211)&gt;0</f>
        <v>0</v>
      </c>
    </row>
    <row r="1212" spans="1:21" s="8" customFormat="1" ht="11.25" x14ac:dyDescent="0.2">
      <c r="A1212" s="289">
        <v>10136572</v>
      </c>
      <c r="B1212" s="10" t="s">
        <v>4633</v>
      </c>
      <c r="C1212" s="12" t="s">
        <v>4634</v>
      </c>
      <c r="D1212" s="11" t="s">
        <v>691</v>
      </c>
      <c r="E1212" s="12" t="s">
        <v>772</v>
      </c>
      <c r="F1212" s="13">
        <v>2</v>
      </c>
      <c r="G1212" s="22">
        <f>Overview!$B$90</f>
        <v>30</v>
      </c>
      <c r="H1212" s="23">
        <f t="shared" si="397"/>
        <v>30</v>
      </c>
      <c r="I1212" s="114">
        <f>Overview!$E$90</f>
        <v>0</v>
      </c>
      <c r="J1212" s="24">
        <f t="shared" si="398"/>
        <v>0</v>
      </c>
      <c r="K1212" s="116">
        <f>Overview!$H$90</f>
        <v>0</v>
      </c>
      <c r="L1212" s="51" t="e">
        <f t="shared" si="399"/>
        <v>#DIV/0!</v>
      </c>
      <c r="M1212" s="179"/>
      <c r="N1212" s="179" t="s">
        <v>3141</v>
      </c>
      <c r="O1212" s="141">
        <f t="shared" si="400"/>
        <v>0</v>
      </c>
      <c r="P1212" s="181" t="b">
        <f>COUNTIF('Facility Data'!$A$1:$A$1500,"*"&amp;A1212&amp;"*")&gt;0</f>
        <v>0</v>
      </c>
      <c r="Q1212" s="181" t="b">
        <f>COUNTIF('Account Data'!$A$1:$A$1000,"*"&amp;A1212&amp;"*")&gt;0</f>
        <v>0</v>
      </c>
      <c r="R1212" s="182" t="b">
        <f t="shared" si="401"/>
        <v>1</v>
      </c>
      <c r="S1212" s="182" t="b">
        <f t="shared" si="402"/>
        <v>1</v>
      </c>
      <c r="T1212" s="181" t="b">
        <f>COUNTIF('New Items'!$A$1:$A$175,A1212)&gt;0</f>
        <v>1</v>
      </c>
      <c r="U1212" s="181" t="b">
        <f>COUNTIF(Discontinued!$A$1:$A$150,A1212)&gt;0</f>
        <v>0</v>
      </c>
    </row>
    <row r="1213" spans="1:21" s="8" customFormat="1" ht="11.25" x14ac:dyDescent="0.2">
      <c r="A1213" s="290">
        <v>10136527</v>
      </c>
      <c r="B1213" s="10" t="s">
        <v>4641</v>
      </c>
      <c r="C1213" s="12" t="s">
        <v>4642</v>
      </c>
      <c r="D1213" s="11" t="s">
        <v>1326</v>
      </c>
      <c r="E1213" s="12" t="s">
        <v>772</v>
      </c>
      <c r="F1213" s="13">
        <v>2</v>
      </c>
      <c r="G1213" s="22">
        <f>Overview!$B$90</f>
        <v>30</v>
      </c>
      <c r="H1213" s="23">
        <f t="shared" si="397"/>
        <v>30</v>
      </c>
      <c r="I1213" s="114">
        <f>Overview!$E$90</f>
        <v>0</v>
      </c>
      <c r="J1213" s="24">
        <f t="shared" si="398"/>
        <v>0</v>
      </c>
      <c r="K1213" s="116">
        <f>Overview!$H$90</f>
        <v>0</v>
      </c>
      <c r="L1213" s="51" t="e">
        <f t="shared" si="399"/>
        <v>#DIV/0!</v>
      </c>
      <c r="M1213" s="179"/>
      <c r="N1213" s="179" t="s">
        <v>3141</v>
      </c>
      <c r="O1213" s="141">
        <f t="shared" si="400"/>
        <v>0</v>
      </c>
      <c r="P1213" s="181" t="b">
        <f>COUNTIF('Facility Data'!$A$1:$A$1500,"*"&amp;A1213&amp;"*")&gt;0</f>
        <v>0</v>
      </c>
      <c r="Q1213" s="181" t="b">
        <f>COUNTIF('Account Data'!$A$1:$A$1000,"*"&amp;A1213&amp;"*")&gt;0</f>
        <v>0</v>
      </c>
      <c r="R1213" s="182" t="b">
        <f t="shared" si="401"/>
        <v>1</v>
      </c>
      <c r="S1213" s="182" t="b">
        <f t="shared" si="402"/>
        <v>1</v>
      </c>
      <c r="T1213" s="181" t="b">
        <f>COUNTIF('New Items'!$A$1:$A$175,A1213)&gt;0</f>
        <v>1</v>
      </c>
      <c r="U1213" s="181" t="b">
        <f>COUNTIF(Discontinued!$A$1:$A$150,A1213)&gt;0</f>
        <v>0</v>
      </c>
    </row>
    <row r="1214" spans="1:21" s="8" customFormat="1" ht="11.25" x14ac:dyDescent="0.2">
      <c r="A1214" s="290">
        <v>10136577</v>
      </c>
      <c r="B1214" s="10" t="s">
        <v>4635</v>
      </c>
      <c r="C1214" s="12" t="s">
        <v>4636</v>
      </c>
      <c r="D1214" s="11" t="s">
        <v>692</v>
      </c>
      <c r="E1214" s="12" t="s">
        <v>772</v>
      </c>
      <c r="F1214" s="13">
        <v>2</v>
      </c>
      <c r="G1214" s="22">
        <f>Overview!$B$90</f>
        <v>30</v>
      </c>
      <c r="H1214" s="23">
        <f t="shared" si="397"/>
        <v>30</v>
      </c>
      <c r="I1214" s="114">
        <f>Overview!$E$90</f>
        <v>0</v>
      </c>
      <c r="J1214" s="24">
        <f t="shared" si="398"/>
        <v>0</v>
      </c>
      <c r="K1214" s="116">
        <f>Overview!$H$90</f>
        <v>0</v>
      </c>
      <c r="L1214" s="51" t="e">
        <f t="shared" si="399"/>
        <v>#DIV/0!</v>
      </c>
      <c r="M1214" s="179"/>
      <c r="N1214" s="179" t="s">
        <v>3141</v>
      </c>
      <c r="O1214" s="141">
        <f t="shared" si="400"/>
        <v>0</v>
      </c>
      <c r="P1214" s="181" t="b">
        <f>COUNTIF('Facility Data'!$A$1:$A$1500,"*"&amp;A1214&amp;"*")&gt;0</f>
        <v>0</v>
      </c>
      <c r="Q1214" s="181" t="b">
        <f>COUNTIF('Account Data'!$A$1:$A$1000,"*"&amp;A1214&amp;"*")&gt;0</f>
        <v>0</v>
      </c>
      <c r="R1214" s="182" t="b">
        <f t="shared" si="401"/>
        <v>1</v>
      </c>
      <c r="S1214" s="182" t="b">
        <f t="shared" si="402"/>
        <v>1</v>
      </c>
      <c r="T1214" s="181" t="b">
        <f>COUNTIF('New Items'!$A$1:$A$175,A1214)&gt;0</f>
        <v>1</v>
      </c>
      <c r="U1214" s="181" t="b">
        <f>COUNTIF(Discontinued!$A$1:$A$150,A1214)&gt;0</f>
        <v>0</v>
      </c>
    </row>
    <row r="1215" spans="1:21" s="8" customFormat="1" ht="11.25" x14ac:dyDescent="0.2">
      <c r="A1215" s="290">
        <v>10136528</v>
      </c>
      <c r="B1215" s="10" t="s">
        <v>4643</v>
      </c>
      <c r="C1215" s="12" t="s">
        <v>4644</v>
      </c>
      <c r="D1215" s="11" t="s">
        <v>687</v>
      </c>
      <c r="E1215" s="12" t="s">
        <v>772</v>
      </c>
      <c r="F1215" s="13">
        <v>2</v>
      </c>
      <c r="G1215" s="22">
        <f>Overview!$B$90</f>
        <v>30</v>
      </c>
      <c r="H1215" s="23">
        <f t="shared" si="397"/>
        <v>30</v>
      </c>
      <c r="I1215" s="114">
        <f>Overview!$E$90</f>
        <v>0</v>
      </c>
      <c r="J1215" s="24">
        <f t="shared" si="398"/>
        <v>0</v>
      </c>
      <c r="K1215" s="116">
        <f>Overview!$H$90</f>
        <v>0</v>
      </c>
      <c r="L1215" s="51" t="e">
        <f t="shared" si="399"/>
        <v>#DIV/0!</v>
      </c>
      <c r="M1215" s="179"/>
      <c r="N1215" s="179" t="s">
        <v>3141</v>
      </c>
      <c r="O1215" s="141">
        <f t="shared" si="400"/>
        <v>0</v>
      </c>
      <c r="P1215" s="181" t="b">
        <f>COUNTIF('Facility Data'!$A$1:$A$1500,"*"&amp;A1215&amp;"*")&gt;0</f>
        <v>0</v>
      </c>
      <c r="Q1215" s="181" t="b">
        <f>COUNTIF('Account Data'!$A$1:$A$1000,"*"&amp;A1215&amp;"*")&gt;0</f>
        <v>0</v>
      </c>
      <c r="R1215" s="182" t="b">
        <f t="shared" si="401"/>
        <v>1</v>
      </c>
      <c r="S1215" s="182" t="b">
        <f t="shared" si="402"/>
        <v>1</v>
      </c>
      <c r="T1215" s="181" t="b">
        <f>COUNTIF('New Items'!$A$1:$A$175,A1215)&gt;0</f>
        <v>1</v>
      </c>
      <c r="U1215" s="181" t="b">
        <f>COUNTIF(Discontinued!$A$1:$A$150,A1215)&gt;0</f>
        <v>0</v>
      </c>
    </row>
    <row r="1216" spans="1:21" s="8" customFormat="1" ht="11.25" x14ac:dyDescent="0.2">
      <c r="A1216" s="290">
        <v>10136525</v>
      </c>
      <c r="B1216" s="10" t="s">
        <v>4637</v>
      </c>
      <c r="C1216" s="12" t="s">
        <v>4638</v>
      </c>
      <c r="D1216" s="11" t="s">
        <v>1154</v>
      </c>
      <c r="E1216" s="12" t="s">
        <v>772</v>
      </c>
      <c r="F1216" s="13">
        <v>2</v>
      </c>
      <c r="G1216" s="22">
        <f>Overview!$B$90</f>
        <v>30</v>
      </c>
      <c r="H1216" s="23">
        <f t="shared" si="397"/>
        <v>30</v>
      </c>
      <c r="I1216" s="114">
        <f>Overview!$E$90</f>
        <v>0</v>
      </c>
      <c r="J1216" s="24">
        <f t="shared" si="398"/>
        <v>0</v>
      </c>
      <c r="K1216" s="116">
        <f>Overview!$H$90</f>
        <v>0</v>
      </c>
      <c r="L1216" s="51" t="e">
        <f t="shared" si="399"/>
        <v>#DIV/0!</v>
      </c>
      <c r="M1216" s="179"/>
      <c r="N1216" s="179" t="s">
        <v>3141</v>
      </c>
      <c r="O1216" s="141">
        <f t="shared" si="400"/>
        <v>0</v>
      </c>
      <c r="P1216" s="181" t="b">
        <f>COUNTIF('Facility Data'!$A$1:$A$1500,"*"&amp;A1216&amp;"*")&gt;0</f>
        <v>0</v>
      </c>
      <c r="Q1216" s="181" t="b">
        <f>COUNTIF('Account Data'!$A$1:$A$1000,"*"&amp;A1216&amp;"*")&gt;0</f>
        <v>0</v>
      </c>
      <c r="R1216" s="182" t="b">
        <f t="shared" si="401"/>
        <v>1</v>
      </c>
      <c r="S1216" s="182" t="b">
        <f t="shared" si="402"/>
        <v>1</v>
      </c>
      <c r="T1216" s="181" t="b">
        <f>COUNTIF('New Items'!$A$1:$A$175,A1216)&gt;0</f>
        <v>1</v>
      </c>
      <c r="U1216" s="181" t="b">
        <f>COUNTIF(Discontinued!$A$1:$A$150,A1216)&gt;0</f>
        <v>0</v>
      </c>
    </row>
    <row r="1217" spans="1:21" s="8" customFormat="1" ht="11.25" x14ac:dyDescent="0.2">
      <c r="A1217" s="290">
        <v>10136526</v>
      </c>
      <c r="B1217" s="10" t="s">
        <v>4645</v>
      </c>
      <c r="C1217" s="12" t="s">
        <v>4646</v>
      </c>
      <c r="D1217" s="11" t="s">
        <v>683</v>
      </c>
      <c r="E1217" s="12" t="s">
        <v>772</v>
      </c>
      <c r="F1217" s="13">
        <v>2</v>
      </c>
      <c r="G1217" s="22">
        <f>Overview!$B$90</f>
        <v>30</v>
      </c>
      <c r="H1217" s="23">
        <f t="shared" si="397"/>
        <v>30</v>
      </c>
      <c r="I1217" s="114">
        <f>Overview!$E$90</f>
        <v>0</v>
      </c>
      <c r="J1217" s="24">
        <f t="shared" si="398"/>
        <v>0</v>
      </c>
      <c r="K1217" s="116">
        <f>Overview!$H$90</f>
        <v>0</v>
      </c>
      <c r="L1217" s="51" t="e">
        <f t="shared" si="399"/>
        <v>#DIV/0!</v>
      </c>
      <c r="M1217" s="179"/>
      <c r="N1217" s="179" t="s">
        <v>3141</v>
      </c>
      <c r="O1217" s="141">
        <f t="shared" si="400"/>
        <v>0</v>
      </c>
      <c r="P1217" s="181" t="b">
        <f>COUNTIF('Facility Data'!$A$1:$A$1500,"*"&amp;A1217&amp;"*")&gt;0</f>
        <v>0</v>
      </c>
      <c r="Q1217" s="181" t="b">
        <f>COUNTIF('Account Data'!$A$1:$A$1000,"*"&amp;A1217&amp;"*")&gt;0</f>
        <v>0</v>
      </c>
      <c r="R1217" s="182" t="b">
        <f t="shared" si="401"/>
        <v>1</v>
      </c>
      <c r="S1217" s="182" t="b">
        <f t="shared" si="402"/>
        <v>1</v>
      </c>
      <c r="T1217" s="181" t="b">
        <f>COUNTIF('New Items'!$A$1:$A$175,A1217)&gt;0</f>
        <v>1</v>
      </c>
      <c r="U1217" s="181" t="b">
        <f>COUNTIF(Discontinued!$A$1:$A$150,A1217)&gt;0</f>
        <v>0</v>
      </c>
    </row>
    <row r="1218" spans="1:21" s="8" customFormat="1" ht="11.25" x14ac:dyDescent="0.2">
      <c r="A1218" s="290">
        <v>10136531</v>
      </c>
      <c r="B1218" s="10" t="s">
        <v>4647</v>
      </c>
      <c r="C1218" s="12" t="s">
        <v>4648</v>
      </c>
      <c r="D1218" s="11" t="s">
        <v>685</v>
      </c>
      <c r="E1218" s="12" t="s">
        <v>772</v>
      </c>
      <c r="F1218" s="13">
        <v>2</v>
      </c>
      <c r="G1218" s="22">
        <f>Overview!$B$90</f>
        <v>30</v>
      </c>
      <c r="H1218" s="23">
        <f t="shared" si="397"/>
        <v>30</v>
      </c>
      <c r="I1218" s="114">
        <f>Overview!$E$90</f>
        <v>0</v>
      </c>
      <c r="J1218" s="24">
        <f t="shared" si="398"/>
        <v>0</v>
      </c>
      <c r="K1218" s="116">
        <f>Overview!$H$90</f>
        <v>0</v>
      </c>
      <c r="L1218" s="51" t="e">
        <f t="shared" si="399"/>
        <v>#DIV/0!</v>
      </c>
      <c r="M1218" s="179"/>
      <c r="N1218" s="179" t="s">
        <v>3141</v>
      </c>
      <c r="O1218" s="141">
        <f t="shared" si="400"/>
        <v>0</v>
      </c>
      <c r="P1218" s="181" t="b">
        <f>COUNTIF('Facility Data'!$A$1:$A$1500,"*"&amp;A1218&amp;"*")&gt;0</f>
        <v>0</v>
      </c>
      <c r="Q1218" s="181" t="b">
        <f>COUNTIF('Account Data'!$A$1:$A$1000,"*"&amp;A1218&amp;"*")&gt;0</f>
        <v>0</v>
      </c>
      <c r="R1218" s="182" t="b">
        <f t="shared" si="401"/>
        <v>1</v>
      </c>
      <c r="S1218" s="182" t="b">
        <f t="shared" si="402"/>
        <v>1</v>
      </c>
      <c r="T1218" s="181" t="b">
        <f>COUNTIF('New Items'!$A$1:$A$175,A1218)&gt;0</f>
        <v>1</v>
      </c>
      <c r="U1218" s="181" t="b">
        <f>COUNTIF(Discontinued!$A$1:$A$150,A1218)&gt;0</f>
        <v>0</v>
      </c>
    </row>
    <row r="1219" spans="1:21" s="8" customFormat="1" ht="12" thickBot="1" x14ac:dyDescent="0.25">
      <c r="A1219" s="290">
        <v>10136569</v>
      </c>
      <c r="B1219" s="10" t="s">
        <v>4631</v>
      </c>
      <c r="C1219" s="12" t="s">
        <v>4632</v>
      </c>
      <c r="D1219" s="11" t="s">
        <v>690</v>
      </c>
      <c r="E1219" s="12" t="s">
        <v>772</v>
      </c>
      <c r="F1219" s="13">
        <v>2</v>
      </c>
      <c r="G1219" s="22">
        <f>Overview!$B$90</f>
        <v>30</v>
      </c>
      <c r="H1219" s="23">
        <f t="shared" si="397"/>
        <v>30</v>
      </c>
      <c r="I1219" s="114">
        <f>Overview!$E$90</f>
        <v>0</v>
      </c>
      <c r="J1219" s="24">
        <f t="shared" si="398"/>
        <v>0</v>
      </c>
      <c r="K1219" s="116">
        <f>Overview!$H$90</f>
        <v>0</v>
      </c>
      <c r="L1219" s="51" t="e">
        <f t="shared" si="399"/>
        <v>#DIV/0!</v>
      </c>
      <c r="M1219" s="179"/>
      <c r="N1219" s="179" t="s">
        <v>3141</v>
      </c>
      <c r="O1219" s="141">
        <f t="shared" si="400"/>
        <v>0</v>
      </c>
      <c r="P1219" s="181" t="b">
        <f>COUNTIF('Facility Data'!$A$1:$A$1500,"*"&amp;A1219&amp;"*")&gt;0</f>
        <v>0</v>
      </c>
      <c r="Q1219" s="181" t="b">
        <f>COUNTIF('Account Data'!$A$1:$A$1000,"*"&amp;A1219&amp;"*")&gt;0</f>
        <v>0</v>
      </c>
      <c r="R1219" s="182" t="b">
        <f t="shared" si="401"/>
        <v>1</v>
      </c>
      <c r="S1219" s="182" t="b">
        <f t="shared" si="402"/>
        <v>1</v>
      </c>
      <c r="T1219" s="181" t="b">
        <f>COUNTIF('New Items'!$A$1:$A$175,A1219)&gt;0</f>
        <v>1</v>
      </c>
      <c r="U1219" s="181" t="b">
        <f>COUNTIF(Discontinued!$A$1:$A$150,A1219)&gt;0</f>
        <v>0</v>
      </c>
    </row>
    <row r="1220" spans="1:21" s="8" customFormat="1" ht="13.5" thickBot="1" x14ac:dyDescent="0.25">
      <c r="A1220" s="300" t="s">
        <v>390</v>
      </c>
      <c r="B1220" s="301"/>
      <c r="C1220" s="301"/>
      <c r="D1220" s="301"/>
      <c r="E1220" s="301"/>
      <c r="F1220" s="301"/>
      <c r="G1220" s="301"/>
      <c r="H1220" s="301"/>
      <c r="I1220" s="301"/>
      <c r="J1220" s="301"/>
      <c r="K1220" s="301"/>
      <c r="L1220" s="302"/>
      <c r="M1220" s="179"/>
      <c r="N1220" s="179" t="s">
        <v>977</v>
      </c>
      <c r="O1220" s="141">
        <f>AVERAGE(O1221:O1232)</f>
        <v>0</v>
      </c>
      <c r="P1220" s="181" t="b">
        <f>COUNTIF(P1221:P1232,TRUE)&gt;0</f>
        <v>0</v>
      </c>
      <c r="Q1220" s="181" t="b">
        <f>COUNTIF(Q1221:Q1232,TRUE)&gt;0</f>
        <v>1</v>
      </c>
      <c r="R1220" s="181" t="b">
        <f>COUNTIF(R1221:R1232,TRUE)&gt;0</f>
        <v>0</v>
      </c>
      <c r="S1220" s="181" t="b">
        <f>COUNTIF(S1221:S1232,TRUE)&gt;0</f>
        <v>1</v>
      </c>
      <c r="T1220" s="181" t="b">
        <f>COUNTIF(T1221:T1232,TRUE)&gt;0</f>
        <v>0</v>
      </c>
      <c r="U1220" s="249"/>
    </row>
    <row r="1221" spans="1:21" s="8" customFormat="1" ht="11.25" x14ac:dyDescent="0.2">
      <c r="A1221" s="152">
        <v>10069058</v>
      </c>
      <c r="B1221" s="10" t="s">
        <v>403</v>
      </c>
      <c r="C1221" s="12" t="s">
        <v>404</v>
      </c>
      <c r="D1221" s="11" t="s">
        <v>689</v>
      </c>
      <c r="E1221" s="12" t="s">
        <v>757</v>
      </c>
      <c r="F1221" s="13">
        <v>24</v>
      </c>
      <c r="G1221" s="22">
        <f>Overview!$B$91</f>
        <v>30</v>
      </c>
      <c r="H1221" s="23">
        <f t="shared" ref="H1221:H1232" si="403">G1221-I1221</f>
        <v>30</v>
      </c>
      <c r="I1221" s="114">
        <f>Overview!$E$91</f>
        <v>0</v>
      </c>
      <c r="J1221" s="24">
        <f t="shared" ref="J1221:J1232" si="404">I1221/F1221</f>
        <v>0</v>
      </c>
      <c r="K1221" s="116">
        <f>Overview!$H$91</f>
        <v>0</v>
      </c>
      <c r="L1221" s="51" t="e">
        <f t="shared" ref="L1221:L1232" si="405">(K1221-J1221)/K1221</f>
        <v>#DIV/0!</v>
      </c>
      <c r="M1221" s="179"/>
      <c r="N1221" s="179" t="s">
        <v>977</v>
      </c>
      <c r="O1221" s="141">
        <f t="shared" ref="O1221:O1232" si="406">I1221</f>
        <v>0</v>
      </c>
      <c r="P1221" s="181" t="b">
        <f>COUNTIF('Facility Data'!$A$1:$A$1500,"*"&amp;A1221&amp;"*")&gt;0</f>
        <v>0</v>
      </c>
      <c r="Q1221" s="181" t="b">
        <f>COUNTIF('Account Data'!$A$1:$A$1000,"*"&amp;A1221&amp;"*")&gt;0</f>
        <v>0</v>
      </c>
      <c r="R1221" s="182" t="b">
        <f t="shared" ref="R1221:R1232" si="407">IF(OR(P1221=TRUE,T1221=TRUE),TRUE,FALSE)</f>
        <v>0</v>
      </c>
      <c r="S1221" s="182" t="b">
        <f t="shared" ref="S1221:S1232" si="408">IF(OR(Q1221=TRUE,T1221=TRUE),TRUE,FALSE)</f>
        <v>0</v>
      </c>
      <c r="T1221" s="181" t="b">
        <f>COUNTIF('New Items'!$A$1:$A$175,A1221)&gt;0</f>
        <v>0</v>
      </c>
      <c r="U1221" s="181" t="b">
        <f>COUNTIF(Discontinued!$A$1:$A$150,A1221)&gt;0</f>
        <v>0</v>
      </c>
    </row>
    <row r="1222" spans="1:21" s="8" customFormat="1" ht="11.25" x14ac:dyDescent="0.2">
      <c r="A1222" s="152">
        <v>10002882</v>
      </c>
      <c r="B1222" s="10" t="s">
        <v>2476</v>
      </c>
      <c r="C1222" s="12" t="s">
        <v>2477</v>
      </c>
      <c r="D1222" s="11" t="s">
        <v>1327</v>
      </c>
      <c r="E1222" s="12" t="s">
        <v>757</v>
      </c>
      <c r="F1222" s="13">
        <v>24</v>
      </c>
      <c r="G1222" s="22">
        <f>Overview!$B$91</f>
        <v>30</v>
      </c>
      <c r="H1222" s="23">
        <f t="shared" si="403"/>
        <v>30</v>
      </c>
      <c r="I1222" s="114">
        <f>Overview!$E$91</f>
        <v>0</v>
      </c>
      <c r="J1222" s="24">
        <f t="shared" si="404"/>
        <v>0</v>
      </c>
      <c r="K1222" s="116">
        <f>Overview!$H$91</f>
        <v>0</v>
      </c>
      <c r="L1222" s="51" t="e">
        <f t="shared" si="405"/>
        <v>#DIV/0!</v>
      </c>
      <c r="M1222" s="179"/>
      <c r="N1222" s="179" t="s">
        <v>977</v>
      </c>
      <c r="O1222" s="141">
        <f t="shared" si="406"/>
        <v>0</v>
      </c>
      <c r="P1222" s="181" t="b">
        <f>COUNTIF('Facility Data'!$A$1:$A$1500,"*"&amp;A1222&amp;"*")&gt;0</f>
        <v>0</v>
      </c>
      <c r="Q1222" s="181" t="b">
        <f>COUNTIF('Account Data'!$A$1:$A$1000,"*"&amp;A1222&amp;"*")&gt;0</f>
        <v>0</v>
      </c>
      <c r="R1222" s="182" t="b">
        <f t="shared" si="407"/>
        <v>0</v>
      </c>
      <c r="S1222" s="182" t="b">
        <f t="shared" si="408"/>
        <v>0</v>
      </c>
      <c r="T1222" s="181" t="b">
        <f>COUNTIF('New Items'!$A$1:$A$175,A1222)&gt;0</f>
        <v>0</v>
      </c>
      <c r="U1222" s="181" t="b">
        <f>COUNTIF(Discontinued!$A$1:$A$150,A1222)&gt;0</f>
        <v>0</v>
      </c>
    </row>
    <row r="1223" spans="1:21" s="8" customFormat="1" ht="11.25" x14ac:dyDescent="0.2">
      <c r="A1223" s="152">
        <v>10002880</v>
      </c>
      <c r="B1223" s="10" t="s">
        <v>399</v>
      </c>
      <c r="C1223" s="12" t="s">
        <v>400</v>
      </c>
      <c r="D1223" s="11" t="s">
        <v>684</v>
      </c>
      <c r="E1223" s="12" t="s">
        <v>757</v>
      </c>
      <c r="F1223" s="13">
        <v>24</v>
      </c>
      <c r="G1223" s="22">
        <f>Overview!$B$91</f>
        <v>30</v>
      </c>
      <c r="H1223" s="23">
        <f t="shared" si="403"/>
        <v>30</v>
      </c>
      <c r="I1223" s="114">
        <f>Overview!$E$91</f>
        <v>0</v>
      </c>
      <c r="J1223" s="24">
        <f t="shared" si="404"/>
        <v>0</v>
      </c>
      <c r="K1223" s="116">
        <f>Overview!$H$91</f>
        <v>0</v>
      </c>
      <c r="L1223" s="51" t="e">
        <f t="shared" si="405"/>
        <v>#DIV/0!</v>
      </c>
      <c r="M1223" s="179"/>
      <c r="N1223" s="179" t="s">
        <v>977</v>
      </c>
      <c r="O1223" s="141">
        <f t="shared" si="406"/>
        <v>0</v>
      </c>
      <c r="P1223" s="181" t="b">
        <f>COUNTIF('Facility Data'!$A$1:$A$1500,"*"&amp;A1223&amp;"*")&gt;0</f>
        <v>0</v>
      </c>
      <c r="Q1223" s="181" t="b">
        <f>COUNTIF('Account Data'!$A$1:$A$1000,"*"&amp;A1223&amp;"*")&gt;0</f>
        <v>1</v>
      </c>
      <c r="R1223" s="182" t="b">
        <f t="shared" si="407"/>
        <v>0</v>
      </c>
      <c r="S1223" s="182" t="b">
        <f t="shared" si="408"/>
        <v>1</v>
      </c>
      <c r="T1223" s="181" t="b">
        <f>COUNTIF('New Items'!$A$1:$A$175,A1223)&gt;0</f>
        <v>0</v>
      </c>
      <c r="U1223" s="181" t="b">
        <f>COUNTIF(Discontinued!$A$1:$A$150,A1223)&gt;0</f>
        <v>0</v>
      </c>
    </row>
    <row r="1224" spans="1:21" s="8" customFormat="1" ht="11.25" x14ac:dyDescent="0.2">
      <c r="A1224" s="152">
        <v>10002883</v>
      </c>
      <c r="B1224" s="10" t="s">
        <v>401</v>
      </c>
      <c r="C1224" s="12" t="s">
        <v>402</v>
      </c>
      <c r="D1224" s="11" t="s">
        <v>686</v>
      </c>
      <c r="E1224" s="12" t="s">
        <v>757</v>
      </c>
      <c r="F1224" s="13">
        <v>24</v>
      </c>
      <c r="G1224" s="22">
        <f>Overview!$B$91</f>
        <v>30</v>
      </c>
      <c r="H1224" s="23">
        <f t="shared" si="403"/>
        <v>30</v>
      </c>
      <c r="I1224" s="114">
        <f>Overview!$E$91</f>
        <v>0</v>
      </c>
      <c r="J1224" s="24">
        <f t="shared" si="404"/>
        <v>0</v>
      </c>
      <c r="K1224" s="116">
        <f>Overview!$H$91</f>
        <v>0</v>
      </c>
      <c r="L1224" s="51" t="e">
        <f t="shared" si="405"/>
        <v>#DIV/0!</v>
      </c>
      <c r="M1224" s="179"/>
      <c r="N1224" s="179" t="s">
        <v>977</v>
      </c>
      <c r="O1224" s="141">
        <f t="shared" si="406"/>
        <v>0</v>
      </c>
      <c r="P1224" s="181" t="b">
        <f>COUNTIF('Facility Data'!$A$1:$A$1500,"*"&amp;A1224&amp;"*")&gt;0</f>
        <v>0</v>
      </c>
      <c r="Q1224" s="181" t="b">
        <f>COUNTIF('Account Data'!$A$1:$A$1000,"*"&amp;A1224&amp;"*")&gt;0</f>
        <v>0</v>
      </c>
      <c r="R1224" s="182" t="b">
        <f t="shared" si="407"/>
        <v>0</v>
      </c>
      <c r="S1224" s="182" t="b">
        <f t="shared" si="408"/>
        <v>0</v>
      </c>
      <c r="T1224" s="181" t="b">
        <f>COUNTIF('New Items'!$A$1:$A$175,A1224)&gt;0</f>
        <v>0</v>
      </c>
      <c r="U1224" s="181" t="b">
        <f>COUNTIF(Discontinued!$A$1:$A$150,A1224)&gt;0</f>
        <v>0</v>
      </c>
    </row>
    <row r="1225" spans="1:21" s="8" customFormat="1" ht="11.25" x14ac:dyDescent="0.2">
      <c r="A1225" s="152">
        <v>10002878</v>
      </c>
      <c r="B1225" s="10" t="s">
        <v>2486</v>
      </c>
      <c r="C1225" s="12" t="s">
        <v>2487</v>
      </c>
      <c r="D1225" s="11" t="s">
        <v>693</v>
      </c>
      <c r="E1225" s="12" t="s">
        <v>757</v>
      </c>
      <c r="F1225" s="13">
        <v>24</v>
      </c>
      <c r="G1225" s="22">
        <f>Overview!$B$91</f>
        <v>30</v>
      </c>
      <c r="H1225" s="23">
        <f t="shared" si="403"/>
        <v>30</v>
      </c>
      <c r="I1225" s="114">
        <f>Overview!$E$91</f>
        <v>0</v>
      </c>
      <c r="J1225" s="24">
        <f t="shared" si="404"/>
        <v>0</v>
      </c>
      <c r="K1225" s="116">
        <f>Overview!$H$91</f>
        <v>0</v>
      </c>
      <c r="L1225" s="51" t="e">
        <f t="shared" si="405"/>
        <v>#DIV/0!</v>
      </c>
      <c r="M1225" s="179"/>
      <c r="N1225" s="179" t="s">
        <v>977</v>
      </c>
      <c r="O1225" s="141">
        <f t="shared" si="406"/>
        <v>0</v>
      </c>
      <c r="P1225" s="181" t="b">
        <f>COUNTIF('Facility Data'!$A$1:$A$1500,"*"&amp;A1225&amp;"*")&gt;0</f>
        <v>0</v>
      </c>
      <c r="Q1225" s="181" t="b">
        <f>COUNTIF('Account Data'!$A$1:$A$1000,"*"&amp;A1225&amp;"*")&gt;0</f>
        <v>0</v>
      </c>
      <c r="R1225" s="182" t="b">
        <f t="shared" si="407"/>
        <v>0</v>
      </c>
      <c r="S1225" s="182" t="b">
        <f t="shared" si="408"/>
        <v>0</v>
      </c>
      <c r="T1225" s="181" t="b">
        <f>COUNTIF('New Items'!$A$1:$A$175,A1225)&gt;0</f>
        <v>0</v>
      </c>
      <c r="U1225" s="181" t="b">
        <f>COUNTIF(Discontinued!$A$1:$A$150,A1225)&gt;0</f>
        <v>0</v>
      </c>
    </row>
    <row r="1226" spans="1:21" s="8" customFormat="1" ht="11.25" x14ac:dyDescent="0.2">
      <c r="A1226" s="152">
        <v>10068816</v>
      </c>
      <c r="B1226" s="10" t="s">
        <v>2480</v>
      </c>
      <c r="C1226" s="12" t="s">
        <v>2481</v>
      </c>
      <c r="D1226" s="11" t="s">
        <v>688</v>
      </c>
      <c r="E1226" s="12" t="s">
        <v>757</v>
      </c>
      <c r="F1226" s="13">
        <v>24</v>
      </c>
      <c r="G1226" s="22">
        <f>Overview!$B$91</f>
        <v>30</v>
      </c>
      <c r="H1226" s="23">
        <f t="shared" si="403"/>
        <v>30</v>
      </c>
      <c r="I1226" s="114">
        <f>Overview!$E$91</f>
        <v>0</v>
      </c>
      <c r="J1226" s="24">
        <f t="shared" si="404"/>
        <v>0</v>
      </c>
      <c r="K1226" s="116">
        <f>Overview!$H$91</f>
        <v>0</v>
      </c>
      <c r="L1226" s="51" t="e">
        <f t="shared" si="405"/>
        <v>#DIV/0!</v>
      </c>
      <c r="M1226" s="179"/>
      <c r="N1226" s="179" t="s">
        <v>977</v>
      </c>
      <c r="O1226" s="141">
        <f t="shared" si="406"/>
        <v>0</v>
      </c>
      <c r="P1226" s="181" t="b">
        <f>COUNTIF('Facility Data'!$A$1:$A$1500,"*"&amp;A1226&amp;"*")&gt;0</f>
        <v>0</v>
      </c>
      <c r="Q1226" s="181" t="b">
        <f>COUNTIF('Account Data'!$A$1:$A$1000,"*"&amp;A1226&amp;"*")&gt;0</f>
        <v>0</v>
      </c>
      <c r="R1226" s="182" t="b">
        <f t="shared" si="407"/>
        <v>0</v>
      </c>
      <c r="S1226" s="182" t="b">
        <f t="shared" si="408"/>
        <v>0</v>
      </c>
      <c r="T1226" s="181" t="b">
        <f>COUNTIF('New Items'!$A$1:$A$175,A1226)&gt;0</f>
        <v>0</v>
      </c>
      <c r="U1226" s="181" t="b">
        <f>COUNTIF(Discontinued!$A$1:$A$150,A1226)&gt;0</f>
        <v>0</v>
      </c>
    </row>
    <row r="1227" spans="1:21" s="8" customFormat="1" ht="11.25" x14ac:dyDescent="0.2">
      <c r="A1227" s="152">
        <v>10002876</v>
      </c>
      <c r="B1227" s="10" t="s">
        <v>405</v>
      </c>
      <c r="C1227" s="12" t="s">
        <v>406</v>
      </c>
      <c r="D1227" s="11" t="s">
        <v>691</v>
      </c>
      <c r="E1227" s="12" t="s">
        <v>757</v>
      </c>
      <c r="F1227" s="13">
        <v>24</v>
      </c>
      <c r="G1227" s="22">
        <f>Overview!$B$91</f>
        <v>30</v>
      </c>
      <c r="H1227" s="23">
        <f t="shared" si="403"/>
        <v>30</v>
      </c>
      <c r="I1227" s="114">
        <f>Overview!$E$91</f>
        <v>0</v>
      </c>
      <c r="J1227" s="24">
        <f t="shared" si="404"/>
        <v>0</v>
      </c>
      <c r="K1227" s="116">
        <f>Overview!$H$91</f>
        <v>0</v>
      </c>
      <c r="L1227" s="51" t="e">
        <f t="shared" si="405"/>
        <v>#DIV/0!</v>
      </c>
      <c r="M1227" s="179"/>
      <c r="N1227" s="179" t="s">
        <v>977</v>
      </c>
      <c r="O1227" s="141">
        <f t="shared" si="406"/>
        <v>0</v>
      </c>
      <c r="P1227" s="181" t="b">
        <f>COUNTIF('Facility Data'!$A$1:$A$1500,"*"&amp;A1227&amp;"*")&gt;0</f>
        <v>0</v>
      </c>
      <c r="Q1227" s="181" t="b">
        <f>COUNTIF('Account Data'!$A$1:$A$1000,"*"&amp;A1227&amp;"*")&gt;0</f>
        <v>1</v>
      </c>
      <c r="R1227" s="182" t="b">
        <f t="shared" si="407"/>
        <v>0</v>
      </c>
      <c r="S1227" s="182" t="b">
        <f t="shared" si="408"/>
        <v>1</v>
      </c>
      <c r="T1227" s="181" t="b">
        <f>COUNTIF('New Items'!$A$1:$A$175,A1227)&gt;0</f>
        <v>0</v>
      </c>
      <c r="U1227" s="181" t="b">
        <f>COUNTIF(Discontinued!$A$1:$A$150,A1227)&gt;0</f>
        <v>0</v>
      </c>
    </row>
    <row r="1228" spans="1:21" s="8" customFormat="1" ht="11.25" x14ac:dyDescent="0.2">
      <c r="A1228" s="152">
        <v>10002874</v>
      </c>
      <c r="B1228" s="10" t="s">
        <v>2474</v>
      </c>
      <c r="C1228" s="12" t="s">
        <v>2475</v>
      </c>
      <c r="D1228" s="11" t="s">
        <v>1326</v>
      </c>
      <c r="E1228" s="12" t="s">
        <v>757</v>
      </c>
      <c r="F1228" s="13">
        <v>24</v>
      </c>
      <c r="G1228" s="22">
        <f>Overview!$B$91</f>
        <v>30</v>
      </c>
      <c r="H1228" s="23">
        <f t="shared" si="403"/>
        <v>30</v>
      </c>
      <c r="I1228" s="114">
        <f>Overview!$E$91</f>
        <v>0</v>
      </c>
      <c r="J1228" s="24">
        <f t="shared" si="404"/>
        <v>0</v>
      </c>
      <c r="K1228" s="116">
        <f>Overview!$H$91</f>
        <v>0</v>
      </c>
      <c r="L1228" s="51" t="e">
        <f t="shared" si="405"/>
        <v>#DIV/0!</v>
      </c>
      <c r="M1228" s="179"/>
      <c r="N1228" s="179" t="s">
        <v>977</v>
      </c>
      <c r="O1228" s="141">
        <f t="shared" si="406"/>
        <v>0</v>
      </c>
      <c r="P1228" s="181" t="b">
        <f>COUNTIF('Facility Data'!$A$1:$A$1500,"*"&amp;A1228&amp;"*")&gt;0</f>
        <v>0</v>
      </c>
      <c r="Q1228" s="181" t="b">
        <f>COUNTIF('Account Data'!$A$1:$A$1000,"*"&amp;A1228&amp;"*")&gt;0</f>
        <v>0</v>
      </c>
      <c r="R1228" s="182" t="b">
        <f t="shared" si="407"/>
        <v>0</v>
      </c>
      <c r="S1228" s="182" t="b">
        <f t="shared" si="408"/>
        <v>0</v>
      </c>
      <c r="T1228" s="181" t="b">
        <f>COUNTIF('New Items'!$A$1:$A$175,A1228)&gt;0</f>
        <v>0</v>
      </c>
      <c r="U1228" s="181" t="b">
        <f>COUNTIF(Discontinued!$A$1:$A$150,A1228)&gt;0</f>
        <v>0</v>
      </c>
    </row>
    <row r="1229" spans="1:21" s="8" customFormat="1" ht="11.25" x14ac:dyDescent="0.2">
      <c r="A1229" s="152">
        <v>10002877</v>
      </c>
      <c r="B1229" s="10" t="s">
        <v>2484</v>
      </c>
      <c r="C1229" s="12" t="s">
        <v>2485</v>
      </c>
      <c r="D1229" s="11" t="s">
        <v>692</v>
      </c>
      <c r="E1229" s="12" t="s">
        <v>757</v>
      </c>
      <c r="F1229" s="13">
        <v>24</v>
      </c>
      <c r="G1229" s="22">
        <f>Overview!$B$91</f>
        <v>30</v>
      </c>
      <c r="H1229" s="23">
        <f t="shared" si="403"/>
        <v>30</v>
      </c>
      <c r="I1229" s="114">
        <f>Overview!$E$91</f>
        <v>0</v>
      </c>
      <c r="J1229" s="24">
        <f t="shared" si="404"/>
        <v>0</v>
      </c>
      <c r="K1229" s="116">
        <f>Overview!$H$91</f>
        <v>0</v>
      </c>
      <c r="L1229" s="51" t="e">
        <f t="shared" si="405"/>
        <v>#DIV/0!</v>
      </c>
      <c r="M1229" s="179"/>
      <c r="N1229" s="179" t="s">
        <v>977</v>
      </c>
      <c r="O1229" s="141">
        <f t="shared" si="406"/>
        <v>0</v>
      </c>
      <c r="P1229" s="181" t="b">
        <f>COUNTIF('Facility Data'!$A$1:$A$1500,"*"&amp;A1229&amp;"*")&gt;0</f>
        <v>0</v>
      </c>
      <c r="Q1229" s="181" t="b">
        <f>COUNTIF('Account Data'!$A$1:$A$1000,"*"&amp;A1229&amp;"*")&gt;0</f>
        <v>0</v>
      </c>
      <c r="R1229" s="182" t="b">
        <f t="shared" si="407"/>
        <v>0</v>
      </c>
      <c r="S1229" s="182" t="b">
        <f t="shared" si="408"/>
        <v>0</v>
      </c>
      <c r="T1229" s="181" t="b">
        <f>COUNTIF('New Items'!$A$1:$A$175,A1229)&gt;0</f>
        <v>0</v>
      </c>
      <c r="U1229" s="181" t="b">
        <f>COUNTIF(Discontinued!$A$1:$A$150,A1229)&gt;0</f>
        <v>0</v>
      </c>
    </row>
    <row r="1230" spans="1:21" s="8" customFormat="1" ht="11.25" x14ac:dyDescent="0.2">
      <c r="A1230" s="152">
        <v>10000562</v>
      </c>
      <c r="B1230" s="10" t="s">
        <v>407</v>
      </c>
      <c r="C1230" s="12" t="s">
        <v>408</v>
      </c>
      <c r="D1230" s="11" t="s">
        <v>683</v>
      </c>
      <c r="E1230" s="12" t="s">
        <v>757</v>
      </c>
      <c r="F1230" s="13">
        <v>24</v>
      </c>
      <c r="G1230" s="22">
        <f>Overview!$B$91</f>
        <v>30</v>
      </c>
      <c r="H1230" s="23">
        <f t="shared" si="403"/>
        <v>30</v>
      </c>
      <c r="I1230" s="114">
        <f>Overview!$E$91</f>
        <v>0</v>
      </c>
      <c r="J1230" s="24">
        <f t="shared" si="404"/>
        <v>0</v>
      </c>
      <c r="K1230" s="116">
        <f>Overview!$H$91</f>
        <v>0</v>
      </c>
      <c r="L1230" s="51" t="e">
        <f t="shared" si="405"/>
        <v>#DIV/0!</v>
      </c>
      <c r="M1230" s="179"/>
      <c r="N1230" s="179" t="s">
        <v>977</v>
      </c>
      <c r="O1230" s="141">
        <f t="shared" si="406"/>
        <v>0</v>
      </c>
      <c r="P1230" s="181" t="b">
        <f>COUNTIF('Facility Data'!$A$1:$A$1500,"*"&amp;A1230&amp;"*")&gt;0</f>
        <v>0</v>
      </c>
      <c r="Q1230" s="181" t="b">
        <f>COUNTIF('Account Data'!$A$1:$A$1000,"*"&amp;A1230&amp;"*")&gt;0</f>
        <v>0</v>
      </c>
      <c r="R1230" s="182" t="b">
        <f t="shared" si="407"/>
        <v>0</v>
      </c>
      <c r="S1230" s="182" t="b">
        <f t="shared" si="408"/>
        <v>0</v>
      </c>
      <c r="T1230" s="181" t="b">
        <f>COUNTIF('New Items'!$A$1:$A$175,A1230)&gt;0</f>
        <v>0</v>
      </c>
      <c r="U1230" s="181" t="b">
        <f>COUNTIF(Discontinued!$A$1:$A$150,A1230)&gt;0</f>
        <v>0</v>
      </c>
    </row>
    <row r="1231" spans="1:21" s="8" customFormat="1" ht="11.25" x14ac:dyDescent="0.2">
      <c r="A1231" s="152">
        <v>10002875</v>
      </c>
      <c r="B1231" s="10" t="s">
        <v>2478</v>
      </c>
      <c r="C1231" s="12" t="s">
        <v>2479</v>
      </c>
      <c r="D1231" s="11" t="s">
        <v>685</v>
      </c>
      <c r="E1231" s="12" t="s">
        <v>757</v>
      </c>
      <c r="F1231" s="13">
        <v>24</v>
      </c>
      <c r="G1231" s="22">
        <f>Overview!$B$91</f>
        <v>30</v>
      </c>
      <c r="H1231" s="23">
        <f t="shared" si="403"/>
        <v>30</v>
      </c>
      <c r="I1231" s="114">
        <f>Overview!$E$91</f>
        <v>0</v>
      </c>
      <c r="J1231" s="24">
        <f t="shared" si="404"/>
        <v>0</v>
      </c>
      <c r="K1231" s="116">
        <f>Overview!$H$91</f>
        <v>0</v>
      </c>
      <c r="L1231" s="51" t="e">
        <f t="shared" si="405"/>
        <v>#DIV/0!</v>
      </c>
      <c r="M1231" s="179"/>
      <c r="N1231" s="179" t="s">
        <v>977</v>
      </c>
      <c r="O1231" s="141">
        <f t="shared" si="406"/>
        <v>0</v>
      </c>
      <c r="P1231" s="181" t="b">
        <f>COUNTIF('Facility Data'!$A$1:$A$1500,"*"&amp;A1231&amp;"*")&gt;0</f>
        <v>0</v>
      </c>
      <c r="Q1231" s="181" t="b">
        <f>COUNTIF('Account Data'!$A$1:$A$1000,"*"&amp;A1231&amp;"*")&gt;0</f>
        <v>0</v>
      </c>
      <c r="R1231" s="182" t="b">
        <f t="shared" si="407"/>
        <v>0</v>
      </c>
      <c r="S1231" s="182" t="b">
        <f t="shared" si="408"/>
        <v>0</v>
      </c>
      <c r="T1231" s="181" t="b">
        <f>COUNTIF('New Items'!$A$1:$A$175,A1231)&gt;0</f>
        <v>0</v>
      </c>
      <c r="U1231" s="181" t="b">
        <f>COUNTIF(Discontinued!$A$1:$A$150,A1231)&gt;0</f>
        <v>0</v>
      </c>
    </row>
    <row r="1232" spans="1:21" s="8" customFormat="1" ht="12" thickBot="1" x14ac:dyDescent="0.25">
      <c r="A1232" s="152">
        <v>10002881</v>
      </c>
      <c r="B1232" s="10" t="s">
        <v>2482</v>
      </c>
      <c r="C1232" s="12" t="s">
        <v>2483</v>
      </c>
      <c r="D1232" s="11" t="s">
        <v>690</v>
      </c>
      <c r="E1232" s="12" t="s">
        <v>757</v>
      </c>
      <c r="F1232" s="13">
        <v>24</v>
      </c>
      <c r="G1232" s="22">
        <f>Overview!$B$91</f>
        <v>30</v>
      </c>
      <c r="H1232" s="23">
        <f t="shared" si="403"/>
        <v>30</v>
      </c>
      <c r="I1232" s="114">
        <f>Overview!$E$91</f>
        <v>0</v>
      </c>
      <c r="J1232" s="24">
        <f t="shared" si="404"/>
        <v>0</v>
      </c>
      <c r="K1232" s="116">
        <f>Overview!$H$91</f>
        <v>0</v>
      </c>
      <c r="L1232" s="51" t="e">
        <f t="shared" si="405"/>
        <v>#DIV/0!</v>
      </c>
      <c r="M1232" s="179"/>
      <c r="N1232" s="179" t="s">
        <v>977</v>
      </c>
      <c r="O1232" s="141">
        <f t="shared" si="406"/>
        <v>0</v>
      </c>
      <c r="P1232" s="181" t="b">
        <f>COUNTIF('Facility Data'!$A$1:$A$1500,"*"&amp;A1232&amp;"*")&gt;0</f>
        <v>0</v>
      </c>
      <c r="Q1232" s="181" t="b">
        <f>COUNTIF('Account Data'!$A$1:$A$1000,"*"&amp;A1232&amp;"*")&gt;0</f>
        <v>0</v>
      </c>
      <c r="R1232" s="182" t="b">
        <f t="shared" si="407"/>
        <v>0</v>
      </c>
      <c r="S1232" s="182" t="b">
        <f t="shared" si="408"/>
        <v>0</v>
      </c>
      <c r="T1232" s="181" t="b">
        <f>COUNTIF('New Items'!$A$1:$A$175,A1232)&gt;0</f>
        <v>0</v>
      </c>
      <c r="U1232" s="181" t="b">
        <f>COUNTIF(Discontinued!$A$1:$A$150,A1232)&gt;0</f>
        <v>0</v>
      </c>
    </row>
    <row r="1233" spans="1:21" s="8" customFormat="1" ht="13.5" thickBot="1" x14ac:dyDescent="0.25">
      <c r="A1233" s="300" t="s">
        <v>371</v>
      </c>
      <c r="B1233" s="301"/>
      <c r="C1233" s="301"/>
      <c r="D1233" s="301"/>
      <c r="E1233" s="301"/>
      <c r="F1233" s="301"/>
      <c r="G1233" s="301"/>
      <c r="H1233" s="301"/>
      <c r="I1233" s="301"/>
      <c r="J1233" s="301"/>
      <c r="K1233" s="301"/>
      <c r="L1233" s="302"/>
      <c r="M1233" s="179"/>
      <c r="N1233" s="179" t="s">
        <v>976</v>
      </c>
      <c r="O1233" s="141">
        <f>AVERAGE(O1234:O1245)</f>
        <v>0</v>
      </c>
      <c r="P1233" s="181" t="b">
        <f>COUNTIF(P1234:P1245,TRUE)&gt;0</f>
        <v>1</v>
      </c>
      <c r="Q1233" s="181" t="b">
        <f>COUNTIF(Q1234:Q1245,TRUE)&gt;0</f>
        <v>1</v>
      </c>
      <c r="R1233" s="181" t="b">
        <f>COUNTIF(R1234:R1245,TRUE)&gt;0</f>
        <v>1</v>
      </c>
      <c r="S1233" s="181" t="b">
        <f>COUNTIF(S1234:S1245,TRUE)&gt;0</f>
        <v>1</v>
      </c>
      <c r="T1233" s="181" t="b">
        <f>COUNTIF(T1234:T1245,TRUE)&gt;0</f>
        <v>0</v>
      </c>
      <c r="U1233" s="249"/>
    </row>
    <row r="1234" spans="1:21" s="8" customFormat="1" ht="11.25" x14ac:dyDescent="0.2">
      <c r="A1234" s="152">
        <v>10014792</v>
      </c>
      <c r="B1234" s="10" t="s">
        <v>388</v>
      </c>
      <c r="C1234" s="12" t="s">
        <v>389</v>
      </c>
      <c r="D1234" s="11" t="s">
        <v>689</v>
      </c>
      <c r="E1234" s="12" t="s">
        <v>778</v>
      </c>
      <c r="F1234" s="13">
        <v>12</v>
      </c>
      <c r="G1234" s="22">
        <f>Overview!$B$92</f>
        <v>22</v>
      </c>
      <c r="H1234" s="23">
        <f t="shared" ref="H1234:H1245" si="409">G1234-I1234</f>
        <v>22</v>
      </c>
      <c r="I1234" s="114">
        <f>Overview!$E$92</f>
        <v>0</v>
      </c>
      <c r="J1234" s="24">
        <f t="shared" ref="J1234:J1245" si="410">I1234/F1234</f>
        <v>0</v>
      </c>
      <c r="K1234" s="116">
        <f>Overview!$H$92</f>
        <v>0</v>
      </c>
      <c r="L1234" s="51" t="e">
        <f t="shared" ref="L1234:L1245" si="411">(K1234-J1234)/K1234</f>
        <v>#DIV/0!</v>
      </c>
      <c r="M1234" s="179"/>
      <c r="N1234" s="179" t="s">
        <v>976</v>
      </c>
      <c r="O1234" s="141">
        <f t="shared" ref="O1234:O1245" si="412">I1234</f>
        <v>0</v>
      </c>
      <c r="P1234" s="181" t="b">
        <f>COUNTIF('Facility Data'!$A$1:$A$1500,"*"&amp;A1234&amp;"*")&gt;0</f>
        <v>1</v>
      </c>
      <c r="Q1234" s="181" t="b">
        <f>COUNTIF('Account Data'!$A$1:$A$1000,"*"&amp;A1234&amp;"*")&gt;0</f>
        <v>1</v>
      </c>
      <c r="R1234" s="182" t="b">
        <f t="shared" ref="R1234:R1245" si="413">IF(OR(P1234=TRUE,T1234=TRUE),TRUE,FALSE)</f>
        <v>1</v>
      </c>
      <c r="S1234" s="182" t="b">
        <f t="shared" ref="S1234:S1245" si="414">IF(OR(Q1234=TRUE,T1234=TRUE),TRUE,FALSE)</f>
        <v>1</v>
      </c>
      <c r="T1234" s="181" t="b">
        <f>COUNTIF('New Items'!$A$1:$A$175,A1234)&gt;0</f>
        <v>0</v>
      </c>
      <c r="U1234" s="181" t="b">
        <f>COUNTIF(Discontinued!$A$1:$A$150,A1234)&gt;0</f>
        <v>0</v>
      </c>
    </row>
    <row r="1235" spans="1:21" s="8" customFormat="1" ht="11.25" x14ac:dyDescent="0.2">
      <c r="A1235" s="152">
        <v>10003040</v>
      </c>
      <c r="B1235" s="10" t="s">
        <v>2472</v>
      </c>
      <c r="C1235" s="12" t="s">
        <v>2473</v>
      </c>
      <c r="D1235" s="11" t="s">
        <v>1327</v>
      </c>
      <c r="E1235" s="12" t="s">
        <v>778</v>
      </c>
      <c r="F1235" s="13">
        <v>12</v>
      </c>
      <c r="G1235" s="22">
        <f>Overview!$B$92</f>
        <v>22</v>
      </c>
      <c r="H1235" s="23">
        <f t="shared" si="409"/>
        <v>22</v>
      </c>
      <c r="I1235" s="114">
        <f>Overview!$E$92</f>
        <v>0</v>
      </c>
      <c r="J1235" s="24">
        <f t="shared" si="410"/>
        <v>0</v>
      </c>
      <c r="K1235" s="116">
        <f>Overview!$H$92</f>
        <v>0</v>
      </c>
      <c r="L1235" s="51" t="e">
        <f t="shared" si="411"/>
        <v>#DIV/0!</v>
      </c>
      <c r="M1235" s="179"/>
      <c r="N1235" s="179" t="s">
        <v>976</v>
      </c>
      <c r="O1235" s="141">
        <f t="shared" si="412"/>
        <v>0</v>
      </c>
      <c r="P1235" s="181" t="b">
        <f>COUNTIF('Facility Data'!$A$1:$A$1500,"*"&amp;A1235&amp;"*")&gt;0</f>
        <v>0</v>
      </c>
      <c r="Q1235" s="181" t="b">
        <f>COUNTIF('Account Data'!$A$1:$A$1000,"*"&amp;A1235&amp;"*")&gt;0</f>
        <v>0</v>
      </c>
      <c r="R1235" s="182" t="b">
        <f t="shared" si="413"/>
        <v>0</v>
      </c>
      <c r="S1235" s="182" t="b">
        <f t="shared" si="414"/>
        <v>0</v>
      </c>
      <c r="T1235" s="181" t="b">
        <f>COUNTIF('New Items'!$A$1:$A$175,A1235)&gt;0</f>
        <v>0</v>
      </c>
      <c r="U1235" s="181" t="b">
        <f>COUNTIF(Discontinued!$A$1:$A$150,A1235)&gt;0</f>
        <v>0</v>
      </c>
    </row>
    <row r="1236" spans="1:21" s="8" customFormat="1" ht="11.25" x14ac:dyDescent="0.2">
      <c r="A1236" s="152">
        <v>10003024</v>
      </c>
      <c r="B1236" s="10" t="s">
        <v>374</v>
      </c>
      <c r="C1236" s="12" t="s">
        <v>375</v>
      </c>
      <c r="D1236" s="11" t="s">
        <v>684</v>
      </c>
      <c r="E1236" s="12" t="s">
        <v>778</v>
      </c>
      <c r="F1236" s="13">
        <v>12</v>
      </c>
      <c r="G1236" s="22">
        <f>Overview!$B$92</f>
        <v>22</v>
      </c>
      <c r="H1236" s="23">
        <f t="shared" si="409"/>
        <v>22</v>
      </c>
      <c r="I1236" s="114">
        <f>Overview!$E$92</f>
        <v>0</v>
      </c>
      <c r="J1236" s="24">
        <f t="shared" si="410"/>
        <v>0</v>
      </c>
      <c r="K1236" s="116">
        <f>Overview!$H$92</f>
        <v>0</v>
      </c>
      <c r="L1236" s="51" t="e">
        <f t="shared" si="411"/>
        <v>#DIV/0!</v>
      </c>
      <c r="M1236" s="179"/>
      <c r="N1236" s="179" t="s">
        <v>976</v>
      </c>
      <c r="O1236" s="141">
        <f t="shared" si="412"/>
        <v>0</v>
      </c>
      <c r="P1236" s="181" t="b">
        <f>COUNTIF('Facility Data'!$A$1:$A$1500,"*"&amp;A1236&amp;"*")&gt;0</f>
        <v>1</v>
      </c>
      <c r="Q1236" s="181" t="b">
        <f>COUNTIF('Account Data'!$A$1:$A$1000,"*"&amp;A1236&amp;"*")&gt;0</f>
        <v>1</v>
      </c>
      <c r="R1236" s="182" t="b">
        <f t="shared" si="413"/>
        <v>1</v>
      </c>
      <c r="S1236" s="182" t="b">
        <f t="shared" si="414"/>
        <v>1</v>
      </c>
      <c r="T1236" s="181" t="b">
        <f>COUNTIF('New Items'!$A$1:$A$175,A1236)&gt;0</f>
        <v>0</v>
      </c>
      <c r="U1236" s="181" t="b">
        <f>COUNTIF(Discontinued!$A$1:$A$150,A1236)&gt;0</f>
        <v>0</v>
      </c>
    </row>
    <row r="1237" spans="1:21" s="8" customFormat="1" ht="11.25" x14ac:dyDescent="0.2">
      <c r="A1237" s="152">
        <v>10003038</v>
      </c>
      <c r="B1237" s="10" t="s">
        <v>384</v>
      </c>
      <c r="C1237" s="12" t="s">
        <v>385</v>
      </c>
      <c r="D1237" s="11" t="s">
        <v>693</v>
      </c>
      <c r="E1237" s="12" t="s">
        <v>778</v>
      </c>
      <c r="F1237" s="13">
        <v>12</v>
      </c>
      <c r="G1237" s="22">
        <f>Overview!$B$92</f>
        <v>22</v>
      </c>
      <c r="H1237" s="23">
        <f t="shared" si="409"/>
        <v>22</v>
      </c>
      <c r="I1237" s="114">
        <f>Overview!$E$92</f>
        <v>0</v>
      </c>
      <c r="J1237" s="24">
        <f t="shared" si="410"/>
        <v>0</v>
      </c>
      <c r="K1237" s="116">
        <f>Overview!$H$92</f>
        <v>0</v>
      </c>
      <c r="L1237" s="51" t="e">
        <f t="shared" si="411"/>
        <v>#DIV/0!</v>
      </c>
      <c r="M1237" s="179"/>
      <c r="N1237" s="179" t="s">
        <v>976</v>
      </c>
      <c r="O1237" s="141">
        <f t="shared" si="412"/>
        <v>0</v>
      </c>
      <c r="P1237" s="181" t="b">
        <f>COUNTIF('Facility Data'!$A$1:$A$1500,"*"&amp;A1237&amp;"*")&gt;0</f>
        <v>1</v>
      </c>
      <c r="Q1237" s="181" t="b">
        <f>COUNTIF('Account Data'!$A$1:$A$1000,"*"&amp;A1237&amp;"*")&gt;0</f>
        <v>1</v>
      </c>
      <c r="R1237" s="182" t="b">
        <f t="shared" si="413"/>
        <v>1</v>
      </c>
      <c r="S1237" s="182" t="b">
        <f t="shared" si="414"/>
        <v>1</v>
      </c>
      <c r="T1237" s="181" t="b">
        <f>COUNTIF('New Items'!$A$1:$A$175,A1237)&gt;0</f>
        <v>0</v>
      </c>
      <c r="U1237" s="181" t="b">
        <f>COUNTIF(Discontinued!$A$1:$A$150,A1237)&gt;0</f>
        <v>0</v>
      </c>
    </row>
    <row r="1238" spans="1:21" s="8" customFormat="1" ht="11.25" x14ac:dyDescent="0.2">
      <c r="A1238" s="152">
        <v>10031907</v>
      </c>
      <c r="B1238" s="10" t="s">
        <v>386</v>
      </c>
      <c r="C1238" s="12" t="s">
        <v>387</v>
      </c>
      <c r="D1238" s="11" t="s">
        <v>688</v>
      </c>
      <c r="E1238" s="12" t="s">
        <v>778</v>
      </c>
      <c r="F1238" s="13">
        <v>12</v>
      </c>
      <c r="G1238" s="22">
        <f>Overview!$B$92</f>
        <v>22</v>
      </c>
      <c r="H1238" s="23">
        <f t="shared" si="409"/>
        <v>22</v>
      </c>
      <c r="I1238" s="114">
        <f>Overview!$E$92</f>
        <v>0</v>
      </c>
      <c r="J1238" s="24">
        <f t="shared" si="410"/>
        <v>0</v>
      </c>
      <c r="K1238" s="116">
        <f>Overview!$H$92</f>
        <v>0</v>
      </c>
      <c r="L1238" s="51" t="e">
        <f t="shared" si="411"/>
        <v>#DIV/0!</v>
      </c>
      <c r="M1238" s="179"/>
      <c r="N1238" s="179" t="s">
        <v>976</v>
      </c>
      <c r="O1238" s="141">
        <f t="shared" si="412"/>
        <v>0</v>
      </c>
      <c r="P1238" s="181" t="b">
        <f>COUNTIF('Facility Data'!$A$1:$A$1500,"*"&amp;A1238&amp;"*")&gt;0</f>
        <v>0</v>
      </c>
      <c r="Q1238" s="181" t="b">
        <f>COUNTIF('Account Data'!$A$1:$A$1000,"*"&amp;A1238&amp;"*")&gt;0</f>
        <v>0</v>
      </c>
      <c r="R1238" s="182" t="b">
        <f t="shared" si="413"/>
        <v>0</v>
      </c>
      <c r="S1238" s="182" t="b">
        <f t="shared" si="414"/>
        <v>0</v>
      </c>
      <c r="T1238" s="181" t="b">
        <f>COUNTIF('New Items'!$A$1:$A$175,A1238)&gt;0</f>
        <v>0</v>
      </c>
      <c r="U1238" s="181" t="b">
        <f>COUNTIF(Discontinued!$A$1:$A$150,A1238)&gt;0</f>
        <v>0</v>
      </c>
    </row>
    <row r="1239" spans="1:21" s="8" customFormat="1" ht="11.25" x14ac:dyDescent="0.2">
      <c r="A1239" s="152">
        <v>10003025</v>
      </c>
      <c r="B1239" s="10" t="s">
        <v>378</v>
      </c>
      <c r="C1239" s="12" t="s">
        <v>379</v>
      </c>
      <c r="D1239" s="11" t="s">
        <v>691</v>
      </c>
      <c r="E1239" s="12" t="s">
        <v>778</v>
      </c>
      <c r="F1239" s="13">
        <v>12</v>
      </c>
      <c r="G1239" s="22">
        <f>Overview!$B$92</f>
        <v>22</v>
      </c>
      <c r="H1239" s="23">
        <f t="shared" si="409"/>
        <v>22</v>
      </c>
      <c r="I1239" s="114">
        <f>Overview!$E$92</f>
        <v>0</v>
      </c>
      <c r="J1239" s="24">
        <f t="shared" si="410"/>
        <v>0</v>
      </c>
      <c r="K1239" s="116">
        <f>Overview!$H$92</f>
        <v>0</v>
      </c>
      <c r="L1239" s="51" t="e">
        <f t="shared" si="411"/>
        <v>#DIV/0!</v>
      </c>
      <c r="M1239" s="179"/>
      <c r="N1239" s="179" t="s">
        <v>976</v>
      </c>
      <c r="O1239" s="141">
        <f t="shared" si="412"/>
        <v>0</v>
      </c>
      <c r="P1239" s="181" t="b">
        <f>COUNTIF('Facility Data'!$A$1:$A$1500,"*"&amp;A1239&amp;"*")&gt;0</f>
        <v>1</v>
      </c>
      <c r="Q1239" s="181" t="b">
        <f>COUNTIF('Account Data'!$A$1:$A$1000,"*"&amp;A1239&amp;"*")&gt;0</f>
        <v>1</v>
      </c>
      <c r="R1239" s="182" t="b">
        <f t="shared" si="413"/>
        <v>1</v>
      </c>
      <c r="S1239" s="182" t="b">
        <f t="shared" si="414"/>
        <v>1</v>
      </c>
      <c r="T1239" s="181" t="b">
        <f>COUNTIF('New Items'!$A$1:$A$175,A1239)&gt;0</f>
        <v>0</v>
      </c>
      <c r="U1239" s="181" t="b">
        <f>COUNTIF(Discontinued!$A$1:$A$150,A1239)&gt;0</f>
        <v>0</v>
      </c>
    </row>
    <row r="1240" spans="1:21" s="8" customFormat="1" ht="11.25" x14ac:dyDescent="0.2">
      <c r="A1240" s="152">
        <v>10003039</v>
      </c>
      <c r="B1240" s="10" t="s">
        <v>2470</v>
      </c>
      <c r="C1240" s="12" t="s">
        <v>2471</v>
      </c>
      <c r="D1240" s="11" t="s">
        <v>1326</v>
      </c>
      <c r="E1240" s="12" t="s">
        <v>778</v>
      </c>
      <c r="F1240" s="13">
        <v>12</v>
      </c>
      <c r="G1240" s="22">
        <f>Overview!$B$92</f>
        <v>22</v>
      </c>
      <c r="H1240" s="23">
        <f t="shared" si="409"/>
        <v>22</v>
      </c>
      <c r="I1240" s="114">
        <f>Overview!$E$92</f>
        <v>0</v>
      </c>
      <c r="J1240" s="24">
        <f t="shared" si="410"/>
        <v>0</v>
      </c>
      <c r="K1240" s="116">
        <f>Overview!$H$92</f>
        <v>0</v>
      </c>
      <c r="L1240" s="51" t="e">
        <f t="shared" si="411"/>
        <v>#DIV/0!</v>
      </c>
      <c r="M1240" s="179"/>
      <c r="N1240" s="179" t="s">
        <v>976</v>
      </c>
      <c r="O1240" s="141">
        <f t="shared" si="412"/>
        <v>0</v>
      </c>
      <c r="P1240" s="181" t="b">
        <f>COUNTIF('Facility Data'!$A$1:$A$1500,"*"&amp;A1240&amp;"*")&gt;0</f>
        <v>1</v>
      </c>
      <c r="Q1240" s="181" t="b">
        <f>COUNTIF('Account Data'!$A$1:$A$1000,"*"&amp;A1240&amp;"*")&gt;0</f>
        <v>0</v>
      </c>
      <c r="R1240" s="182" t="b">
        <f t="shared" si="413"/>
        <v>1</v>
      </c>
      <c r="S1240" s="182" t="b">
        <f t="shared" si="414"/>
        <v>0</v>
      </c>
      <c r="T1240" s="181" t="b">
        <f>COUNTIF('New Items'!$A$1:$A$175,A1240)&gt;0</f>
        <v>0</v>
      </c>
      <c r="U1240" s="181" t="b">
        <f>COUNTIF(Discontinued!$A$1:$A$150,A1240)&gt;0</f>
        <v>0</v>
      </c>
    </row>
    <row r="1241" spans="1:21" s="8" customFormat="1" ht="11.25" x14ac:dyDescent="0.2">
      <c r="A1241" s="152">
        <v>10003037</v>
      </c>
      <c r="B1241" s="10" t="s">
        <v>382</v>
      </c>
      <c r="C1241" s="12" t="s">
        <v>383</v>
      </c>
      <c r="D1241" s="11" t="s">
        <v>692</v>
      </c>
      <c r="E1241" s="12" t="s">
        <v>778</v>
      </c>
      <c r="F1241" s="13">
        <v>12</v>
      </c>
      <c r="G1241" s="22">
        <f>Overview!$B$92</f>
        <v>22</v>
      </c>
      <c r="H1241" s="23">
        <f t="shared" si="409"/>
        <v>22</v>
      </c>
      <c r="I1241" s="114">
        <f>Overview!$E$92</f>
        <v>0</v>
      </c>
      <c r="J1241" s="24">
        <f t="shared" si="410"/>
        <v>0</v>
      </c>
      <c r="K1241" s="116">
        <f>Overview!$H$92</f>
        <v>0</v>
      </c>
      <c r="L1241" s="51" t="e">
        <f t="shared" si="411"/>
        <v>#DIV/0!</v>
      </c>
      <c r="M1241" s="179"/>
      <c r="N1241" s="179" t="s">
        <v>976</v>
      </c>
      <c r="O1241" s="141">
        <f t="shared" si="412"/>
        <v>0</v>
      </c>
      <c r="P1241" s="181" t="b">
        <f>COUNTIF('Facility Data'!$A$1:$A$1500,"*"&amp;A1241&amp;"*")&gt;0</f>
        <v>1</v>
      </c>
      <c r="Q1241" s="181" t="b">
        <f>COUNTIF('Account Data'!$A$1:$A$1000,"*"&amp;A1241&amp;"*")&gt;0</f>
        <v>1</v>
      </c>
      <c r="R1241" s="182" t="b">
        <f t="shared" si="413"/>
        <v>1</v>
      </c>
      <c r="S1241" s="182" t="b">
        <f t="shared" si="414"/>
        <v>1</v>
      </c>
      <c r="T1241" s="181" t="b">
        <f>COUNTIF('New Items'!$A$1:$A$175,A1241)&gt;0</f>
        <v>0</v>
      </c>
      <c r="U1241" s="181" t="b">
        <f>COUNTIF(Discontinued!$A$1:$A$150,A1241)&gt;0</f>
        <v>0</v>
      </c>
    </row>
    <row r="1242" spans="1:21" s="8" customFormat="1" ht="11.25" x14ac:dyDescent="0.2">
      <c r="A1242" s="154">
        <v>10109406</v>
      </c>
      <c r="B1242" s="10" t="s">
        <v>3293</v>
      </c>
      <c r="C1242" s="12" t="s">
        <v>872</v>
      </c>
      <c r="D1242" s="11" t="s">
        <v>687</v>
      </c>
      <c r="E1242" s="12" t="s">
        <v>778</v>
      </c>
      <c r="F1242" s="13">
        <v>12</v>
      </c>
      <c r="G1242" s="22">
        <f>Overview!$B$92</f>
        <v>22</v>
      </c>
      <c r="H1242" s="23">
        <f t="shared" si="409"/>
        <v>22</v>
      </c>
      <c r="I1242" s="114">
        <f>Overview!$E$92</f>
        <v>0</v>
      </c>
      <c r="J1242" s="24">
        <f t="shared" si="410"/>
        <v>0</v>
      </c>
      <c r="K1242" s="116">
        <f>Overview!$H$92</f>
        <v>0</v>
      </c>
      <c r="L1242" s="51" t="e">
        <f t="shared" si="411"/>
        <v>#DIV/0!</v>
      </c>
      <c r="M1242" s="179"/>
      <c r="N1242" s="179" t="s">
        <v>976</v>
      </c>
      <c r="O1242" s="141">
        <f t="shared" si="412"/>
        <v>0</v>
      </c>
      <c r="P1242" s="181" t="b">
        <f>COUNTIF('Facility Data'!$A$1:$A$1500,"*"&amp;A1242&amp;"*")&gt;0</f>
        <v>1</v>
      </c>
      <c r="Q1242" s="181" t="b">
        <f>COUNTIF('Account Data'!$A$1:$A$1000,"*"&amp;A1242&amp;"*")&gt;0</f>
        <v>1</v>
      </c>
      <c r="R1242" s="182" t="b">
        <f t="shared" si="413"/>
        <v>1</v>
      </c>
      <c r="S1242" s="182" t="b">
        <f t="shared" si="414"/>
        <v>1</v>
      </c>
      <c r="T1242" s="181" t="b">
        <f>COUNTIF('New Items'!$A$1:$A$175,A1242)&gt;0</f>
        <v>0</v>
      </c>
      <c r="U1242" s="181" t="b">
        <f>COUNTIF(Discontinued!$A$1:$A$150,A1242)&gt;0</f>
        <v>0</v>
      </c>
    </row>
    <row r="1243" spans="1:21" s="8" customFormat="1" ht="11.25" x14ac:dyDescent="0.2">
      <c r="A1243" s="152">
        <v>10003023</v>
      </c>
      <c r="B1243" s="10" t="s">
        <v>372</v>
      </c>
      <c r="C1243" s="12" t="s">
        <v>373</v>
      </c>
      <c r="D1243" s="11" t="s">
        <v>683</v>
      </c>
      <c r="E1243" s="12" t="s">
        <v>778</v>
      </c>
      <c r="F1243" s="13">
        <v>12</v>
      </c>
      <c r="G1243" s="22">
        <f>Overview!$B$92</f>
        <v>22</v>
      </c>
      <c r="H1243" s="23">
        <f t="shared" si="409"/>
        <v>22</v>
      </c>
      <c r="I1243" s="114">
        <f>Overview!$E$92</f>
        <v>0</v>
      </c>
      <c r="J1243" s="24">
        <f t="shared" si="410"/>
        <v>0</v>
      </c>
      <c r="K1243" s="116">
        <f>Overview!$H$92</f>
        <v>0</v>
      </c>
      <c r="L1243" s="51" t="e">
        <f t="shared" si="411"/>
        <v>#DIV/0!</v>
      </c>
      <c r="M1243" s="179"/>
      <c r="N1243" s="179" t="s">
        <v>976</v>
      </c>
      <c r="O1243" s="141">
        <f t="shared" si="412"/>
        <v>0</v>
      </c>
      <c r="P1243" s="181" t="b">
        <f>COUNTIF('Facility Data'!$A$1:$A$1500,"*"&amp;A1243&amp;"*")&gt;0</f>
        <v>1</v>
      </c>
      <c r="Q1243" s="181" t="b">
        <f>COUNTIF('Account Data'!$A$1:$A$1000,"*"&amp;A1243&amp;"*")&gt;0</f>
        <v>1</v>
      </c>
      <c r="R1243" s="182" t="b">
        <f t="shared" si="413"/>
        <v>1</v>
      </c>
      <c r="S1243" s="182" t="b">
        <f t="shared" si="414"/>
        <v>1</v>
      </c>
      <c r="T1243" s="181" t="b">
        <f>COUNTIF('New Items'!$A$1:$A$175,A1243)&gt;0</f>
        <v>0</v>
      </c>
      <c r="U1243" s="181" t="b">
        <f>COUNTIF(Discontinued!$A$1:$A$150,A1243)&gt;0</f>
        <v>0</v>
      </c>
    </row>
    <row r="1244" spans="1:21" s="8" customFormat="1" ht="11.25" x14ac:dyDescent="0.2">
      <c r="A1244" s="152">
        <v>10003041</v>
      </c>
      <c r="B1244" s="10" t="s">
        <v>376</v>
      </c>
      <c r="C1244" s="12" t="s">
        <v>377</v>
      </c>
      <c r="D1244" s="11" t="s">
        <v>685</v>
      </c>
      <c r="E1244" s="12" t="s">
        <v>778</v>
      </c>
      <c r="F1244" s="13">
        <v>12</v>
      </c>
      <c r="G1244" s="22">
        <f>Overview!$B$92</f>
        <v>22</v>
      </c>
      <c r="H1244" s="23">
        <f t="shared" si="409"/>
        <v>22</v>
      </c>
      <c r="I1244" s="114">
        <f>Overview!$E$92</f>
        <v>0</v>
      </c>
      <c r="J1244" s="24">
        <f t="shared" si="410"/>
        <v>0</v>
      </c>
      <c r="K1244" s="116">
        <f>Overview!$H$92</f>
        <v>0</v>
      </c>
      <c r="L1244" s="51" t="e">
        <f t="shared" si="411"/>
        <v>#DIV/0!</v>
      </c>
      <c r="M1244" s="179"/>
      <c r="N1244" s="179" t="s">
        <v>976</v>
      </c>
      <c r="O1244" s="141">
        <f t="shared" si="412"/>
        <v>0</v>
      </c>
      <c r="P1244" s="181" t="b">
        <f>COUNTIF('Facility Data'!$A$1:$A$1500,"*"&amp;A1244&amp;"*")&gt;0</f>
        <v>0</v>
      </c>
      <c r="Q1244" s="181" t="b">
        <f>COUNTIF('Account Data'!$A$1:$A$1000,"*"&amp;A1244&amp;"*")&gt;0</f>
        <v>1</v>
      </c>
      <c r="R1244" s="182" t="b">
        <f t="shared" si="413"/>
        <v>0</v>
      </c>
      <c r="S1244" s="182" t="b">
        <f t="shared" si="414"/>
        <v>1</v>
      </c>
      <c r="T1244" s="181" t="b">
        <f>COUNTIF('New Items'!$A$1:$A$175,A1244)&gt;0</f>
        <v>0</v>
      </c>
      <c r="U1244" s="181" t="b">
        <f>COUNTIF(Discontinued!$A$1:$A$150,A1244)&gt;0</f>
        <v>0</v>
      </c>
    </row>
    <row r="1245" spans="1:21" s="8" customFormat="1" ht="12" thickBot="1" x14ac:dyDescent="0.25">
      <c r="A1245" s="152">
        <v>10088249</v>
      </c>
      <c r="B1245" s="10" t="s">
        <v>380</v>
      </c>
      <c r="C1245" s="12" t="s">
        <v>381</v>
      </c>
      <c r="D1245" s="11" t="s">
        <v>690</v>
      </c>
      <c r="E1245" s="12" t="s">
        <v>778</v>
      </c>
      <c r="F1245" s="13">
        <v>12</v>
      </c>
      <c r="G1245" s="22">
        <f>Overview!$B$92</f>
        <v>22</v>
      </c>
      <c r="H1245" s="23">
        <f t="shared" si="409"/>
        <v>22</v>
      </c>
      <c r="I1245" s="114">
        <f>Overview!$E$92</f>
        <v>0</v>
      </c>
      <c r="J1245" s="24">
        <f t="shared" si="410"/>
        <v>0</v>
      </c>
      <c r="K1245" s="116">
        <f>Overview!$H$92</f>
        <v>0</v>
      </c>
      <c r="L1245" s="51" t="e">
        <f t="shared" si="411"/>
        <v>#DIV/0!</v>
      </c>
      <c r="M1245" s="179"/>
      <c r="N1245" s="179" t="s">
        <v>976</v>
      </c>
      <c r="O1245" s="141">
        <f t="shared" si="412"/>
        <v>0</v>
      </c>
      <c r="P1245" s="181" t="b">
        <f>COUNTIF('Facility Data'!$A$1:$A$1500,"*"&amp;A1245&amp;"*")&gt;0</f>
        <v>1</v>
      </c>
      <c r="Q1245" s="181" t="b">
        <f>COUNTIF('Account Data'!$A$1:$A$1000,"*"&amp;A1245&amp;"*")&gt;0</f>
        <v>1</v>
      </c>
      <c r="R1245" s="182" t="b">
        <f t="shared" si="413"/>
        <v>1</v>
      </c>
      <c r="S1245" s="182" t="b">
        <f t="shared" si="414"/>
        <v>1</v>
      </c>
      <c r="T1245" s="181" t="b">
        <f>COUNTIF('New Items'!$A$1:$A$175,A1245)&gt;0</f>
        <v>0</v>
      </c>
      <c r="U1245" s="181" t="b">
        <f>COUNTIF(Discontinued!$A$1:$A$150,A1245)&gt;0</f>
        <v>0</v>
      </c>
    </row>
    <row r="1246" spans="1:21" s="8" customFormat="1" ht="13.5" thickBot="1" x14ac:dyDescent="0.25">
      <c r="A1246" s="300" t="s">
        <v>419</v>
      </c>
      <c r="B1246" s="301"/>
      <c r="C1246" s="301"/>
      <c r="D1246" s="301"/>
      <c r="E1246" s="301"/>
      <c r="F1246" s="301"/>
      <c r="G1246" s="301"/>
      <c r="H1246" s="301"/>
      <c r="I1246" s="301"/>
      <c r="J1246" s="301"/>
      <c r="K1246" s="301"/>
      <c r="L1246" s="302"/>
      <c r="M1246" s="179"/>
      <c r="N1246" s="179" t="s">
        <v>978</v>
      </c>
      <c r="O1246" s="141">
        <f>AVERAGE(O1247:O1260)</f>
        <v>0</v>
      </c>
      <c r="P1246" s="181" t="b">
        <f>COUNTIF(P1247:P1260,TRUE)&gt;0</f>
        <v>1</v>
      </c>
      <c r="Q1246" s="181" t="b">
        <f>COUNTIF(Q1247:Q1260,TRUE)&gt;0</f>
        <v>1</v>
      </c>
      <c r="R1246" s="181" t="b">
        <f>COUNTIF(R1247:R1260,TRUE)&gt;0</f>
        <v>1</v>
      </c>
      <c r="S1246" s="181" t="b">
        <f>COUNTIF(S1247:S1260,TRUE)&gt;0</f>
        <v>1</v>
      </c>
      <c r="T1246" s="181" t="b">
        <f>COUNTIF(T1247:T1260,TRUE)&gt;0</f>
        <v>0</v>
      </c>
      <c r="U1246" s="249"/>
    </row>
    <row r="1247" spans="1:21" s="8" customFormat="1" ht="11.25" x14ac:dyDescent="0.2">
      <c r="A1247" s="152">
        <v>10014793</v>
      </c>
      <c r="B1247" s="10" t="s">
        <v>434</v>
      </c>
      <c r="C1247" s="12" t="s">
        <v>435</v>
      </c>
      <c r="D1247" s="11" t="s">
        <v>689</v>
      </c>
      <c r="E1247" s="12" t="s">
        <v>780</v>
      </c>
      <c r="F1247" s="13">
        <v>8</v>
      </c>
      <c r="G1247" s="22">
        <f>Overview!$B$93</f>
        <v>24</v>
      </c>
      <c r="H1247" s="23">
        <f t="shared" ref="H1247:H1260" si="415">G1247-I1247</f>
        <v>24</v>
      </c>
      <c r="I1247" s="114">
        <f>Overview!$E$93</f>
        <v>0</v>
      </c>
      <c r="J1247" s="24">
        <f t="shared" ref="J1247:J1260" si="416">I1247/F1247</f>
        <v>0</v>
      </c>
      <c r="K1247" s="116">
        <f>Overview!$H$93</f>
        <v>0</v>
      </c>
      <c r="L1247" s="51" t="e">
        <f t="shared" ref="L1247:L1260" si="417">(K1247-J1247)/K1247</f>
        <v>#DIV/0!</v>
      </c>
      <c r="M1247" s="179"/>
      <c r="N1247" s="179" t="s">
        <v>978</v>
      </c>
      <c r="O1247" s="141">
        <f t="shared" ref="O1247:O1260" si="418">I1247</f>
        <v>0</v>
      </c>
      <c r="P1247" s="181" t="b">
        <f>COUNTIF('Facility Data'!$A$1:$A$1500,"*"&amp;A1247&amp;"*")&gt;0</f>
        <v>1</v>
      </c>
      <c r="Q1247" s="181" t="b">
        <f>COUNTIF('Account Data'!$A$1:$A$1000,"*"&amp;A1247&amp;"*")&gt;0</f>
        <v>0</v>
      </c>
      <c r="R1247" s="182" t="b">
        <f t="shared" ref="R1247:R1260" si="419">IF(OR(P1247=TRUE,T1247=TRUE),TRUE,FALSE)</f>
        <v>1</v>
      </c>
      <c r="S1247" s="182" t="b">
        <f t="shared" ref="S1247:S1260" si="420">IF(OR(Q1247=TRUE,T1247=TRUE),TRUE,FALSE)</f>
        <v>0</v>
      </c>
      <c r="T1247" s="181" t="b">
        <f>COUNTIF('New Items'!$A$1:$A$175,A1247)&gt;0</f>
        <v>0</v>
      </c>
      <c r="U1247" s="181" t="b">
        <f>COUNTIF(Discontinued!$A$1:$A$150,A1247)&gt;0</f>
        <v>0</v>
      </c>
    </row>
    <row r="1248" spans="1:21" s="8" customFormat="1" ht="11.25" x14ac:dyDescent="0.2">
      <c r="A1248" s="152">
        <v>10002908</v>
      </c>
      <c r="B1248" s="10" t="s">
        <v>1330</v>
      </c>
      <c r="C1248" s="12" t="s">
        <v>1331</v>
      </c>
      <c r="D1248" s="11" t="s">
        <v>1327</v>
      </c>
      <c r="E1248" s="12" t="s">
        <v>780</v>
      </c>
      <c r="F1248" s="13">
        <v>8</v>
      </c>
      <c r="G1248" s="22">
        <f>Overview!$B$93</f>
        <v>24</v>
      </c>
      <c r="H1248" s="23">
        <f t="shared" si="415"/>
        <v>24</v>
      </c>
      <c r="I1248" s="114">
        <f>Overview!$E$93</f>
        <v>0</v>
      </c>
      <c r="J1248" s="24">
        <f t="shared" si="416"/>
        <v>0</v>
      </c>
      <c r="K1248" s="116">
        <f>Overview!$H$93</f>
        <v>0</v>
      </c>
      <c r="L1248" s="51" t="e">
        <f t="shared" si="417"/>
        <v>#DIV/0!</v>
      </c>
      <c r="M1248" s="179"/>
      <c r="N1248" s="179" t="s">
        <v>978</v>
      </c>
      <c r="O1248" s="141">
        <f t="shared" si="418"/>
        <v>0</v>
      </c>
      <c r="P1248" s="181" t="b">
        <f>COUNTIF('Facility Data'!$A$1:$A$1500,"*"&amp;A1248&amp;"*")&gt;0</f>
        <v>0</v>
      </c>
      <c r="Q1248" s="181" t="b">
        <f>COUNTIF('Account Data'!$A$1:$A$1000,"*"&amp;A1248&amp;"*")&gt;0</f>
        <v>0</v>
      </c>
      <c r="R1248" s="182" t="b">
        <f t="shared" si="419"/>
        <v>0</v>
      </c>
      <c r="S1248" s="182" t="b">
        <f t="shared" si="420"/>
        <v>0</v>
      </c>
      <c r="T1248" s="181" t="b">
        <f>COUNTIF('New Items'!$A$1:$A$175,A1248)&gt;0</f>
        <v>0</v>
      </c>
      <c r="U1248" s="181" t="b">
        <f>COUNTIF(Discontinued!$A$1:$A$150,A1248)&gt;0</f>
        <v>0</v>
      </c>
    </row>
    <row r="1249" spans="1:21" s="8" customFormat="1" ht="11.25" x14ac:dyDescent="0.2">
      <c r="A1249" s="152">
        <v>10002905</v>
      </c>
      <c r="B1249" s="10" t="s">
        <v>422</v>
      </c>
      <c r="C1249" s="12" t="s">
        <v>423</v>
      </c>
      <c r="D1249" s="11" t="s">
        <v>684</v>
      </c>
      <c r="E1249" s="12" t="s">
        <v>780</v>
      </c>
      <c r="F1249" s="13">
        <v>8</v>
      </c>
      <c r="G1249" s="22">
        <f>Overview!$B$93</f>
        <v>24</v>
      </c>
      <c r="H1249" s="23">
        <f t="shared" si="415"/>
        <v>24</v>
      </c>
      <c r="I1249" s="114">
        <f>Overview!$E$93</f>
        <v>0</v>
      </c>
      <c r="J1249" s="24">
        <f t="shared" si="416"/>
        <v>0</v>
      </c>
      <c r="K1249" s="116">
        <f>Overview!$H$93</f>
        <v>0</v>
      </c>
      <c r="L1249" s="51" t="e">
        <f t="shared" si="417"/>
        <v>#DIV/0!</v>
      </c>
      <c r="M1249" s="179"/>
      <c r="N1249" s="179" t="s">
        <v>978</v>
      </c>
      <c r="O1249" s="141">
        <f t="shared" si="418"/>
        <v>0</v>
      </c>
      <c r="P1249" s="181" t="b">
        <f>COUNTIF('Facility Data'!$A$1:$A$1500,"*"&amp;A1249&amp;"*")&gt;0</f>
        <v>1</v>
      </c>
      <c r="Q1249" s="181" t="b">
        <f>COUNTIF('Account Data'!$A$1:$A$1000,"*"&amp;A1249&amp;"*")&gt;0</f>
        <v>0</v>
      </c>
      <c r="R1249" s="182" t="b">
        <f t="shared" si="419"/>
        <v>1</v>
      </c>
      <c r="S1249" s="182" t="b">
        <f t="shared" si="420"/>
        <v>0</v>
      </c>
      <c r="T1249" s="181" t="b">
        <f>COUNTIF('New Items'!$A$1:$A$175,A1249)&gt;0</f>
        <v>0</v>
      </c>
      <c r="U1249" s="181" t="b">
        <f>COUNTIF(Discontinued!$A$1:$A$150,A1249)&gt;0</f>
        <v>0</v>
      </c>
    </row>
    <row r="1250" spans="1:21" s="8" customFormat="1" ht="11.25" x14ac:dyDescent="0.2">
      <c r="A1250" s="152">
        <v>10064436</v>
      </c>
      <c r="B1250" s="10" t="s">
        <v>430</v>
      </c>
      <c r="C1250" s="12" t="s">
        <v>431</v>
      </c>
      <c r="D1250" s="11" t="s">
        <v>693</v>
      </c>
      <c r="E1250" s="12" t="s">
        <v>780</v>
      </c>
      <c r="F1250" s="13">
        <v>8</v>
      </c>
      <c r="G1250" s="22">
        <f>Overview!$B$93</f>
        <v>24</v>
      </c>
      <c r="H1250" s="23">
        <f t="shared" si="415"/>
        <v>24</v>
      </c>
      <c r="I1250" s="114">
        <f>Overview!$E$93</f>
        <v>0</v>
      </c>
      <c r="J1250" s="24">
        <f t="shared" si="416"/>
        <v>0</v>
      </c>
      <c r="K1250" s="116">
        <f>Overview!$H$93</f>
        <v>0</v>
      </c>
      <c r="L1250" s="51" t="e">
        <f t="shared" si="417"/>
        <v>#DIV/0!</v>
      </c>
      <c r="M1250" s="179"/>
      <c r="N1250" s="179" t="s">
        <v>978</v>
      </c>
      <c r="O1250" s="141">
        <f t="shared" si="418"/>
        <v>0</v>
      </c>
      <c r="P1250" s="181" t="b">
        <f>COUNTIF('Facility Data'!$A$1:$A$1500,"*"&amp;A1250&amp;"*")&gt;0</f>
        <v>1</v>
      </c>
      <c r="Q1250" s="181" t="b">
        <f>COUNTIF('Account Data'!$A$1:$A$1000,"*"&amp;A1250&amp;"*")&gt;0</f>
        <v>0</v>
      </c>
      <c r="R1250" s="182" t="b">
        <f t="shared" si="419"/>
        <v>1</v>
      </c>
      <c r="S1250" s="182" t="b">
        <f t="shared" si="420"/>
        <v>0</v>
      </c>
      <c r="T1250" s="181" t="b">
        <f>COUNTIF('New Items'!$A$1:$A$175,A1250)&gt;0</f>
        <v>0</v>
      </c>
      <c r="U1250" s="181" t="b">
        <f>COUNTIF(Discontinued!$A$1:$A$150,A1250)&gt;0</f>
        <v>0</v>
      </c>
    </row>
    <row r="1251" spans="1:21" s="8" customFormat="1" ht="11.25" x14ac:dyDescent="0.2">
      <c r="A1251" s="152">
        <v>10031908</v>
      </c>
      <c r="B1251" s="10" t="s">
        <v>432</v>
      </c>
      <c r="C1251" s="12" t="s">
        <v>433</v>
      </c>
      <c r="D1251" s="11" t="s">
        <v>688</v>
      </c>
      <c r="E1251" s="12" t="s">
        <v>780</v>
      </c>
      <c r="F1251" s="13">
        <v>8</v>
      </c>
      <c r="G1251" s="22">
        <f>Overview!$B$93</f>
        <v>24</v>
      </c>
      <c r="H1251" s="23">
        <f t="shared" si="415"/>
        <v>24</v>
      </c>
      <c r="I1251" s="114">
        <f>Overview!$E$93</f>
        <v>0</v>
      </c>
      <c r="J1251" s="24">
        <f t="shared" si="416"/>
        <v>0</v>
      </c>
      <c r="K1251" s="116">
        <f>Overview!$H$93</f>
        <v>0</v>
      </c>
      <c r="L1251" s="51" t="e">
        <f t="shared" si="417"/>
        <v>#DIV/0!</v>
      </c>
      <c r="M1251" s="179"/>
      <c r="N1251" s="179" t="s">
        <v>978</v>
      </c>
      <c r="O1251" s="141">
        <f t="shared" si="418"/>
        <v>0</v>
      </c>
      <c r="P1251" s="181" t="b">
        <f>COUNTIF('Facility Data'!$A$1:$A$1500,"*"&amp;A1251&amp;"*")&gt;0</f>
        <v>0</v>
      </c>
      <c r="Q1251" s="181" t="b">
        <f>COUNTIF('Account Data'!$A$1:$A$1000,"*"&amp;A1251&amp;"*")&gt;0</f>
        <v>0</v>
      </c>
      <c r="R1251" s="182" t="b">
        <f t="shared" si="419"/>
        <v>0</v>
      </c>
      <c r="S1251" s="182" t="b">
        <f t="shared" si="420"/>
        <v>0</v>
      </c>
      <c r="T1251" s="181" t="b">
        <f>COUNTIF('New Items'!$A$1:$A$175,A1251)&gt;0</f>
        <v>0</v>
      </c>
      <c r="U1251" s="181" t="b">
        <f>COUNTIF(Discontinued!$A$1:$A$150,A1251)&gt;0</f>
        <v>0</v>
      </c>
    </row>
    <row r="1252" spans="1:21" s="8" customFormat="1" ht="11.25" x14ac:dyDescent="0.2">
      <c r="A1252" s="152">
        <v>10002906</v>
      </c>
      <c r="B1252" s="10" t="s">
        <v>426</v>
      </c>
      <c r="C1252" s="12" t="s">
        <v>427</v>
      </c>
      <c r="D1252" s="11" t="s">
        <v>691</v>
      </c>
      <c r="E1252" s="12" t="s">
        <v>780</v>
      </c>
      <c r="F1252" s="13">
        <v>8</v>
      </c>
      <c r="G1252" s="22">
        <f>Overview!$B$93</f>
        <v>24</v>
      </c>
      <c r="H1252" s="23">
        <f t="shared" si="415"/>
        <v>24</v>
      </c>
      <c r="I1252" s="114">
        <f>Overview!$E$93</f>
        <v>0</v>
      </c>
      <c r="J1252" s="24">
        <f t="shared" si="416"/>
        <v>0</v>
      </c>
      <c r="K1252" s="116">
        <f>Overview!$H$93</f>
        <v>0</v>
      </c>
      <c r="L1252" s="51" t="e">
        <f t="shared" si="417"/>
        <v>#DIV/0!</v>
      </c>
      <c r="M1252" s="179"/>
      <c r="N1252" s="179" t="s">
        <v>978</v>
      </c>
      <c r="O1252" s="141">
        <f t="shared" si="418"/>
        <v>0</v>
      </c>
      <c r="P1252" s="181" t="b">
        <f>COUNTIF('Facility Data'!$A$1:$A$1500,"*"&amp;A1252&amp;"*")&gt;0</f>
        <v>1</v>
      </c>
      <c r="Q1252" s="181" t="b">
        <f>COUNTIF('Account Data'!$A$1:$A$1000,"*"&amp;A1252&amp;"*")&gt;0</f>
        <v>1</v>
      </c>
      <c r="R1252" s="182" t="b">
        <f t="shared" si="419"/>
        <v>1</v>
      </c>
      <c r="S1252" s="182" t="b">
        <f t="shared" si="420"/>
        <v>1</v>
      </c>
      <c r="T1252" s="181" t="b">
        <f>COUNTIF('New Items'!$A$1:$A$175,A1252)&gt;0</f>
        <v>0</v>
      </c>
      <c r="U1252" s="181" t="b">
        <f>COUNTIF(Discontinued!$A$1:$A$150,A1252)&gt;0</f>
        <v>0</v>
      </c>
    </row>
    <row r="1253" spans="1:21" s="8" customFormat="1" ht="11.25" x14ac:dyDescent="0.2">
      <c r="A1253" s="152">
        <v>10002907</v>
      </c>
      <c r="B1253" s="10" t="s">
        <v>1328</v>
      </c>
      <c r="C1253" s="12" t="s">
        <v>1329</v>
      </c>
      <c r="D1253" s="11" t="s">
        <v>1326</v>
      </c>
      <c r="E1253" s="12" t="s">
        <v>780</v>
      </c>
      <c r="F1253" s="13">
        <v>8</v>
      </c>
      <c r="G1253" s="22">
        <f>Overview!$B$93</f>
        <v>24</v>
      </c>
      <c r="H1253" s="23">
        <f t="shared" si="415"/>
        <v>24</v>
      </c>
      <c r="I1253" s="114">
        <f>Overview!$E$93</f>
        <v>0</v>
      </c>
      <c r="J1253" s="24">
        <f t="shared" si="416"/>
        <v>0</v>
      </c>
      <c r="K1253" s="116">
        <f>Overview!$H$93</f>
        <v>0</v>
      </c>
      <c r="L1253" s="51" t="e">
        <f t="shared" si="417"/>
        <v>#DIV/0!</v>
      </c>
      <c r="M1253" s="179"/>
      <c r="N1253" s="179" t="s">
        <v>978</v>
      </c>
      <c r="O1253" s="141">
        <f t="shared" si="418"/>
        <v>0</v>
      </c>
      <c r="P1253" s="181" t="b">
        <f>COUNTIF('Facility Data'!$A$1:$A$1500,"*"&amp;A1253&amp;"*")&gt;0</f>
        <v>1</v>
      </c>
      <c r="Q1253" s="181" t="b">
        <f>COUNTIF('Account Data'!$A$1:$A$1000,"*"&amp;A1253&amp;"*")&gt;0</f>
        <v>0</v>
      </c>
      <c r="R1253" s="182" t="b">
        <f t="shared" si="419"/>
        <v>1</v>
      </c>
      <c r="S1253" s="182" t="b">
        <f t="shared" si="420"/>
        <v>0</v>
      </c>
      <c r="T1253" s="181" t="b">
        <f>COUNTIF('New Items'!$A$1:$A$175,A1253)&gt;0</f>
        <v>0</v>
      </c>
      <c r="U1253" s="181" t="b">
        <f>COUNTIF(Discontinued!$A$1:$A$150,A1253)&gt;0</f>
        <v>0</v>
      </c>
    </row>
    <row r="1254" spans="1:21" s="8" customFormat="1" ht="11.25" x14ac:dyDescent="0.2">
      <c r="A1254" s="152">
        <v>10028682</v>
      </c>
      <c r="B1254" s="10" t="s">
        <v>428</v>
      </c>
      <c r="C1254" s="12" t="s">
        <v>429</v>
      </c>
      <c r="D1254" s="11" t="s">
        <v>692</v>
      </c>
      <c r="E1254" s="12" t="s">
        <v>780</v>
      </c>
      <c r="F1254" s="13">
        <v>8</v>
      </c>
      <c r="G1254" s="22">
        <f>Overview!$B$93</f>
        <v>24</v>
      </c>
      <c r="H1254" s="23">
        <f t="shared" si="415"/>
        <v>24</v>
      </c>
      <c r="I1254" s="114">
        <f>Overview!$E$93</f>
        <v>0</v>
      </c>
      <c r="J1254" s="24">
        <f t="shared" si="416"/>
        <v>0</v>
      </c>
      <c r="K1254" s="116">
        <f>Overview!$H$93</f>
        <v>0</v>
      </c>
      <c r="L1254" s="51" t="e">
        <f t="shared" si="417"/>
        <v>#DIV/0!</v>
      </c>
      <c r="M1254" s="179"/>
      <c r="N1254" s="179" t="s">
        <v>978</v>
      </c>
      <c r="O1254" s="141">
        <f t="shared" si="418"/>
        <v>0</v>
      </c>
      <c r="P1254" s="181" t="b">
        <f>COUNTIF('Facility Data'!$A$1:$A$1500,"*"&amp;A1254&amp;"*")&gt;0</f>
        <v>1</v>
      </c>
      <c r="Q1254" s="181" t="b">
        <f>COUNTIF('Account Data'!$A$1:$A$1000,"*"&amp;A1254&amp;"*")&gt;0</f>
        <v>1</v>
      </c>
      <c r="R1254" s="182" t="b">
        <f t="shared" si="419"/>
        <v>1</v>
      </c>
      <c r="S1254" s="182" t="b">
        <f t="shared" si="420"/>
        <v>1</v>
      </c>
      <c r="T1254" s="181" t="b">
        <f>COUNTIF('New Items'!$A$1:$A$175,A1254)&gt;0</f>
        <v>0</v>
      </c>
      <c r="U1254" s="181" t="b">
        <f>COUNTIF(Discontinued!$A$1:$A$150,A1254)&gt;0</f>
        <v>0</v>
      </c>
    </row>
    <row r="1255" spans="1:21" s="8" customFormat="1" ht="11.25" x14ac:dyDescent="0.2">
      <c r="A1255" s="154">
        <v>10109405</v>
      </c>
      <c r="B1255" s="10" t="s">
        <v>3292</v>
      </c>
      <c r="C1255" s="12" t="s">
        <v>871</v>
      </c>
      <c r="D1255" s="11" t="s">
        <v>687</v>
      </c>
      <c r="E1255" s="12" t="s">
        <v>780</v>
      </c>
      <c r="F1255" s="13">
        <v>8</v>
      </c>
      <c r="G1255" s="22">
        <f>Overview!$B$93</f>
        <v>24</v>
      </c>
      <c r="H1255" s="23">
        <f t="shared" si="415"/>
        <v>24</v>
      </c>
      <c r="I1255" s="114">
        <f>Overview!$E$93</f>
        <v>0</v>
      </c>
      <c r="J1255" s="24">
        <f t="shared" si="416"/>
        <v>0</v>
      </c>
      <c r="K1255" s="116">
        <f>Overview!$H$93</f>
        <v>0</v>
      </c>
      <c r="L1255" s="51" t="e">
        <f t="shared" si="417"/>
        <v>#DIV/0!</v>
      </c>
      <c r="M1255" s="179"/>
      <c r="N1255" s="179" t="s">
        <v>978</v>
      </c>
      <c r="O1255" s="141">
        <f t="shared" si="418"/>
        <v>0</v>
      </c>
      <c r="P1255" s="181" t="b">
        <f>COUNTIF('Facility Data'!$A$1:$A$1500,"*"&amp;A1255&amp;"*")&gt;0</f>
        <v>1</v>
      </c>
      <c r="Q1255" s="181" t="b">
        <f>COUNTIF('Account Data'!$A$1:$A$1000,"*"&amp;A1255&amp;"*")&gt;0</f>
        <v>0</v>
      </c>
      <c r="R1255" s="182" t="b">
        <f t="shared" si="419"/>
        <v>1</v>
      </c>
      <c r="S1255" s="182" t="b">
        <f t="shared" si="420"/>
        <v>0</v>
      </c>
      <c r="T1255" s="181" t="b">
        <f>COUNTIF('New Items'!$A$1:$A$175,A1255)&gt;0</f>
        <v>0</v>
      </c>
      <c r="U1255" s="181" t="b">
        <f>COUNTIF(Discontinued!$A$1:$A$150,A1255)&gt;0</f>
        <v>0</v>
      </c>
    </row>
    <row r="1256" spans="1:21" s="8" customFormat="1" ht="11.25" x14ac:dyDescent="0.2">
      <c r="A1256" s="152">
        <v>10064435</v>
      </c>
      <c r="B1256" s="10" t="s">
        <v>1332</v>
      </c>
      <c r="C1256" s="12" t="s">
        <v>1333</v>
      </c>
      <c r="D1256" s="11" t="s">
        <v>1154</v>
      </c>
      <c r="E1256" s="12" t="s">
        <v>780</v>
      </c>
      <c r="F1256" s="13">
        <v>8</v>
      </c>
      <c r="G1256" s="22">
        <f>Overview!$B$93</f>
        <v>24</v>
      </c>
      <c r="H1256" s="23">
        <f t="shared" si="415"/>
        <v>24</v>
      </c>
      <c r="I1256" s="114">
        <f>Overview!$E$93</f>
        <v>0</v>
      </c>
      <c r="J1256" s="24">
        <f t="shared" si="416"/>
        <v>0</v>
      </c>
      <c r="K1256" s="116">
        <f>Overview!$H$93</f>
        <v>0</v>
      </c>
      <c r="L1256" s="51" t="e">
        <f t="shared" si="417"/>
        <v>#DIV/0!</v>
      </c>
      <c r="M1256" s="179"/>
      <c r="N1256" s="179" t="s">
        <v>978</v>
      </c>
      <c r="O1256" s="141">
        <f t="shared" si="418"/>
        <v>0</v>
      </c>
      <c r="P1256" s="181" t="b">
        <f>COUNTIF('Facility Data'!$A$1:$A$1500,"*"&amp;A1256&amp;"*")&gt;0</f>
        <v>0</v>
      </c>
      <c r="Q1256" s="181" t="b">
        <f>COUNTIF('Account Data'!$A$1:$A$1000,"*"&amp;A1256&amp;"*")&gt;0</f>
        <v>0</v>
      </c>
      <c r="R1256" s="182" t="b">
        <f t="shared" si="419"/>
        <v>0</v>
      </c>
      <c r="S1256" s="182" t="b">
        <f t="shared" si="420"/>
        <v>0</v>
      </c>
      <c r="T1256" s="181" t="b">
        <f>COUNTIF('New Items'!$A$1:$A$175,A1256)&gt;0</f>
        <v>0</v>
      </c>
      <c r="U1256" s="181" t="b">
        <f>COUNTIF(Discontinued!$A$1:$A$150,A1256)&gt;0</f>
        <v>0</v>
      </c>
    </row>
    <row r="1257" spans="1:21" s="8" customFormat="1" ht="11.25" x14ac:dyDescent="0.2">
      <c r="A1257" s="160">
        <v>10002904</v>
      </c>
      <c r="B1257" s="231" t="s">
        <v>420</v>
      </c>
      <c r="C1257" s="118" t="s">
        <v>421</v>
      </c>
      <c r="D1257" s="119" t="s">
        <v>683</v>
      </c>
      <c r="E1257" s="118" t="s">
        <v>780</v>
      </c>
      <c r="F1257" s="120">
        <v>8</v>
      </c>
      <c r="G1257" s="121">
        <f>Overview!$B$93</f>
        <v>24</v>
      </c>
      <c r="H1257" s="114">
        <f t="shared" si="415"/>
        <v>24</v>
      </c>
      <c r="I1257" s="114">
        <f>Overview!$E$93</f>
        <v>0</v>
      </c>
      <c r="J1257" s="115">
        <f t="shared" si="416"/>
        <v>0</v>
      </c>
      <c r="K1257" s="116">
        <f>Overview!$H$93</f>
        <v>0</v>
      </c>
      <c r="L1257" s="117" t="e">
        <f t="shared" si="417"/>
        <v>#DIV/0!</v>
      </c>
      <c r="M1257" s="179"/>
      <c r="N1257" s="179" t="s">
        <v>978</v>
      </c>
      <c r="O1257" s="141">
        <f t="shared" si="418"/>
        <v>0</v>
      </c>
      <c r="P1257" s="181" t="b">
        <f>COUNTIF('Facility Data'!$A$1:$A$1500,"*"&amp;A1257&amp;"*")&gt;0</f>
        <v>1</v>
      </c>
      <c r="Q1257" s="181" t="b">
        <f>COUNTIF('Account Data'!$A$1:$A$1000,"*"&amp;A1257&amp;"*")&gt;0</f>
        <v>1</v>
      </c>
      <c r="R1257" s="182" t="b">
        <f t="shared" si="419"/>
        <v>1</v>
      </c>
      <c r="S1257" s="182" t="b">
        <f t="shared" si="420"/>
        <v>1</v>
      </c>
      <c r="T1257" s="181" t="b">
        <f>COUNTIF('New Items'!$A$1:$A$175,A1257)&gt;0</f>
        <v>0</v>
      </c>
      <c r="U1257" s="181" t="b">
        <f>COUNTIF(Discontinued!$A$1:$A$150,A1257)&gt;0</f>
        <v>0</v>
      </c>
    </row>
    <row r="1258" spans="1:21" s="8" customFormat="1" ht="11.25" x14ac:dyDescent="0.2">
      <c r="A1258" s="160">
        <v>10064437</v>
      </c>
      <c r="B1258" s="231" t="s">
        <v>424</v>
      </c>
      <c r="C1258" s="118" t="s">
        <v>425</v>
      </c>
      <c r="D1258" s="119" t="s">
        <v>685</v>
      </c>
      <c r="E1258" s="118" t="s">
        <v>780</v>
      </c>
      <c r="F1258" s="120">
        <v>8</v>
      </c>
      <c r="G1258" s="121">
        <f>Overview!$B$93</f>
        <v>24</v>
      </c>
      <c r="H1258" s="114">
        <f t="shared" si="415"/>
        <v>24</v>
      </c>
      <c r="I1258" s="114">
        <f>Overview!$E$93</f>
        <v>0</v>
      </c>
      <c r="J1258" s="115">
        <f t="shared" si="416"/>
        <v>0</v>
      </c>
      <c r="K1258" s="116">
        <f>Overview!$H$93</f>
        <v>0</v>
      </c>
      <c r="L1258" s="117" t="e">
        <f t="shared" si="417"/>
        <v>#DIV/0!</v>
      </c>
      <c r="M1258" s="179"/>
      <c r="N1258" s="179" t="s">
        <v>978</v>
      </c>
      <c r="O1258" s="141">
        <f t="shared" si="418"/>
        <v>0</v>
      </c>
      <c r="P1258" s="181" t="b">
        <f>COUNTIF('Facility Data'!$A$1:$A$1500,"*"&amp;A1258&amp;"*")&gt;0</f>
        <v>0</v>
      </c>
      <c r="Q1258" s="181" t="b">
        <f>COUNTIF('Account Data'!$A$1:$A$1000,"*"&amp;A1258&amp;"*")&gt;0</f>
        <v>0</v>
      </c>
      <c r="R1258" s="182" t="b">
        <f t="shared" si="419"/>
        <v>0</v>
      </c>
      <c r="S1258" s="182" t="b">
        <f t="shared" si="420"/>
        <v>0</v>
      </c>
      <c r="T1258" s="181" t="b">
        <f>COUNTIF('New Items'!$A$1:$A$175,A1258)&gt;0</f>
        <v>0</v>
      </c>
      <c r="U1258" s="181" t="b">
        <f>COUNTIF(Discontinued!$A$1:$A$150,A1258)&gt;0</f>
        <v>0</v>
      </c>
    </row>
    <row r="1259" spans="1:21" s="8" customFormat="1" ht="11.25" x14ac:dyDescent="0.2">
      <c r="A1259" s="160">
        <v>10088248</v>
      </c>
      <c r="B1259" s="231" t="s">
        <v>1114</v>
      </c>
      <c r="C1259" s="225" t="s">
        <v>1115</v>
      </c>
      <c r="D1259" s="226" t="s">
        <v>690</v>
      </c>
      <c r="E1259" s="118" t="s">
        <v>780</v>
      </c>
      <c r="F1259" s="120">
        <v>8</v>
      </c>
      <c r="G1259" s="121">
        <f>Overview!$B$93</f>
        <v>24</v>
      </c>
      <c r="H1259" s="114">
        <f t="shared" si="415"/>
        <v>24</v>
      </c>
      <c r="I1259" s="114">
        <f>Overview!$E$93</f>
        <v>0</v>
      </c>
      <c r="J1259" s="115">
        <f t="shared" si="416"/>
        <v>0</v>
      </c>
      <c r="K1259" s="116">
        <f>Overview!$H$93</f>
        <v>0</v>
      </c>
      <c r="L1259" s="117" t="e">
        <f t="shared" si="417"/>
        <v>#DIV/0!</v>
      </c>
      <c r="M1259" s="179"/>
      <c r="N1259" s="179" t="s">
        <v>978</v>
      </c>
      <c r="O1259" s="141">
        <f t="shared" si="418"/>
        <v>0</v>
      </c>
      <c r="P1259" s="181" t="b">
        <f>COUNTIF('Facility Data'!$A$1:$A$1500,"*"&amp;A1259&amp;"*")&gt;0</f>
        <v>1</v>
      </c>
      <c r="Q1259" s="181" t="b">
        <f>COUNTIF('Account Data'!$A$1:$A$1000,"*"&amp;A1259&amp;"*")&gt;0</f>
        <v>0</v>
      </c>
      <c r="R1259" s="182" t="b">
        <f t="shared" si="419"/>
        <v>1</v>
      </c>
      <c r="S1259" s="182" t="b">
        <f t="shared" si="420"/>
        <v>0</v>
      </c>
      <c r="T1259" s="181" t="b">
        <f>COUNTIF('New Items'!$A$1:$A$175,A1259)&gt;0</f>
        <v>0</v>
      </c>
      <c r="U1259" s="181" t="b">
        <f>COUNTIF(Discontinued!$A$1:$A$150,A1259)&gt;0</f>
        <v>0</v>
      </c>
    </row>
    <row r="1260" spans="1:21" s="8" customFormat="1" ht="12" thickBot="1" x14ac:dyDescent="0.25">
      <c r="A1260" s="160">
        <v>10119612</v>
      </c>
      <c r="B1260" s="231" t="s">
        <v>3599</v>
      </c>
      <c r="C1260" s="118" t="s">
        <v>1116</v>
      </c>
      <c r="D1260" s="119" t="s">
        <v>725</v>
      </c>
      <c r="E1260" s="118" t="s">
        <v>780</v>
      </c>
      <c r="F1260" s="120">
        <v>8</v>
      </c>
      <c r="G1260" s="121">
        <f>Overview!$B$93</f>
        <v>24</v>
      </c>
      <c r="H1260" s="114">
        <f t="shared" si="415"/>
        <v>24</v>
      </c>
      <c r="I1260" s="114">
        <f>Overview!$E$93</f>
        <v>0</v>
      </c>
      <c r="J1260" s="115">
        <f t="shared" si="416"/>
        <v>0</v>
      </c>
      <c r="K1260" s="116">
        <f>Overview!$H$93</f>
        <v>0</v>
      </c>
      <c r="L1260" s="117" t="e">
        <f t="shared" si="417"/>
        <v>#DIV/0!</v>
      </c>
      <c r="M1260" s="179"/>
      <c r="N1260" s="179" t="s">
        <v>978</v>
      </c>
      <c r="O1260" s="141">
        <f t="shared" si="418"/>
        <v>0</v>
      </c>
      <c r="P1260" s="181" t="b">
        <f>COUNTIF('Facility Data'!$A$1:$A$1500,"*"&amp;A1260&amp;"*")&gt;0</f>
        <v>1</v>
      </c>
      <c r="Q1260" s="181" t="b">
        <f>COUNTIF('Account Data'!$A$1:$A$1000,"*"&amp;A1260&amp;"*")&gt;0</f>
        <v>0</v>
      </c>
      <c r="R1260" s="182" t="b">
        <f t="shared" si="419"/>
        <v>1</v>
      </c>
      <c r="S1260" s="182" t="b">
        <f t="shared" si="420"/>
        <v>0</v>
      </c>
      <c r="T1260" s="181" t="b">
        <f>COUNTIF('New Items'!$A$1:$A$175,A1260)&gt;0</f>
        <v>0</v>
      </c>
      <c r="U1260" s="181" t="b">
        <f>COUNTIF(Discontinued!$A$1:$A$150,A1260)&gt;0</f>
        <v>0</v>
      </c>
    </row>
    <row r="1261" spans="1:21" s="8" customFormat="1" ht="13.5" thickBot="1" x14ac:dyDescent="0.25">
      <c r="A1261" s="300" t="s">
        <v>2985</v>
      </c>
      <c r="B1261" s="301"/>
      <c r="C1261" s="301"/>
      <c r="D1261" s="301"/>
      <c r="E1261" s="301"/>
      <c r="F1261" s="301"/>
      <c r="G1261" s="301"/>
      <c r="H1261" s="301"/>
      <c r="I1261" s="301"/>
      <c r="J1261" s="301"/>
      <c r="K1261" s="301"/>
      <c r="L1261" s="302"/>
      <c r="M1261" s="179"/>
      <c r="N1261" s="179" t="s">
        <v>2985</v>
      </c>
      <c r="O1261" s="141">
        <f>AVERAGE(O1262)</f>
        <v>0</v>
      </c>
      <c r="P1261" s="181" t="b">
        <f t="shared" ref="P1261:U1261" si="421">COUNTIF(P1262,TRUE)&gt;0</f>
        <v>0</v>
      </c>
      <c r="Q1261" s="181" t="b">
        <f t="shared" si="421"/>
        <v>0</v>
      </c>
      <c r="R1261" s="181" t="b">
        <f t="shared" si="421"/>
        <v>0</v>
      </c>
      <c r="S1261" s="181" t="b">
        <f t="shared" si="421"/>
        <v>0</v>
      </c>
      <c r="T1261" s="181" t="b">
        <f t="shared" si="421"/>
        <v>0</v>
      </c>
      <c r="U1261" s="181" t="b">
        <f t="shared" si="421"/>
        <v>0</v>
      </c>
    </row>
    <row r="1262" spans="1:21" s="8" customFormat="1" ht="12" thickBot="1" x14ac:dyDescent="0.25">
      <c r="A1262" s="152">
        <v>10002516</v>
      </c>
      <c r="B1262" s="9" t="s">
        <v>2986</v>
      </c>
      <c r="C1262" s="12" t="s">
        <v>2987</v>
      </c>
      <c r="D1262" s="11" t="s">
        <v>774</v>
      </c>
      <c r="E1262" s="12" t="s">
        <v>774</v>
      </c>
      <c r="F1262" s="13">
        <v>24</v>
      </c>
      <c r="G1262" s="121">
        <f>Overview!$B$192</f>
        <v>24</v>
      </c>
      <c r="H1262" s="23">
        <f>G1262-I1262</f>
        <v>24</v>
      </c>
      <c r="I1262" s="114">
        <f>Overview!$E$192</f>
        <v>0</v>
      </c>
      <c r="J1262" s="52">
        <f>I1262/F1262</f>
        <v>0</v>
      </c>
      <c r="K1262" s="174">
        <f>Overview!$H$192</f>
        <v>0</v>
      </c>
      <c r="L1262" s="54" t="e">
        <f>(K1262-J1262)/K1262</f>
        <v>#DIV/0!</v>
      </c>
      <c r="M1262" s="179"/>
      <c r="N1262" s="179" t="s">
        <v>2985</v>
      </c>
      <c r="O1262" s="141">
        <f>I1262</f>
        <v>0</v>
      </c>
      <c r="P1262" s="181" t="b">
        <f>COUNTIF('Facility Data'!$A$1:$A$1500,"*"&amp;A1262&amp;"*")&gt;0</f>
        <v>0</v>
      </c>
      <c r="Q1262" s="181" t="b">
        <f>COUNTIF('Account Data'!$A$1:$A$1000,"*"&amp;A1262&amp;"*")&gt;0</f>
        <v>0</v>
      </c>
      <c r="R1262" s="182" t="b">
        <f>IF(OR(P1262=TRUE,T1262=TRUE),TRUE,FALSE)</f>
        <v>0</v>
      </c>
      <c r="S1262" s="182" t="b">
        <f>IF(OR(Q1262=TRUE,T1262=TRUE),TRUE,FALSE)</f>
        <v>0</v>
      </c>
      <c r="T1262" s="181" t="b">
        <f>COUNTIF('New Items'!$A$1:$A$175,A1262)&gt;0</f>
        <v>0</v>
      </c>
      <c r="U1262" s="181" t="b">
        <f>COUNTIF(Discontinued!$A$1:$A$150,A1262)&gt;0</f>
        <v>0</v>
      </c>
    </row>
    <row r="1263" spans="1:21" s="8" customFormat="1" ht="13.5" thickBot="1" x14ac:dyDescent="0.25">
      <c r="A1263" s="300" t="s">
        <v>3447</v>
      </c>
      <c r="B1263" s="301"/>
      <c r="C1263" s="301"/>
      <c r="D1263" s="301"/>
      <c r="E1263" s="301"/>
      <c r="F1263" s="301"/>
      <c r="G1263" s="301"/>
      <c r="H1263" s="301"/>
      <c r="I1263" s="301"/>
      <c r="J1263" s="301"/>
      <c r="K1263" s="301"/>
      <c r="L1263" s="302"/>
      <c r="M1263" s="179"/>
      <c r="N1263" s="179" t="s">
        <v>3448</v>
      </c>
      <c r="O1263" s="141">
        <f>AVERAGE(O1264:O1273)</f>
        <v>0</v>
      </c>
      <c r="P1263" s="181" t="b">
        <f>COUNTIF(P1264:P1273,TRUE)&gt;0</f>
        <v>1</v>
      </c>
      <c r="Q1263" s="181" t="b">
        <f>COUNTIF(Q1264:Q1273,TRUE)&gt;0</f>
        <v>1</v>
      </c>
      <c r="R1263" s="181" t="b">
        <f>COUNTIF(R1264:R1273,TRUE)&gt;0</f>
        <v>1</v>
      </c>
      <c r="S1263" s="181" t="b">
        <f>COUNTIF(S1264:S1273,TRUE)&gt;0</f>
        <v>1</v>
      </c>
      <c r="T1263" s="181" t="b">
        <f>COUNTIF(T1264:T1273,TRUE)&gt;0</f>
        <v>0</v>
      </c>
      <c r="U1263" s="249"/>
    </row>
    <row r="1264" spans="1:21" s="8" customFormat="1" ht="11.25" x14ac:dyDescent="0.2">
      <c r="A1264" s="152">
        <v>10087170</v>
      </c>
      <c r="B1264" s="10" t="s">
        <v>1544</v>
      </c>
      <c r="C1264" s="12" t="s">
        <v>3460</v>
      </c>
      <c r="D1264" s="11" t="s">
        <v>1549</v>
      </c>
      <c r="E1264" s="12" t="s">
        <v>769</v>
      </c>
      <c r="F1264" s="13">
        <v>24</v>
      </c>
      <c r="G1264" s="22">
        <f>Overview!$B$38</f>
        <v>26</v>
      </c>
      <c r="H1264" s="114">
        <f t="shared" ref="H1264:H1273" si="422">G1264-I1264</f>
        <v>26</v>
      </c>
      <c r="I1264" s="114">
        <f>Overview!$E$38</f>
        <v>0</v>
      </c>
      <c r="J1264" s="115">
        <f t="shared" ref="J1264:J1273" si="423">I1264/F1264</f>
        <v>0</v>
      </c>
      <c r="K1264" s="116">
        <f>Overview!$H$38</f>
        <v>0</v>
      </c>
      <c r="L1264" s="51" t="e">
        <f t="shared" ref="L1264:L1273" si="424">(K1264-J1264)/K1264</f>
        <v>#DIV/0!</v>
      </c>
      <c r="M1264" s="179"/>
      <c r="N1264" s="179" t="s">
        <v>3448</v>
      </c>
      <c r="O1264" s="141">
        <f t="shared" ref="O1264:O1273" si="425">I1264</f>
        <v>0</v>
      </c>
      <c r="P1264" s="181" t="b">
        <f>COUNTIF('Facility Data'!$A$1:$A$1500,"*"&amp;A1264&amp;"*")&gt;0</f>
        <v>0</v>
      </c>
      <c r="Q1264" s="181" t="b">
        <f>COUNTIF('Account Data'!$A$1:$A$1000,"*"&amp;A1264&amp;"*")&gt;0</f>
        <v>0</v>
      </c>
      <c r="R1264" s="182" t="b">
        <f t="shared" ref="R1264:R1273" si="426">IF(OR(P1264=TRUE,T1264=TRUE),TRUE,FALSE)</f>
        <v>0</v>
      </c>
      <c r="S1264" s="182" t="b">
        <f t="shared" ref="S1264:S1273" si="427">IF(OR(Q1264=TRUE,T1264=TRUE),TRUE,FALSE)</f>
        <v>0</v>
      </c>
      <c r="T1264" s="181" t="b">
        <f>COUNTIF('New Items'!$A$1:$A$175,A1264)&gt;0</f>
        <v>0</v>
      </c>
      <c r="U1264" s="181" t="b">
        <f>COUNTIF(Discontinued!$A$1:$A$150,A1264)&gt;0</f>
        <v>0</v>
      </c>
    </row>
    <row r="1265" spans="1:21" s="8" customFormat="1" ht="11.25" x14ac:dyDescent="0.2">
      <c r="A1265" s="152">
        <v>10087166</v>
      </c>
      <c r="B1265" s="10" t="s">
        <v>346</v>
      </c>
      <c r="C1265" s="12" t="s">
        <v>3457</v>
      </c>
      <c r="D1265" s="11" t="s">
        <v>3456</v>
      </c>
      <c r="E1265" s="12" t="s">
        <v>769</v>
      </c>
      <c r="F1265" s="13">
        <v>24</v>
      </c>
      <c r="G1265" s="22">
        <f>Overview!$B$38</f>
        <v>26</v>
      </c>
      <c r="H1265" s="114">
        <f t="shared" si="422"/>
        <v>26</v>
      </c>
      <c r="I1265" s="114">
        <f>Overview!$E$38</f>
        <v>0</v>
      </c>
      <c r="J1265" s="115">
        <f t="shared" si="423"/>
        <v>0</v>
      </c>
      <c r="K1265" s="116">
        <f>Overview!$H$38</f>
        <v>0</v>
      </c>
      <c r="L1265" s="51" t="e">
        <f t="shared" si="424"/>
        <v>#DIV/0!</v>
      </c>
      <c r="M1265" s="179"/>
      <c r="N1265" s="179" t="s">
        <v>3448</v>
      </c>
      <c r="O1265" s="141">
        <f t="shared" si="425"/>
        <v>0</v>
      </c>
      <c r="P1265" s="181" t="b">
        <f>COUNTIF('Facility Data'!$A$1:$A$1500,"*"&amp;A1265&amp;"*")&gt;0</f>
        <v>0</v>
      </c>
      <c r="Q1265" s="181" t="b">
        <f>COUNTIF('Account Data'!$A$1:$A$1000,"*"&amp;A1265&amp;"*")&gt;0</f>
        <v>1</v>
      </c>
      <c r="R1265" s="182" t="b">
        <f t="shared" si="426"/>
        <v>0</v>
      </c>
      <c r="S1265" s="182" t="b">
        <f t="shared" si="427"/>
        <v>1</v>
      </c>
      <c r="T1265" s="181" t="b">
        <f>COUNTIF('New Items'!$A$1:$A$175,A1265)&gt;0</f>
        <v>0</v>
      </c>
      <c r="U1265" s="181" t="b">
        <f>COUNTIF(Discontinued!$A$1:$A$150,A1265)&gt;0</f>
        <v>0</v>
      </c>
    </row>
    <row r="1266" spans="1:21" s="8" customFormat="1" ht="11.25" x14ac:dyDescent="0.2">
      <c r="A1266" s="152">
        <v>10087167</v>
      </c>
      <c r="B1266" s="10" t="s">
        <v>1542</v>
      </c>
      <c r="C1266" s="12" t="s">
        <v>3459</v>
      </c>
      <c r="D1266" s="11" t="s">
        <v>1548</v>
      </c>
      <c r="E1266" s="12" t="s">
        <v>769</v>
      </c>
      <c r="F1266" s="13">
        <v>24</v>
      </c>
      <c r="G1266" s="22">
        <f>Overview!$B$38</f>
        <v>26</v>
      </c>
      <c r="H1266" s="114">
        <f t="shared" si="422"/>
        <v>26</v>
      </c>
      <c r="I1266" s="114">
        <f>Overview!$E$38</f>
        <v>0</v>
      </c>
      <c r="J1266" s="115">
        <f t="shared" si="423"/>
        <v>0</v>
      </c>
      <c r="K1266" s="116">
        <f>Overview!$H$38</f>
        <v>0</v>
      </c>
      <c r="L1266" s="51" t="e">
        <f t="shared" si="424"/>
        <v>#DIV/0!</v>
      </c>
      <c r="M1266" s="179"/>
      <c r="N1266" s="179" t="s">
        <v>3448</v>
      </c>
      <c r="O1266" s="141">
        <f t="shared" si="425"/>
        <v>0</v>
      </c>
      <c r="P1266" s="181" t="b">
        <f>COUNTIF('Facility Data'!$A$1:$A$1500,"*"&amp;A1266&amp;"*")&gt;0</f>
        <v>0</v>
      </c>
      <c r="Q1266" s="181" t="b">
        <f>COUNTIF('Account Data'!$A$1:$A$1000,"*"&amp;A1266&amp;"*")&gt;0</f>
        <v>0</v>
      </c>
      <c r="R1266" s="182" t="b">
        <f t="shared" si="426"/>
        <v>0</v>
      </c>
      <c r="S1266" s="182" t="b">
        <f t="shared" si="427"/>
        <v>0</v>
      </c>
      <c r="T1266" s="181" t="b">
        <f>COUNTIF('New Items'!$A$1:$A$175,A1266)&gt;0</f>
        <v>0</v>
      </c>
      <c r="U1266" s="181" t="b">
        <f>COUNTIF(Discontinued!$A$1:$A$150,A1266)&gt;0</f>
        <v>0</v>
      </c>
    </row>
    <row r="1267" spans="1:21" s="8" customFormat="1" ht="11.25" x14ac:dyDescent="0.2">
      <c r="A1267" s="152">
        <v>10087164</v>
      </c>
      <c r="B1267" s="10" t="s">
        <v>344</v>
      </c>
      <c r="C1267" s="12" t="s">
        <v>3455</v>
      </c>
      <c r="D1267" s="11" t="s">
        <v>647</v>
      </c>
      <c r="E1267" s="12" t="s">
        <v>769</v>
      </c>
      <c r="F1267" s="13">
        <v>24</v>
      </c>
      <c r="G1267" s="22">
        <f>Overview!$B$38</f>
        <v>26</v>
      </c>
      <c r="H1267" s="114">
        <f t="shared" si="422"/>
        <v>26</v>
      </c>
      <c r="I1267" s="114">
        <f>Overview!$E$38</f>
        <v>0</v>
      </c>
      <c r="J1267" s="115">
        <f t="shared" si="423"/>
        <v>0</v>
      </c>
      <c r="K1267" s="116">
        <f>Overview!$H$38</f>
        <v>0</v>
      </c>
      <c r="L1267" s="51" t="e">
        <f t="shared" si="424"/>
        <v>#DIV/0!</v>
      </c>
      <c r="M1267" s="179"/>
      <c r="N1267" s="179" t="s">
        <v>3448</v>
      </c>
      <c r="O1267" s="141">
        <f t="shared" si="425"/>
        <v>0</v>
      </c>
      <c r="P1267" s="181" t="b">
        <f>COUNTIF('Facility Data'!$A$1:$A$1500,"*"&amp;A1267&amp;"*")&gt;0</f>
        <v>1</v>
      </c>
      <c r="Q1267" s="181" t="b">
        <f>COUNTIF('Account Data'!$A$1:$A$1000,"*"&amp;A1267&amp;"*")&gt;0</f>
        <v>1</v>
      </c>
      <c r="R1267" s="182" t="b">
        <f t="shared" si="426"/>
        <v>1</v>
      </c>
      <c r="S1267" s="182" t="b">
        <f t="shared" si="427"/>
        <v>1</v>
      </c>
      <c r="T1267" s="181" t="b">
        <f>COUNTIF('New Items'!$A$1:$A$175,A1267)&gt;0</f>
        <v>0</v>
      </c>
      <c r="U1267" s="181" t="b">
        <f>COUNTIF(Discontinued!$A$1:$A$150,A1267)&gt;0</f>
        <v>0</v>
      </c>
    </row>
    <row r="1268" spans="1:21" s="8" customFormat="1" ht="11.25" x14ac:dyDescent="0.2">
      <c r="A1268" s="152">
        <v>10000368</v>
      </c>
      <c r="B1268" s="10" t="s">
        <v>342</v>
      </c>
      <c r="C1268" s="12" t="s">
        <v>3454</v>
      </c>
      <c r="D1268" s="11" t="s">
        <v>666</v>
      </c>
      <c r="E1268" s="12" t="s">
        <v>769</v>
      </c>
      <c r="F1268" s="13">
        <v>24</v>
      </c>
      <c r="G1268" s="22">
        <f>Overview!$B$38</f>
        <v>26</v>
      </c>
      <c r="H1268" s="114">
        <f t="shared" si="422"/>
        <v>26</v>
      </c>
      <c r="I1268" s="114">
        <f>Overview!$E$38</f>
        <v>0</v>
      </c>
      <c r="J1268" s="115">
        <f t="shared" si="423"/>
        <v>0</v>
      </c>
      <c r="K1268" s="116">
        <f>Overview!$H$38</f>
        <v>0</v>
      </c>
      <c r="L1268" s="51" t="e">
        <f t="shared" si="424"/>
        <v>#DIV/0!</v>
      </c>
      <c r="M1268" s="179"/>
      <c r="N1268" s="179" t="s">
        <v>3448</v>
      </c>
      <c r="O1268" s="141">
        <f t="shared" si="425"/>
        <v>0</v>
      </c>
      <c r="P1268" s="181" t="b">
        <f>COUNTIF('Facility Data'!$A$1:$A$1500,"*"&amp;A1268&amp;"*")&gt;0</f>
        <v>0</v>
      </c>
      <c r="Q1268" s="181" t="b">
        <f>COUNTIF('Account Data'!$A$1:$A$1000,"*"&amp;A1268&amp;"*")&gt;0</f>
        <v>1</v>
      </c>
      <c r="R1268" s="182" t="b">
        <f t="shared" si="426"/>
        <v>0</v>
      </c>
      <c r="S1268" s="182" t="b">
        <f t="shared" si="427"/>
        <v>1</v>
      </c>
      <c r="T1268" s="181" t="b">
        <f>COUNTIF('New Items'!$A$1:$A$175,A1268)&gt;0</f>
        <v>0</v>
      </c>
      <c r="U1268" s="181" t="b">
        <f>COUNTIF(Discontinued!$A$1:$A$150,A1268)&gt;0</f>
        <v>0</v>
      </c>
    </row>
    <row r="1269" spans="1:21" s="8" customFormat="1" ht="11.25" x14ac:dyDescent="0.2">
      <c r="A1269" s="152">
        <v>10000360</v>
      </c>
      <c r="B1269" s="10" t="s">
        <v>338</v>
      </c>
      <c r="C1269" s="12" t="s">
        <v>3452</v>
      </c>
      <c r="D1269" s="11" t="s">
        <v>664</v>
      </c>
      <c r="E1269" s="12" t="s">
        <v>769</v>
      </c>
      <c r="F1269" s="13">
        <v>24</v>
      </c>
      <c r="G1269" s="22">
        <f>Overview!$B$38</f>
        <v>26</v>
      </c>
      <c r="H1269" s="114">
        <f t="shared" si="422"/>
        <v>26</v>
      </c>
      <c r="I1269" s="114">
        <f>Overview!$E$38</f>
        <v>0</v>
      </c>
      <c r="J1269" s="115">
        <f t="shared" si="423"/>
        <v>0</v>
      </c>
      <c r="K1269" s="116">
        <f>Overview!$H$38</f>
        <v>0</v>
      </c>
      <c r="L1269" s="51" t="e">
        <f t="shared" si="424"/>
        <v>#DIV/0!</v>
      </c>
      <c r="M1269" s="179"/>
      <c r="N1269" s="179" t="s">
        <v>3448</v>
      </c>
      <c r="O1269" s="141">
        <f t="shared" si="425"/>
        <v>0</v>
      </c>
      <c r="P1269" s="181" t="b">
        <f>COUNTIF('Facility Data'!$A$1:$A$1500,"*"&amp;A1269&amp;"*")&gt;0</f>
        <v>0</v>
      </c>
      <c r="Q1269" s="181" t="b">
        <f>COUNTIF('Account Data'!$A$1:$A$1000,"*"&amp;A1269&amp;"*")&gt;0</f>
        <v>0</v>
      </c>
      <c r="R1269" s="182" t="b">
        <f t="shared" si="426"/>
        <v>0</v>
      </c>
      <c r="S1269" s="182" t="b">
        <f t="shared" si="427"/>
        <v>0</v>
      </c>
      <c r="T1269" s="181" t="b">
        <f>COUNTIF('New Items'!$A$1:$A$175,A1269)&gt;0</f>
        <v>0</v>
      </c>
      <c r="U1269" s="181" t="b">
        <f>COUNTIF(Discontinued!$A$1:$A$150,A1269)&gt;0</f>
        <v>0</v>
      </c>
    </row>
    <row r="1270" spans="1:21" s="8" customFormat="1" ht="11.25" x14ac:dyDescent="0.2">
      <c r="A1270" s="152">
        <v>10087168</v>
      </c>
      <c r="B1270" s="10" t="s">
        <v>1546</v>
      </c>
      <c r="C1270" s="12" t="s">
        <v>3461</v>
      </c>
      <c r="D1270" s="11" t="s">
        <v>1550</v>
      </c>
      <c r="E1270" s="12" t="s">
        <v>769</v>
      </c>
      <c r="F1270" s="13">
        <v>24</v>
      </c>
      <c r="G1270" s="22">
        <f>Overview!$B$38</f>
        <v>26</v>
      </c>
      <c r="H1270" s="114">
        <f t="shared" si="422"/>
        <v>26</v>
      </c>
      <c r="I1270" s="114">
        <f>Overview!$E$38</f>
        <v>0</v>
      </c>
      <c r="J1270" s="115">
        <f t="shared" si="423"/>
        <v>0</v>
      </c>
      <c r="K1270" s="116">
        <f>Overview!$H$38</f>
        <v>0</v>
      </c>
      <c r="L1270" s="51" t="e">
        <f t="shared" si="424"/>
        <v>#DIV/0!</v>
      </c>
      <c r="M1270" s="179"/>
      <c r="N1270" s="179" t="s">
        <v>3448</v>
      </c>
      <c r="O1270" s="141">
        <f t="shared" si="425"/>
        <v>0</v>
      </c>
      <c r="P1270" s="181" t="b">
        <f>COUNTIF('Facility Data'!$A$1:$A$1500,"*"&amp;A1270&amp;"*")&gt;0</f>
        <v>0</v>
      </c>
      <c r="Q1270" s="181" t="b">
        <f>COUNTIF('Account Data'!$A$1:$A$1000,"*"&amp;A1270&amp;"*")&gt;0</f>
        <v>0</v>
      </c>
      <c r="R1270" s="182" t="b">
        <f t="shared" si="426"/>
        <v>0</v>
      </c>
      <c r="S1270" s="182" t="b">
        <f t="shared" si="427"/>
        <v>0</v>
      </c>
      <c r="T1270" s="181" t="b">
        <f>COUNTIF('New Items'!$A$1:$A$175,A1270)&gt;0</f>
        <v>0</v>
      </c>
      <c r="U1270" s="181" t="b">
        <f>COUNTIF(Discontinued!$A$1:$A$150,A1270)&gt;0</f>
        <v>0</v>
      </c>
    </row>
    <row r="1271" spans="1:21" s="8" customFormat="1" ht="11.25" x14ac:dyDescent="0.2">
      <c r="A1271" s="152">
        <v>10087169</v>
      </c>
      <c r="B1271" s="10" t="s">
        <v>1323</v>
      </c>
      <c r="C1271" s="12" t="s">
        <v>3458</v>
      </c>
      <c r="D1271" s="11" t="s">
        <v>1322</v>
      </c>
      <c r="E1271" s="12" t="s">
        <v>769</v>
      </c>
      <c r="F1271" s="13">
        <v>24</v>
      </c>
      <c r="G1271" s="22">
        <f>Overview!$B$38</f>
        <v>26</v>
      </c>
      <c r="H1271" s="114">
        <f t="shared" si="422"/>
        <v>26</v>
      </c>
      <c r="I1271" s="114">
        <f>Overview!$E$38</f>
        <v>0</v>
      </c>
      <c r="J1271" s="115">
        <f t="shared" si="423"/>
        <v>0</v>
      </c>
      <c r="K1271" s="116">
        <f>Overview!$H$38</f>
        <v>0</v>
      </c>
      <c r="L1271" s="51" t="e">
        <f t="shared" si="424"/>
        <v>#DIV/0!</v>
      </c>
      <c r="M1271" s="179"/>
      <c r="N1271" s="179" t="s">
        <v>3448</v>
      </c>
      <c r="O1271" s="141">
        <f t="shared" si="425"/>
        <v>0</v>
      </c>
      <c r="P1271" s="181" t="b">
        <f>COUNTIF('Facility Data'!$A$1:$A$1500,"*"&amp;A1271&amp;"*")&gt;0</f>
        <v>0</v>
      </c>
      <c r="Q1271" s="181" t="b">
        <f>COUNTIF('Account Data'!$A$1:$A$1000,"*"&amp;A1271&amp;"*")&gt;0</f>
        <v>0</v>
      </c>
      <c r="R1271" s="182" t="b">
        <f t="shared" si="426"/>
        <v>0</v>
      </c>
      <c r="S1271" s="182" t="b">
        <f t="shared" si="427"/>
        <v>0</v>
      </c>
      <c r="T1271" s="181" t="b">
        <f>COUNTIF('New Items'!$A$1:$A$175,A1271)&gt;0</f>
        <v>0</v>
      </c>
      <c r="U1271" s="181" t="b">
        <f>COUNTIF(Discontinued!$A$1:$A$150,A1271)&gt;0</f>
        <v>0</v>
      </c>
    </row>
    <row r="1272" spans="1:21" s="8" customFormat="1" ht="11.25" x14ac:dyDescent="0.2">
      <c r="A1272" s="152">
        <v>10087163</v>
      </c>
      <c r="B1272" s="10" t="s">
        <v>340</v>
      </c>
      <c r="C1272" s="12" t="s">
        <v>3453</v>
      </c>
      <c r="D1272" s="11" t="s">
        <v>665</v>
      </c>
      <c r="E1272" s="12" t="s">
        <v>769</v>
      </c>
      <c r="F1272" s="13">
        <v>24</v>
      </c>
      <c r="G1272" s="22">
        <f>Overview!$B$38</f>
        <v>26</v>
      </c>
      <c r="H1272" s="114">
        <f t="shared" si="422"/>
        <v>26</v>
      </c>
      <c r="I1272" s="114">
        <f>Overview!$E$38</f>
        <v>0</v>
      </c>
      <c r="J1272" s="115">
        <f t="shared" si="423"/>
        <v>0</v>
      </c>
      <c r="K1272" s="116">
        <f>Overview!$H$38</f>
        <v>0</v>
      </c>
      <c r="L1272" s="51" t="e">
        <f t="shared" si="424"/>
        <v>#DIV/0!</v>
      </c>
      <c r="M1272" s="179"/>
      <c r="N1272" s="179" t="s">
        <v>3448</v>
      </c>
      <c r="O1272" s="141">
        <f t="shared" si="425"/>
        <v>0</v>
      </c>
      <c r="P1272" s="181" t="b">
        <f>COUNTIF('Facility Data'!$A$1:$A$1500,"*"&amp;A1272&amp;"*")&gt;0</f>
        <v>1</v>
      </c>
      <c r="Q1272" s="181" t="b">
        <f>COUNTIF('Account Data'!$A$1:$A$1000,"*"&amp;A1272&amp;"*")&gt;0</f>
        <v>1</v>
      </c>
      <c r="R1272" s="182" t="b">
        <f t="shared" si="426"/>
        <v>1</v>
      </c>
      <c r="S1272" s="182" t="b">
        <f t="shared" si="427"/>
        <v>1</v>
      </c>
      <c r="T1272" s="181" t="b">
        <f>COUNTIF('New Items'!$A$1:$A$175,A1272)&gt;0</f>
        <v>0</v>
      </c>
      <c r="U1272" s="181" t="b">
        <f>COUNTIF(Discontinued!$A$1:$A$150,A1272)&gt;0</f>
        <v>0</v>
      </c>
    </row>
    <row r="1273" spans="1:21" s="8" customFormat="1" ht="12" thickBot="1" x14ac:dyDescent="0.25">
      <c r="A1273" s="152">
        <v>10087165</v>
      </c>
      <c r="B1273" s="10" t="s">
        <v>336</v>
      </c>
      <c r="C1273" s="12" t="s">
        <v>3451</v>
      </c>
      <c r="D1273" s="11" t="s">
        <v>663</v>
      </c>
      <c r="E1273" s="12" t="s">
        <v>769</v>
      </c>
      <c r="F1273" s="13">
        <v>24</v>
      </c>
      <c r="G1273" s="22">
        <f>Overview!$B$38</f>
        <v>26</v>
      </c>
      <c r="H1273" s="114">
        <f t="shared" si="422"/>
        <v>26</v>
      </c>
      <c r="I1273" s="114">
        <f>Overview!$E$38</f>
        <v>0</v>
      </c>
      <c r="J1273" s="115">
        <f t="shared" si="423"/>
        <v>0</v>
      </c>
      <c r="K1273" s="116">
        <f>Overview!$H$38</f>
        <v>0</v>
      </c>
      <c r="L1273" s="117" t="e">
        <f t="shared" si="424"/>
        <v>#DIV/0!</v>
      </c>
      <c r="M1273" s="179"/>
      <c r="N1273" s="179" t="s">
        <v>3448</v>
      </c>
      <c r="O1273" s="141">
        <f t="shared" si="425"/>
        <v>0</v>
      </c>
      <c r="P1273" s="181" t="b">
        <f>COUNTIF('Facility Data'!$A$1:$A$1500,"*"&amp;A1273&amp;"*")&gt;0</f>
        <v>1</v>
      </c>
      <c r="Q1273" s="181" t="b">
        <f>COUNTIF('Account Data'!$A$1:$A$1000,"*"&amp;A1273&amp;"*")&gt;0</f>
        <v>1</v>
      </c>
      <c r="R1273" s="182" t="b">
        <f t="shared" si="426"/>
        <v>1</v>
      </c>
      <c r="S1273" s="182" t="b">
        <f t="shared" si="427"/>
        <v>1</v>
      </c>
      <c r="T1273" s="181" t="b">
        <f>COUNTIF('New Items'!$A$1:$A$175,A1273)&gt;0</f>
        <v>0</v>
      </c>
      <c r="U1273" s="181" t="b">
        <f>COUNTIF(Discontinued!$A$1:$A$150,A1273)&gt;0</f>
        <v>0</v>
      </c>
    </row>
    <row r="1274" spans="1:21" s="8" customFormat="1" ht="13.5" thickBot="1" x14ac:dyDescent="0.25">
      <c r="A1274" s="300" t="s">
        <v>3281</v>
      </c>
      <c r="B1274" s="301"/>
      <c r="C1274" s="301"/>
      <c r="D1274" s="301"/>
      <c r="E1274" s="301"/>
      <c r="F1274" s="301"/>
      <c r="G1274" s="301"/>
      <c r="H1274" s="301"/>
      <c r="I1274" s="301"/>
      <c r="J1274" s="301"/>
      <c r="K1274" s="301"/>
      <c r="L1274" s="302"/>
      <c r="M1274" s="179"/>
      <c r="N1274" s="179" t="s">
        <v>3449</v>
      </c>
      <c r="O1274" s="141">
        <f>AVERAGE(O1275:O1284)</f>
        <v>0</v>
      </c>
      <c r="P1274" s="181" t="b">
        <f>COUNTIF(P1275:P1284,TRUE)&gt;0</f>
        <v>1</v>
      </c>
      <c r="Q1274" s="181" t="b">
        <f>COUNTIF(Q1275:Q1284,TRUE)&gt;0</f>
        <v>1</v>
      </c>
      <c r="R1274" s="181" t="b">
        <f>COUNTIF(R1275:R1284,TRUE)&gt;0</f>
        <v>1</v>
      </c>
      <c r="S1274" s="181" t="b">
        <f>COUNTIF(S1275:S1284,TRUE)&gt;0</f>
        <v>1</v>
      </c>
      <c r="T1274" s="181" t="b">
        <f>COUNTIF(T1275:T1284,TRUE)&gt;0</f>
        <v>0</v>
      </c>
      <c r="U1274" s="249"/>
    </row>
    <row r="1275" spans="1:21" s="8" customFormat="1" ht="11.25" x14ac:dyDescent="0.2">
      <c r="A1275" s="152">
        <v>10087170</v>
      </c>
      <c r="B1275" s="10" t="s">
        <v>1544</v>
      </c>
      <c r="C1275" s="12" t="s">
        <v>1545</v>
      </c>
      <c r="D1275" s="11" t="s">
        <v>1549</v>
      </c>
      <c r="E1275" s="12" t="s">
        <v>769</v>
      </c>
      <c r="F1275" s="13">
        <v>6</v>
      </c>
      <c r="G1275" s="22">
        <f>Overview!$B$39</f>
        <v>26</v>
      </c>
      <c r="H1275" s="114">
        <f t="shared" ref="H1275:H1284" si="428">G1275-I1275</f>
        <v>26</v>
      </c>
      <c r="I1275" s="114">
        <f>Overview!$E$39</f>
        <v>0</v>
      </c>
      <c r="J1275" s="115">
        <f t="shared" ref="J1275:J1284" si="429">I1275/F1275</f>
        <v>0</v>
      </c>
      <c r="K1275" s="116">
        <f>Overview!$H$39</f>
        <v>0</v>
      </c>
      <c r="L1275" s="51" t="e">
        <f t="shared" ref="L1275:L1284" si="430">(K1275-J1275)/K1275</f>
        <v>#DIV/0!</v>
      </c>
      <c r="M1275" s="179"/>
      <c r="N1275" s="179" t="s">
        <v>3449</v>
      </c>
      <c r="O1275" s="141">
        <f t="shared" ref="O1275:O1284" si="431">I1275</f>
        <v>0</v>
      </c>
      <c r="P1275" s="181" t="b">
        <f>COUNTIF('Facility Data'!$A$1:$A$1500,"*"&amp;A1275&amp;"*")&gt;0</f>
        <v>0</v>
      </c>
      <c r="Q1275" s="181" t="b">
        <f>COUNTIF('Account Data'!$A$1:$A$1000,"*"&amp;A1275&amp;"*")&gt;0</f>
        <v>0</v>
      </c>
      <c r="R1275" s="182" t="b">
        <f t="shared" ref="R1275:R1284" si="432">IF(OR(P1275=TRUE,T1275=TRUE),TRUE,FALSE)</f>
        <v>0</v>
      </c>
      <c r="S1275" s="182" t="b">
        <f t="shared" ref="S1275:S1284" si="433">IF(OR(Q1275=TRUE,T1275=TRUE),TRUE,FALSE)</f>
        <v>0</v>
      </c>
      <c r="T1275" s="181" t="b">
        <f>COUNTIF('New Items'!$A$1:$A$175,A1275)&gt;0</f>
        <v>0</v>
      </c>
      <c r="U1275" s="181" t="b">
        <f>COUNTIF(Discontinued!$A$1:$A$150,A1275)&gt;0</f>
        <v>0</v>
      </c>
    </row>
    <row r="1276" spans="1:21" s="8" customFormat="1" ht="11.25" x14ac:dyDescent="0.2">
      <c r="A1276" s="152">
        <v>10087166</v>
      </c>
      <c r="B1276" s="10" t="s">
        <v>346</v>
      </c>
      <c r="C1276" s="12" t="s">
        <v>347</v>
      </c>
      <c r="D1276" s="11" t="s">
        <v>3456</v>
      </c>
      <c r="E1276" s="12" t="s">
        <v>769</v>
      </c>
      <c r="F1276" s="13">
        <v>6</v>
      </c>
      <c r="G1276" s="22">
        <f>Overview!$B$39</f>
        <v>26</v>
      </c>
      <c r="H1276" s="114">
        <f t="shared" si="428"/>
        <v>26</v>
      </c>
      <c r="I1276" s="114">
        <f>Overview!$E$39</f>
        <v>0</v>
      </c>
      <c r="J1276" s="115">
        <f t="shared" si="429"/>
        <v>0</v>
      </c>
      <c r="K1276" s="116">
        <f>Overview!$H$39</f>
        <v>0</v>
      </c>
      <c r="L1276" s="51" t="e">
        <f t="shared" si="430"/>
        <v>#DIV/0!</v>
      </c>
      <c r="M1276" s="179"/>
      <c r="N1276" s="179" t="s">
        <v>3449</v>
      </c>
      <c r="O1276" s="141">
        <f t="shared" si="431"/>
        <v>0</v>
      </c>
      <c r="P1276" s="181" t="b">
        <f>COUNTIF('Facility Data'!$A$1:$A$1500,"*"&amp;A1276&amp;"*")&gt;0</f>
        <v>0</v>
      </c>
      <c r="Q1276" s="181" t="b">
        <f>COUNTIF('Account Data'!$A$1:$A$1000,"*"&amp;A1276&amp;"*")&gt;0</f>
        <v>1</v>
      </c>
      <c r="R1276" s="182" t="b">
        <f t="shared" si="432"/>
        <v>0</v>
      </c>
      <c r="S1276" s="182" t="b">
        <f t="shared" si="433"/>
        <v>1</v>
      </c>
      <c r="T1276" s="181" t="b">
        <f>COUNTIF('New Items'!$A$1:$A$175,A1276)&gt;0</f>
        <v>0</v>
      </c>
      <c r="U1276" s="181" t="b">
        <f>COUNTIF(Discontinued!$A$1:$A$150,A1276)&gt;0</f>
        <v>0</v>
      </c>
    </row>
    <row r="1277" spans="1:21" s="8" customFormat="1" ht="11.25" x14ac:dyDescent="0.2">
      <c r="A1277" s="152">
        <v>10087167</v>
      </c>
      <c r="B1277" s="10" t="s">
        <v>1542</v>
      </c>
      <c r="C1277" s="12" t="s">
        <v>1543</v>
      </c>
      <c r="D1277" s="11" t="s">
        <v>1548</v>
      </c>
      <c r="E1277" s="12" t="s">
        <v>769</v>
      </c>
      <c r="F1277" s="13">
        <v>6</v>
      </c>
      <c r="G1277" s="22">
        <f>Overview!$B$39</f>
        <v>26</v>
      </c>
      <c r="H1277" s="114">
        <f t="shared" si="428"/>
        <v>26</v>
      </c>
      <c r="I1277" s="114">
        <f>Overview!$E$39</f>
        <v>0</v>
      </c>
      <c r="J1277" s="115">
        <f t="shared" si="429"/>
        <v>0</v>
      </c>
      <c r="K1277" s="116">
        <f>Overview!$H$39</f>
        <v>0</v>
      </c>
      <c r="L1277" s="51" t="e">
        <f t="shared" si="430"/>
        <v>#DIV/0!</v>
      </c>
      <c r="M1277" s="179"/>
      <c r="N1277" s="179" t="s">
        <v>3449</v>
      </c>
      <c r="O1277" s="141">
        <f t="shared" si="431"/>
        <v>0</v>
      </c>
      <c r="P1277" s="181" t="b">
        <f>COUNTIF('Facility Data'!$A$1:$A$1500,"*"&amp;A1277&amp;"*")&gt;0</f>
        <v>0</v>
      </c>
      <c r="Q1277" s="181" t="b">
        <f>COUNTIF('Account Data'!$A$1:$A$1000,"*"&amp;A1277&amp;"*")&gt;0</f>
        <v>0</v>
      </c>
      <c r="R1277" s="182" t="b">
        <f t="shared" si="432"/>
        <v>0</v>
      </c>
      <c r="S1277" s="182" t="b">
        <f t="shared" si="433"/>
        <v>0</v>
      </c>
      <c r="T1277" s="181" t="b">
        <f>COUNTIF('New Items'!$A$1:$A$175,A1277)&gt;0</f>
        <v>0</v>
      </c>
      <c r="U1277" s="181" t="b">
        <f>COUNTIF(Discontinued!$A$1:$A$150,A1277)&gt;0</f>
        <v>0</v>
      </c>
    </row>
    <row r="1278" spans="1:21" s="8" customFormat="1" ht="11.25" x14ac:dyDescent="0.2">
      <c r="A1278" s="152">
        <v>10087164</v>
      </c>
      <c r="B1278" s="10" t="s">
        <v>344</v>
      </c>
      <c r="C1278" s="12" t="s">
        <v>345</v>
      </c>
      <c r="D1278" s="11" t="s">
        <v>647</v>
      </c>
      <c r="E1278" s="12" t="s">
        <v>769</v>
      </c>
      <c r="F1278" s="13">
        <v>6</v>
      </c>
      <c r="G1278" s="22">
        <f>Overview!$B$39</f>
        <v>26</v>
      </c>
      <c r="H1278" s="114">
        <f t="shared" si="428"/>
        <v>26</v>
      </c>
      <c r="I1278" s="114">
        <f>Overview!$E$39</f>
        <v>0</v>
      </c>
      <c r="J1278" s="115">
        <f t="shared" si="429"/>
        <v>0</v>
      </c>
      <c r="K1278" s="116">
        <f>Overview!$H$39</f>
        <v>0</v>
      </c>
      <c r="L1278" s="51" t="e">
        <f t="shared" si="430"/>
        <v>#DIV/0!</v>
      </c>
      <c r="M1278" s="179"/>
      <c r="N1278" s="179" t="s">
        <v>3449</v>
      </c>
      <c r="O1278" s="141">
        <f t="shared" si="431"/>
        <v>0</v>
      </c>
      <c r="P1278" s="181" t="b">
        <f>COUNTIF('Facility Data'!$A$1:$A$1500,"*"&amp;A1278&amp;"*")&gt;0</f>
        <v>1</v>
      </c>
      <c r="Q1278" s="181" t="b">
        <f>COUNTIF('Account Data'!$A$1:$A$1000,"*"&amp;A1278&amp;"*")&gt;0</f>
        <v>1</v>
      </c>
      <c r="R1278" s="182" t="b">
        <f t="shared" si="432"/>
        <v>1</v>
      </c>
      <c r="S1278" s="182" t="b">
        <f t="shared" si="433"/>
        <v>1</v>
      </c>
      <c r="T1278" s="181" t="b">
        <f>COUNTIF('New Items'!$A$1:$A$175,A1278)&gt;0</f>
        <v>0</v>
      </c>
      <c r="U1278" s="181" t="b">
        <f>COUNTIF(Discontinued!$A$1:$A$150,A1278)&gt;0</f>
        <v>0</v>
      </c>
    </row>
    <row r="1279" spans="1:21" s="8" customFormat="1" ht="11.25" x14ac:dyDescent="0.2">
      <c r="A1279" s="152">
        <v>10000368</v>
      </c>
      <c r="B1279" s="10" t="s">
        <v>342</v>
      </c>
      <c r="C1279" s="12" t="s">
        <v>343</v>
      </c>
      <c r="D1279" s="11" t="s">
        <v>666</v>
      </c>
      <c r="E1279" s="12" t="s">
        <v>769</v>
      </c>
      <c r="F1279" s="13">
        <v>6</v>
      </c>
      <c r="G1279" s="22">
        <f>Overview!$B$39</f>
        <v>26</v>
      </c>
      <c r="H1279" s="114">
        <f t="shared" si="428"/>
        <v>26</v>
      </c>
      <c r="I1279" s="114">
        <f>Overview!$E$39</f>
        <v>0</v>
      </c>
      <c r="J1279" s="115">
        <f t="shared" si="429"/>
        <v>0</v>
      </c>
      <c r="K1279" s="116">
        <f>Overview!$H$39</f>
        <v>0</v>
      </c>
      <c r="L1279" s="51" t="e">
        <f t="shared" si="430"/>
        <v>#DIV/0!</v>
      </c>
      <c r="M1279" s="179"/>
      <c r="N1279" s="179" t="s">
        <v>3449</v>
      </c>
      <c r="O1279" s="141">
        <f t="shared" si="431"/>
        <v>0</v>
      </c>
      <c r="P1279" s="181" t="b">
        <f>COUNTIF('Facility Data'!$A$1:$A$1500,"*"&amp;A1279&amp;"*")&gt;0</f>
        <v>0</v>
      </c>
      <c r="Q1279" s="181" t="b">
        <f>COUNTIF('Account Data'!$A$1:$A$1000,"*"&amp;A1279&amp;"*")&gt;0</f>
        <v>1</v>
      </c>
      <c r="R1279" s="182" t="b">
        <f t="shared" si="432"/>
        <v>0</v>
      </c>
      <c r="S1279" s="182" t="b">
        <f t="shared" si="433"/>
        <v>1</v>
      </c>
      <c r="T1279" s="181" t="b">
        <f>COUNTIF('New Items'!$A$1:$A$175,A1279)&gt;0</f>
        <v>0</v>
      </c>
      <c r="U1279" s="181" t="b">
        <f>COUNTIF(Discontinued!$A$1:$A$150,A1279)&gt;0</f>
        <v>0</v>
      </c>
    </row>
    <row r="1280" spans="1:21" s="8" customFormat="1" ht="11.25" x14ac:dyDescent="0.2">
      <c r="A1280" s="152">
        <v>10000360</v>
      </c>
      <c r="B1280" s="10" t="s">
        <v>338</v>
      </c>
      <c r="C1280" s="12" t="s">
        <v>339</v>
      </c>
      <c r="D1280" s="11" t="s">
        <v>664</v>
      </c>
      <c r="E1280" s="12" t="s">
        <v>769</v>
      </c>
      <c r="F1280" s="13">
        <v>6</v>
      </c>
      <c r="G1280" s="22">
        <f>Overview!$B$39</f>
        <v>26</v>
      </c>
      <c r="H1280" s="114">
        <f t="shared" si="428"/>
        <v>26</v>
      </c>
      <c r="I1280" s="114">
        <f>Overview!$E$39</f>
        <v>0</v>
      </c>
      <c r="J1280" s="115">
        <f t="shared" si="429"/>
        <v>0</v>
      </c>
      <c r="K1280" s="116">
        <f>Overview!$H$39</f>
        <v>0</v>
      </c>
      <c r="L1280" s="51" t="e">
        <f t="shared" si="430"/>
        <v>#DIV/0!</v>
      </c>
      <c r="M1280" s="179"/>
      <c r="N1280" s="179" t="s">
        <v>3449</v>
      </c>
      <c r="O1280" s="141">
        <f t="shared" si="431"/>
        <v>0</v>
      </c>
      <c r="P1280" s="181" t="b">
        <f>COUNTIF('Facility Data'!$A$1:$A$1500,"*"&amp;A1280&amp;"*")&gt;0</f>
        <v>0</v>
      </c>
      <c r="Q1280" s="181" t="b">
        <f>COUNTIF('Account Data'!$A$1:$A$1000,"*"&amp;A1280&amp;"*")&gt;0</f>
        <v>0</v>
      </c>
      <c r="R1280" s="182" t="b">
        <f t="shared" si="432"/>
        <v>0</v>
      </c>
      <c r="S1280" s="182" t="b">
        <f t="shared" si="433"/>
        <v>0</v>
      </c>
      <c r="T1280" s="181" t="b">
        <f>COUNTIF('New Items'!$A$1:$A$175,A1280)&gt;0</f>
        <v>0</v>
      </c>
      <c r="U1280" s="181" t="b">
        <f>COUNTIF(Discontinued!$A$1:$A$150,A1280)&gt;0</f>
        <v>0</v>
      </c>
    </row>
    <row r="1281" spans="1:21" s="8" customFormat="1" ht="11.25" x14ac:dyDescent="0.2">
      <c r="A1281" s="152">
        <v>10087168</v>
      </c>
      <c r="B1281" s="10" t="s">
        <v>1546</v>
      </c>
      <c r="C1281" s="12" t="s">
        <v>1547</v>
      </c>
      <c r="D1281" s="11" t="s">
        <v>1550</v>
      </c>
      <c r="E1281" s="12" t="s">
        <v>769</v>
      </c>
      <c r="F1281" s="13">
        <v>6</v>
      </c>
      <c r="G1281" s="22">
        <f>Overview!$B$39</f>
        <v>26</v>
      </c>
      <c r="H1281" s="114">
        <f t="shared" si="428"/>
        <v>26</v>
      </c>
      <c r="I1281" s="114">
        <f>Overview!$E$39</f>
        <v>0</v>
      </c>
      <c r="J1281" s="115">
        <f t="shared" si="429"/>
        <v>0</v>
      </c>
      <c r="K1281" s="116">
        <f>Overview!$H$39</f>
        <v>0</v>
      </c>
      <c r="L1281" s="51" t="e">
        <f t="shared" si="430"/>
        <v>#DIV/0!</v>
      </c>
      <c r="M1281" s="179"/>
      <c r="N1281" s="179" t="s">
        <v>3449</v>
      </c>
      <c r="O1281" s="141">
        <f t="shared" si="431"/>
        <v>0</v>
      </c>
      <c r="P1281" s="181" t="b">
        <f>COUNTIF('Facility Data'!$A$1:$A$1500,"*"&amp;A1281&amp;"*")&gt;0</f>
        <v>0</v>
      </c>
      <c r="Q1281" s="181" t="b">
        <f>COUNTIF('Account Data'!$A$1:$A$1000,"*"&amp;A1281&amp;"*")&gt;0</f>
        <v>0</v>
      </c>
      <c r="R1281" s="182" t="b">
        <f t="shared" si="432"/>
        <v>0</v>
      </c>
      <c r="S1281" s="182" t="b">
        <f t="shared" si="433"/>
        <v>0</v>
      </c>
      <c r="T1281" s="181" t="b">
        <f>COUNTIF('New Items'!$A$1:$A$175,A1281)&gt;0</f>
        <v>0</v>
      </c>
      <c r="U1281" s="181" t="b">
        <f>COUNTIF(Discontinued!$A$1:$A$150,A1281)&gt;0</f>
        <v>0</v>
      </c>
    </row>
    <row r="1282" spans="1:21" s="8" customFormat="1" ht="11.25" x14ac:dyDescent="0.2">
      <c r="A1282" s="152">
        <v>10087169</v>
      </c>
      <c r="B1282" s="10" t="s">
        <v>1323</v>
      </c>
      <c r="C1282" s="12" t="s">
        <v>1324</v>
      </c>
      <c r="D1282" s="11" t="s">
        <v>1322</v>
      </c>
      <c r="E1282" s="12" t="s">
        <v>769</v>
      </c>
      <c r="F1282" s="13">
        <v>6</v>
      </c>
      <c r="G1282" s="22">
        <f>Overview!$B$39</f>
        <v>26</v>
      </c>
      <c r="H1282" s="114">
        <f t="shared" si="428"/>
        <v>26</v>
      </c>
      <c r="I1282" s="114">
        <f>Overview!$E$39</f>
        <v>0</v>
      </c>
      <c r="J1282" s="115">
        <f t="shared" si="429"/>
        <v>0</v>
      </c>
      <c r="K1282" s="116">
        <f>Overview!$H$39</f>
        <v>0</v>
      </c>
      <c r="L1282" s="51" t="e">
        <f t="shared" si="430"/>
        <v>#DIV/0!</v>
      </c>
      <c r="M1282" s="179"/>
      <c r="N1282" s="179" t="s">
        <v>3449</v>
      </c>
      <c r="O1282" s="141">
        <f t="shared" si="431"/>
        <v>0</v>
      </c>
      <c r="P1282" s="181" t="b">
        <f>COUNTIF('Facility Data'!$A$1:$A$1500,"*"&amp;A1282&amp;"*")&gt;0</f>
        <v>0</v>
      </c>
      <c r="Q1282" s="181" t="b">
        <f>COUNTIF('Account Data'!$A$1:$A$1000,"*"&amp;A1282&amp;"*")&gt;0</f>
        <v>0</v>
      </c>
      <c r="R1282" s="182" t="b">
        <f t="shared" si="432"/>
        <v>0</v>
      </c>
      <c r="S1282" s="182" t="b">
        <f t="shared" si="433"/>
        <v>0</v>
      </c>
      <c r="T1282" s="181" t="b">
        <f>COUNTIF('New Items'!$A$1:$A$175,A1282)&gt;0</f>
        <v>0</v>
      </c>
      <c r="U1282" s="181" t="b">
        <f>COUNTIF(Discontinued!$A$1:$A$150,A1282)&gt;0</f>
        <v>0</v>
      </c>
    </row>
    <row r="1283" spans="1:21" s="8" customFormat="1" ht="11.25" x14ac:dyDescent="0.2">
      <c r="A1283" s="152">
        <v>10087163</v>
      </c>
      <c r="B1283" s="10" t="s">
        <v>340</v>
      </c>
      <c r="C1283" s="12" t="s">
        <v>341</v>
      </c>
      <c r="D1283" s="11" t="s">
        <v>665</v>
      </c>
      <c r="E1283" s="12" t="s">
        <v>769</v>
      </c>
      <c r="F1283" s="13">
        <v>6</v>
      </c>
      <c r="G1283" s="22">
        <f>Overview!$B$39</f>
        <v>26</v>
      </c>
      <c r="H1283" s="114">
        <f t="shared" si="428"/>
        <v>26</v>
      </c>
      <c r="I1283" s="114">
        <f>Overview!$E$39</f>
        <v>0</v>
      </c>
      <c r="J1283" s="115">
        <f t="shared" si="429"/>
        <v>0</v>
      </c>
      <c r="K1283" s="116">
        <f>Overview!$H$39</f>
        <v>0</v>
      </c>
      <c r="L1283" s="51" t="e">
        <f t="shared" si="430"/>
        <v>#DIV/0!</v>
      </c>
      <c r="M1283" s="179"/>
      <c r="N1283" s="179" t="s">
        <v>3449</v>
      </c>
      <c r="O1283" s="141">
        <f t="shared" si="431"/>
        <v>0</v>
      </c>
      <c r="P1283" s="181" t="b">
        <f>COUNTIF('Facility Data'!$A$1:$A$1500,"*"&amp;A1283&amp;"*")&gt;0</f>
        <v>1</v>
      </c>
      <c r="Q1283" s="181" t="b">
        <f>COUNTIF('Account Data'!$A$1:$A$1000,"*"&amp;A1283&amp;"*")&gt;0</f>
        <v>1</v>
      </c>
      <c r="R1283" s="182" t="b">
        <f t="shared" si="432"/>
        <v>1</v>
      </c>
      <c r="S1283" s="182" t="b">
        <f t="shared" si="433"/>
        <v>1</v>
      </c>
      <c r="T1283" s="181" t="b">
        <f>COUNTIF('New Items'!$A$1:$A$175,A1283)&gt;0</f>
        <v>0</v>
      </c>
      <c r="U1283" s="181" t="b">
        <f>COUNTIF(Discontinued!$A$1:$A$150,A1283)&gt;0</f>
        <v>0</v>
      </c>
    </row>
    <row r="1284" spans="1:21" s="8" customFormat="1" ht="12" thickBot="1" x14ac:dyDescent="0.25">
      <c r="A1284" s="152">
        <v>10087165</v>
      </c>
      <c r="B1284" s="10" t="s">
        <v>336</v>
      </c>
      <c r="C1284" s="12" t="s">
        <v>337</v>
      </c>
      <c r="D1284" s="11" t="s">
        <v>663</v>
      </c>
      <c r="E1284" s="12" t="s">
        <v>769</v>
      </c>
      <c r="F1284" s="13">
        <v>6</v>
      </c>
      <c r="G1284" s="22">
        <f>Overview!$B$39</f>
        <v>26</v>
      </c>
      <c r="H1284" s="114">
        <f t="shared" si="428"/>
        <v>26</v>
      </c>
      <c r="I1284" s="114">
        <f>Overview!$E$39</f>
        <v>0</v>
      </c>
      <c r="J1284" s="115">
        <f t="shared" si="429"/>
        <v>0</v>
      </c>
      <c r="K1284" s="116">
        <f>Overview!$H$39</f>
        <v>0</v>
      </c>
      <c r="L1284" s="117" t="e">
        <f t="shared" si="430"/>
        <v>#DIV/0!</v>
      </c>
      <c r="M1284" s="179"/>
      <c r="N1284" s="179" t="s">
        <v>3449</v>
      </c>
      <c r="O1284" s="141">
        <f t="shared" si="431"/>
        <v>0</v>
      </c>
      <c r="P1284" s="181" t="b">
        <f>COUNTIF('Facility Data'!$A$1:$A$1500,"*"&amp;A1284&amp;"*")&gt;0</f>
        <v>1</v>
      </c>
      <c r="Q1284" s="181" t="b">
        <f>COUNTIF('Account Data'!$A$1:$A$1000,"*"&amp;A1284&amp;"*")&gt;0</f>
        <v>1</v>
      </c>
      <c r="R1284" s="182" t="b">
        <f t="shared" si="432"/>
        <v>1</v>
      </c>
      <c r="S1284" s="182" t="b">
        <f t="shared" si="433"/>
        <v>1</v>
      </c>
      <c r="T1284" s="181" t="b">
        <f>COUNTIF('New Items'!$A$1:$A$175,A1284)&gt;0</f>
        <v>0</v>
      </c>
      <c r="U1284" s="181" t="b">
        <f>COUNTIF(Discontinued!$A$1:$A$150,A1284)&gt;0</f>
        <v>0</v>
      </c>
    </row>
    <row r="1285" spans="1:21" s="8" customFormat="1" ht="13.5" thickBot="1" x14ac:dyDescent="0.25">
      <c r="A1285" s="300" t="s">
        <v>3182</v>
      </c>
      <c r="B1285" s="301"/>
      <c r="C1285" s="301"/>
      <c r="D1285" s="301"/>
      <c r="E1285" s="301"/>
      <c r="F1285" s="301"/>
      <c r="G1285" s="301"/>
      <c r="H1285" s="301"/>
      <c r="I1285" s="301"/>
      <c r="J1285" s="301"/>
      <c r="K1285" s="301"/>
      <c r="L1285" s="302"/>
      <c r="M1285" s="179"/>
      <c r="N1285" s="179" t="s">
        <v>974</v>
      </c>
      <c r="O1285" s="141">
        <f>AVERAGE(O1286:O1290)</f>
        <v>0</v>
      </c>
      <c r="P1285" s="181" t="b">
        <f>COUNTIF(P1286:P1290,TRUE)&gt;0</f>
        <v>1</v>
      </c>
      <c r="Q1285" s="181" t="b">
        <f>COUNTIF(Q1286:Q1290,TRUE)&gt;0</f>
        <v>1</v>
      </c>
      <c r="R1285" s="181" t="b">
        <f>COUNTIF(R1286:R1290,TRUE)&gt;0</f>
        <v>1</v>
      </c>
      <c r="S1285" s="181" t="b">
        <f>COUNTIF(S1286:S1290,TRUE)&gt;0</f>
        <v>1</v>
      </c>
      <c r="T1285" s="181" t="b">
        <f>COUNTIF(T1286:T1290,TRUE)&gt;0</f>
        <v>0</v>
      </c>
      <c r="U1285" s="249"/>
    </row>
    <row r="1286" spans="1:21" s="8" customFormat="1" ht="11.25" x14ac:dyDescent="0.2">
      <c r="A1286" s="152">
        <v>10083936</v>
      </c>
      <c r="B1286" s="10" t="s">
        <v>364</v>
      </c>
      <c r="C1286" s="12" t="s">
        <v>365</v>
      </c>
      <c r="D1286" s="11" t="s">
        <v>681</v>
      </c>
      <c r="E1286" s="12" t="s">
        <v>777</v>
      </c>
      <c r="F1286" s="13">
        <v>12</v>
      </c>
      <c r="G1286" s="22">
        <f>Overview!$B$82</f>
        <v>18</v>
      </c>
      <c r="H1286" s="23">
        <f>G1286-I1286</f>
        <v>18</v>
      </c>
      <c r="I1286" s="114">
        <f>Overview!$E$82</f>
        <v>0</v>
      </c>
      <c r="J1286" s="24">
        <f>I1286/F1286</f>
        <v>0</v>
      </c>
      <c r="K1286" s="116">
        <f>Overview!$H$82</f>
        <v>0</v>
      </c>
      <c r="L1286" s="51" t="e">
        <f>(K1286-J1286)/K1286</f>
        <v>#DIV/0!</v>
      </c>
      <c r="M1286" s="179"/>
      <c r="N1286" s="179" t="s">
        <v>974</v>
      </c>
      <c r="O1286" s="141">
        <f>I1286</f>
        <v>0</v>
      </c>
      <c r="P1286" s="181" t="b">
        <f>COUNTIF('Facility Data'!$A$1:$A$1500,"*"&amp;A1286&amp;"*")&gt;0</f>
        <v>0</v>
      </c>
      <c r="Q1286" s="181" t="b">
        <f>COUNTIF('Account Data'!$A$1:$A$1000,"*"&amp;A1286&amp;"*")&gt;0</f>
        <v>1</v>
      </c>
      <c r="R1286" s="182" t="b">
        <f>IF(OR(P1286=TRUE,T1286=TRUE),TRUE,FALSE)</f>
        <v>0</v>
      </c>
      <c r="S1286" s="182" t="b">
        <f>IF(OR(Q1286=TRUE,T1286=TRUE),TRUE,FALSE)</f>
        <v>1</v>
      </c>
      <c r="T1286" s="181" t="b">
        <f>COUNTIF('New Items'!$A$1:$A$175,A1286)&gt;0</f>
        <v>0</v>
      </c>
      <c r="U1286" s="181" t="b">
        <f>COUNTIF(Discontinued!$A$1:$A$150,A1286)&gt;0</f>
        <v>0</v>
      </c>
    </row>
    <row r="1287" spans="1:21" s="8" customFormat="1" ht="11.25" x14ac:dyDescent="0.2">
      <c r="A1287" s="152">
        <v>10083935</v>
      </c>
      <c r="B1287" s="10" t="s">
        <v>366</v>
      </c>
      <c r="C1287" s="12" t="s">
        <v>367</v>
      </c>
      <c r="D1287" s="11" t="s">
        <v>682</v>
      </c>
      <c r="E1287" s="12" t="s">
        <v>777</v>
      </c>
      <c r="F1287" s="13">
        <v>12</v>
      </c>
      <c r="G1287" s="22">
        <f>Overview!$B$82</f>
        <v>18</v>
      </c>
      <c r="H1287" s="23">
        <f>G1287-I1287</f>
        <v>18</v>
      </c>
      <c r="I1287" s="114">
        <f>Overview!$E$82</f>
        <v>0</v>
      </c>
      <c r="J1287" s="24">
        <f>I1287/F1287</f>
        <v>0</v>
      </c>
      <c r="K1287" s="116">
        <f>Overview!$H$82</f>
        <v>0</v>
      </c>
      <c r="L1287" s="51" t="e">
        <f>(K1287-J1287)/K1287</f>
        <v>#DIV/0!</v>
      </c>
      <c r="M1287" s="179"/>
      <c r="N1287" s="179" t="s">
        <v>974</v>
      </c>
      <c r="O1287" s="141">
        <f>I1287</f>
        <v>0</v>
      </c>
      <c r="P1287" s="181" t="b">
        <f>COUNTIF('Facility Data'!$A$1:$A$1500,"*"&amp;A1287&amp;"*")&gt;0</f>
        <v>1</v>
      </c>
      <c r="Q1287" s="181" t="b">
        <f>COUNTIF('Account Data'!$A$1:$A$1000,"*"&amp;A1287&amp;"*")&gt;0</f>
        <v>1</v>
      </c>
      <c r="R1287" s="182" t="b">
        <f>IF(OR(P1287=TRUE,T1287=TRUE),TRUE,FALSE)</f>
        <v>1</v>
      </c>
      <c r="S1287" s="182" t="b">
        <f>IF(OR(Q1287=TRUE,T1287=TRUE),TRUE,FALSE)</f>
        <v>1</v>
      </c>
      <c r="T1287" s="181" t="b">
        <f>COUNTIF('New Items'!$A$1:$A$175,A1287)&gt;0</f>
        <v>0</v>
      </c>
      <c r="U1287" s="181" t="b">
        <f>COUNTIF(Discontinued!$A$1:$A$150,A1287)&gt;0</f>
        <v>0</v>
      </c>
    </row>
    <row r="1288" spans="1:21" s="8" customFormat="1" ht="11.25" x14ac:dyDescent="0.2">
      <c r="A1288" s="152">
        <v>10079085</v>
      </c>
      <c r="B1288" s="10" t="s">
        <v>4035</v>
      </c>
      <c r="C1288" s="12" t="s">
        <v>363</v>
      </c>
      <c r="D1288" s="11" t="s">
        <v>680</v>
      </c>
      <c r="E1288" s="12" t="s">
        <v>777</v>
      </c>
      <c r="F1288" s="13">
        <v>12</v>
      </c>
      <c r="G1288" s="22">
        <f>Overview!$B$82</f>
        <v>18</v>
      </c>
      <c r="H1288" s="23">
        <f>G1288-I1288</f>
        <v>18</v>
      </c>
      <c r="I1288" s="114">
        <f>Overview!$E$82</f>
        <v>0</v>
      </c>
      <c r="J1288" s="24">
        <f>I1288/F1288</f>
        <v>0</v>
      </c>
      <c r="K1288" s="116">
        <f>Overview!$H$82</f>
        <v>0</v>
      </c>
      <c r="L1288" s="51" t="e">
        <f>(K1288-J1288)/K1288</f>
        <v>#DIV/0!</v>
      </c>
      <c r="M1288" s="179"/>
      <c r="N1288" s="179" t="s">
        <v>974</v>
      </c>
      <c r="O1288" s="141">
        <f>I1288</f>
        <v>0</v>
      </c>
      <c r="P1288" s="181" t="b">
        <f>COUNTIF('Facility Data'!$A$1:$A$1500,"*"&amp;A1288&amp;"*")&gt;0</f>
        <v>1</v>
      </c>
      <c r="Q1288" s="181" t="b">
        <f>COUNTIF('Account Data'!$A$1:$A$1000,"*"&amp;A1288&amp;"*")&gt;0</f>
        <v>1</v>
      </c>
      <c r="R1288" s="182" t="b">
        <f>IF(OR(P1288=TRUE,T1288=TRUE),TRUE,FALSE)</f>
        <v>1</v>
      </c>
      <c r="S1288" s="182" t="b">
        <f>IF(OR(Q1288=TRUE,T1288=TRUE),TRUE,FALSE)</f>
        <v>1</v>
      </c>
      <c r="T1288" s="181" t="b">
        <f>COUNTIF('New Items'!$A$1:$A$175,A1288)&gt;0</f>
        <v>0</v>
      </c>
      <c r="U1288" s="181" t="b">
        <f>COUNTIF(Discontinued!$A$1:$A$150,A1288)&gt;0</f>
        <v>0</v>
      </c>
    </row>
    <row r="1289" spans="1:21" s="8" customFormat="1" ht="11.25" x14ac:dyDescent="0.2">
      <c r="A1289" s="152">
        <v>10079084</v>
      </c>
      <c r="B1289" s="10" t="s">
        <v>4034</v>
      </c>
      <c r="C1289" s="12" t="s">
        <v>362</v>
      </c>
      <c r="D1289" s="11" t="s">
        <v>679</v>
      </c>
      <c r="E1289" s="12" t="s">
        <v>777</v>
      </c>
      <c r="F1289" s="13">
        <v>12</v>
      </c>
      <c r="G1289" s="22">
        <f>Overview!$B$82</f>
        <v>18</v>
      </c>
      <c r="H1289" s="114">
        <f>G1289-I1289</f>
        <v>18</v>
      </c>
      <c r="I1289" s="114">
        <f>Overview!$E$82</f>
        <v>0</v>
      </c>
      <c r="J1289" s="115">
        <f>I1289/F1289</f>
        <v>0</v>
      </c>
      <c r="K1289" s="116">
        <f>Overview!$H$82</f>
        <v>0</v>
      </c>
      <c r="L1289" s="117" t="e">
        <f>(K1289-J1289)/K1289</f>
        <v>#DIV/0!</v>
      </c>
      <c r="M1289" s="179"/>
      <c r="N1289" s="179" t="s">
        <v>974</v>
      </c>
      <c r="O1289" s="141">
        <f>I1289</f>
        <v>0</v>
      </c>
      <c r="P1289" s="181" t="b">
        <f>COUNTIF('Facility Data'!$A$1:$A$1500,"*"&amp;A1289&amp;"*")&gt;0</f>
        <v>1</v>
      </c>
      <c r="Q1289" s="181" t="b">
        <f>COUNTIF('Account Data'!$A$1:$A$1000,"*"&amp;A1289&amp;"*")&gt;0</f>
        <v>1</v>
      </c>
      <c r="R1289" s="182" t="b">
        <f>IF(OR(P1289=TRUE,T1289=TRUE),TRUE,FALSE)</f>
        <v>1</v>
      </c>
      <c r="S1289" s="182" t="b">
        <f>IF(OR(Q1289=TRUE,T1289=TRUE),TRUE,FALSE)</f>
        <v>1</v>
      </c>
      <c r="T1289" s="181" t="b">
        <f>COUNTIF('New Items'!$A$1:$A$175,A1289)&gt;0</f>
        <v>0</v>
      </c>
      <c r="U1289" s="181" t="b">
        <f>COUNTIF(Discontinued!$A$1:$A$150,A1289)&gt;0</f>
        <v>0</v>
      </c>
    </row>
    <row r="1290" spans="1:21" s="8" customFormat="1" ht="12" thickBot="1" x14ac:dyDescent="0.25">
      <c r="A1290" s="152">
        <v>10079086</v>
      </c>
      <c r="B1290" s="10" t="s">
        <v>4036</v>
      </c>
      <c r="C1290" s="12" t="s">
        <v>361</v>
      </c>
      <c r="D1290" s="11" t="s">
        <v>678</v>
      </c>
      <c r="E1290" s="12" t="s">
        <v>777</v>
      </c>
      <c r="F1290" s="13">
        <v>12</v>
      </c>
      <c r="G1290" s="22">
        <f>Overview!$B$82</f>
        <v>18</v>
      </c>
      <c r="H1290" s="23">
        <f>G1290-I1290</f>
        <v>18</v>
      </c>
      <c r="I1290" s="114">
        <f>Overview!$E$82</f>
        <v>0</v>
      </c>
      <c r="J1290" s="24">
        <f>I1290/F1290</f>
        <v>0</v>
      </c>
      <c r="K1290" s="116">
        <f>Overview!$H$82</f>
        <v>0</v>
      </c>
      <c r="L1290" s="51" t="e">
        <f>(K1290-J1290)/K1290</f>
        <v>#DIV/0!</v>
      </c>
      <c r="M1290" s="179"/>
      <c r="N1290" s="179" t="s">
        <v>974</v>
      </c>
      <c r="O1290" s="141">
        <f>I1290</f>
        <v>0</v>
      </c>
      <c r="P1290" s="181" t="b">
        <f>COUNTIF('Facility Data'!$A$1:$A$1500,"*"&amp;A1290&amp;"*")&gt;0</f>
        <v>1</v>
      </c>
      <c r="Q1290" s="181" t="b">
        <f>COUNTIF('Account Data'!$A$1:$A$1000,"*"&amp;A1290&amp;"*")&gt;0</f>
        <v>1</v>
      </c>
      <c r="R1290" s="182" t="b">
        <f>IF(OR(P1290=TRUE,T1290=TRUE),TRUE,FALSE)</f>
        <v>1</v>
      </c>
      <c r="S1290" s="182" t="b">
        <f>IF(OR(Q1290=TRUE,T1290=TRUE),TRUE,FALSE)</f>
        <v>1</v>
      </c>
      <c r="T1290" s="181" t="b">
        <f>COUNTIF('New Items'!$A$1:$A$175,A1290)&gt;0</f>
        <v>0</v>
      </c>
      <c r="U1290" s="181" t="b">
        <f>COUNTIF(Discontinued!$A$1:$A$150,A1290)&gt;0</f>
        <v>0</v>
      </c>
    </row>
    <row r="1291" spans="1:21" s="8" customFormat="1" ht="13.5" thickBot="1" x14ac:dyDescent="0.25">
      <c r="A1291" s="300" t="s">
        <v>3183</v>
      </c>
      <c r="B1291" s="301"/>
      <c r="C1291" s="301"/>
      <c r="D1291" s="301"/>
      <c r="E1291" s="301"/>
      <c r="F1291" s="301"/>
      <c r="G1291" s="301"/>
      <c r="H1291" s="301"/>
      <c r="I1291" s="301"/>
      <c r="J1291" s="301"/>
      <c r="K1291" s="301"/>
      <c r="L1291" s="302"/>
      <c r="M1291" s="179"/>
      <c r="N1291" s="179" t="s">
        <v>975</v>
      </c>
      <c r="O1291" s="141">
        <f>AVERAGE(O1292:O1294)</f>
        <v>0</v>
      </c>
      <c r="P1291" s="181" t="b">
        <f>COUNTIF(P1292:P1294,TRUE)&gt;0</f>
        <v>1</v>
      </c>
      <c r="Q1291" s="181" t="b">
        <f>COUNTIF(Q1292:Q1294,TRUE)&gt;0</f>
        <v>0</v>
      </c>
      <c r="R1291" s="181" t="b">
        <f>COUNTIF(R1292:R1294,TRUE)&gt;0</f>
        <v>1</v>
      </c>
      <c r="S1291" s="181" t="b">
        <f>COUNTIF(S1292:S1294,TRUE)&gt;0</f>
        <v>0</v>
      </c>
      <c r="T1291" s="181" t="b">
        <f>COUNTIF(T1292:T1294,TRUE)&gt;0</f>
        <v>0</v>
      </c>
      <c r="U1291" s="249"/>
    </row>
    <row r="1292" spans="1:21" s="8" customFormat="1" ht="11.25" x14ac:dyDescent="0.2">
      <c r="A1292" s="152">
        <v>10084026</v>
      </c>
      <c r="B1292" s="10" t="s">
        <v>4039</v>
      </c>
      <c r="C1292" s="14" t="s">
        <v>370</v>
      </c>
      <c r="D1292" s="11" t="s">
        <v>680</v>
      </c>
      <c r="E1292" s="12" t="s">
        <v>777</v>
      </c>
      <c r="F1292" s="13">
        <v>4</v>
      </c>
      <c r="G1292" s="22">
        <f>Overview!$B$83</f>
        <v>30</v>
      </c>
      <c r="H1292" s="23">
        <f>G1292-I1292</f>
        <v>30</v>
      </c>
      <c r="I1292" s="114">
        <f>Overview!$E$83</f>
        <v>0</v>
      </c>
      <c r="J1292" s="24">
        <f>I1292/F1292</f>
        <v>0</v>
      </c>
      <c r="K1292" s="116">
        <f>Overview!$H$83</f>
        <v>0</v>
      </c>
      <c r="L1292" s="51" t="e">
        <f>(K1292-J1292)/K1292</f>
        <v>#DIV/0!</v>
      </c>
      <c r="M1292" s="179"/>
      <c r="N1292" s="179" t="s">
        <v>975</v>
      </c>
      <c r="O1292" s="141">
        <f>I1292</f>
        <v>0</v>
      </c>
      <c r="P1292" s="181" t="b">
        <f>COUNTIF('Facility Data'!$A$1:$A$1500,"*"&amp;A1292&amp;"*")&gt;0</f>
        <v>1</v>
      </c>
      <c r="Q1292" s="181" t="b">
        <f>COUNTIF('Account Data'!$A$1:$A$1000,"*"&amp;A1292&amp;"*")&gt;0</f>
        <v>0</v>
      </c>
      <c r="R1292" s="182" t="b">
        <f>IF(OR(P1292=TRUE,T1292=TRUE),TRUE,FALSE)</f>
        <v>1</v>
      </c>
      <c r="S1292" s="182" t="b">
        <f>IF(OR(Q1292=TRUE,T1292=TRUE),TRUE,FALSE)</f>
        <v>0</v>
      </c>
      <c r="T1292" s="181" t="b">
        <f>COUNTIF('New Items'!$A$1:$A$175,A1292)&gt;0</f>
        <v>0</v>
      </c>
      <c r="U1292" s="181" t="b">
        <f>COUNTIF(Discontinued!$A$1:$A$150,A1292)&gt;0</f>
        <v>0</v>
      </c>
    </row>
    <row r="1293" spans="1:21" s="8" customFormat="1" ht="11.25" x14ac:dyDescent="0.2">
      <c r="A1293" s="152">
        <v>10084025</v>
      </c>
      <c r="B1293" s="10" t="s">
        <v>4038</v>
      </c>
      <c r="C1293" s="14" t="s">
        <v>369</v>
      </c>
      <c r="D1293" s="11" t="s">
        <v>679</v>
      </c>
      <c r="E1293" s="12" t="s">
        <v>777</v>
      </c>
      <c r="F1293" s="13">
        <v>4</v>
      </c>
      <c r="G1293" s="22">
        <f>Overview!$B$83</f>
        <v>30</v>
      </c>
      <c r="H1293" s="23">
        <f>G1293-I1293</f>
        <v>30</v>
      </c>
      <c r="I1293" s="114">
        <f>Overview!$E$83</f>
        <v>0</v>
      </c>
      <c r="J1293" s="24">
        <f>I1293/F1293</f>
        <v>0</v>
      </c>
      <c r="K1293" s="116">
        <f>Overview!$H$83</f>
        <v>0</v>
      </c>
      <c r="L1293" s="51" t="e">
        <f>(K1293-J1293)/K1293</f>
        <v>#DIV/0!</v>
      </c>
      <c r="M1293" s="179"/>
      <c r="N1293" s="179" t="s">
        <v>975</v>
      </c>
      <c r="O1293" s="141">
        <f>I1293</f>
        <v>0</v>
      </c>
      <c r="P1293" s="181" t="b">
        <f>COUNTIF('Facility Data'!$A$1:$A$1500,"*"&amp;A1293&amp;"*")&gt;0</f>
        <v>1</v>
      </c>
      <c r="Q1293" s="181" t="b">
        <f>COUNTIF('Account Data'!$A$1:$A$1000,"*"&amp;A1293&amp;"*")&gt;0</f>
        <v>0</v>
      </c>
      <c r="R1293" s="182" t="b">
        <f>IF(OR(P1293=TRUE,T1293=TRUE),TRUE,FALSE)</f>
        <v>1</v>
      </c>
      <c r="S1293" s="182" t="b">
        <f>IF(OR(Q1293=TRUE,T1293=TRUE),TRUE,FALSE)</f>
        <v>0</v>
      </c>
      <c r="T1293" s="181" t="b">
        <f>COUNTIF('New Items'!$A$1:$A$175,A1293)&gt;0</f>
        <v>0</v>
      </c>
      <c r="U1293" s="181" t="b">
        <f>COUNTIF(Discontinued!$A$1:$A$150,A1293)&gt;0</f>
        <v>0</v>
      </c>
    </row>
    <row r="1294" spans="1:21" s="8" customFormat="1" ht="12" thickBot="1" x14ac:dyDescent="0.25">
      <c r="A1294" s="152">
        <v>10084024</v>
      </c>
      <c r="B1294" s="10" t="s">
        <v>4037</v>
      </c>
      <c r="C1294" s="14" t="s">
        <v>368</v>
      </c>
      <c r="D1294" s="11" t="s">
        <v>678</v>
      </c>
      <c r="E1294" s="12" t="s">
        <v>777</v>
      </c>
      <c r="F1294" s="13">
        <v>4</v>
      </c>
      <c r="G1294" s="22">
        <f>Overview!$B$83</f>
        <v>30</v>
      </c>
      <c r="H1294" s="23">
        <f>G1294-I1294</f>
        <v>30</v>
      </c>
      <c r="I1294" s="114">
        <f>Overview!$E$83</f>
        <v>0</v>
      </c>
      <c r="J1294" s="24">
        <f>I1294/F1294</f>
        <v>0</v>
      </c>
      <c r="K1294" s="116">
        <f>Overview!$H$83</f>
        <v>0</v>
      </c>
      <c r="L1294" s="51" t="e">
        <f>(K1294-J1294)/K1294</f>
        <v>#DIV/0!</v>
      </c>
      <c r="M1294" s="179"/>
      <c r="N1294" s="179" t="s">
        <v>975</v>
      </c>
      <c r="O1294" s="141">
        <f>I1294</f>
        <v>0</v>
      </c>
      <c r="P1294" s="181" t="b">
        <f>COUNTIF('Facility Data'!$A$1:$A$1500,"*"&amp;A1294&amp;"*")&gt;0</f>
        <v>1</v>
      </c>
      <c r="Q1294" s="181" t="b">
        <f>COUNTIF('Account Data'!$A$1:$A$1000,"*"&amp;A1294&amp;"*")&gt;0</f>
        <v>0</v>
      </c>
      <c r="R1294" s="182" t="b">
        <f>IF(OR(P1294=TRUE,T1294=TRUE),TRUE,FALSE)</f>
        <v>1</v>
      </c>
      <c r="S1294" s="182" t="b">
        <f>IF(OR(Q1294=TRUE,T1294=TRUE),TRUE,FALSE)</f>
        <v>0</v>
      </c>
      <c r="T1294" s="181" t="b">
        <f>COUNTIF('New Items'!$A$1:$A$175,A1294)&gt;0</f>
        <v>0</v>
      </c>
      <c r="U1294" s="181" t="b">
        <f>COUNTIF(Discontinued!$A$1:$A$150,A1294)&gt;0</f>
        <v>0</v>
      </c>
    </row>
    <row r="1295" spans="1:21" s="8" customFormat="1" ht="13.5" thickBot="1" x14ac:dyDescent="0.25">
      <c r="A1295" s="300" t="s">
        <v>3184</v>
      </c>
      <c r="B1295" s="301"/>
      <c r="C1295" s="301"/>
      <c r="D1295" s="301"/>
      <c r="E1295" s="301"/>
      <c r="F1295" s="301"/>
      <c r="G1295" s="301"/>
      <c r="H1295" s="301"/>
      <c r="I1295" s="301"/>
      <c r="J1295" s="301"/>
      <c r="K1295" s="301"/>
      <c r="L1295" s="302"/>
      <c r="M1295" s="179"/>
      <c r="N1295" s="179" t="s">
        <v>1251</v>
      </c>
      <c r="O1295" s="141">
        <f>AVERAGE(O1296:O1298)</f>
        <v>0</v>
      </c>
      <c r="P1295" s="181" t="b">
        <f>COUNTIF(P1296:P1298,TRUE)&gt;0</f>
        <v>1</v>
      </c>
      <c r="Q1295" s="181" t="b">
        <f>COUNTIF(Q1296:Q1298,TRUE)&gt;0</f>
        <v>0</v>
      </c>
      <c r="R1295" s="181" t="b">
        <f>COUNTIF(R1296:R1298,TRUE)&gt;0</f>
        <v>1</v>
      </c>
      <c r="S1295" s="181" t="b">
        <f>COUNTIF(S1296:S1298,TRUE)&gt;0</f>
        <v>0</v>
      </c>
      <c r="T1295" s="181" t="b">
        <f>COUNTIF(T1296:T1298,TRUE)&gt;0</f>
        <v>0</v>
      </c>
      <c r="U1295" s="249"/>
    </row>
    <row r="1296" spans="1:21" s="8" customFormat="1" ht="11.25" x14ac:dyDescent="0.2">
      <c r="A1296" s="160">
        <v>10121083</v>
      </c>
      <c r="B1296" s="231" t="s">
        <v>1110</v>
      </c>
      <c r="C1296" s="124" t="s">
        <v>1113</v>
      </c>
      <c r="D1296" s="119" t="s">
        <v>680</v>
      </c>
      <c r="E1296" s="118" t="s">
        <v>780</v>
      </c>
      <c r="F1296" s="120">
        <v>8</v>
      </c>
      <c r="G1296" s="121">
        <f>Overview!$B$84</f>
        <v>24</v>
      </c>
      <c r="H1296" s="114">
        <f>G1296-I1296</f>
        <v>24</v>
      </c>
      <c r="I1296" s="114">
        <f>Overview!$E$84</f>
        <v>0</v>
      </c>
      <c r="J1296" s="115">
        <f>I1296/F1296</f>
        <v>0</v>
      </c>
      <c r="K1296" s="116">
        <f>Overview!$H$84</f>
        <v>0</v>
      </c>
      <c r="L1296" s="117" t="e">
        <f>(K1296-J1296)/K1296</f>
        <v>#DIV/0!</v>
      </c>
      <c r="M1296" s="179"/>
      <c r="N1296" s="179" t="s">
        <v>1251</v>
      </c>
      <c r="O1296" s="141">
        <f>I1296</f>
        <v>0</v>
      </c>
      <c r="P1296" s="181" t="b">
        <f>COUNTIF('Facility Data'!$A$1:$A$1500,"*"&amp;A1296&amp;"*")&gt;0</f>
        <v>1</v>
      </c>
      <c r="Q1296" s="181" t="b">
        <f>COUNTIF('Account Data'!$A$1:$A$1000,"*"&amp;A1296&amp;"*")&gt;0</f>
        <v>0</v>
      </c>
      <c r="R1296" s="182" t="b">
        <f>IF(OR(P1296=TRUE,T1296=TRUE),TRUE,FALSE)</f>
        <v>1</v>
      </c>
      <c r="S1296" s="182" t="b">
        <f>IF(OR(Q1296=TRUE,T1296=TRUE),TRUE,FALSE)</f>
        <v>0</v>
      </c>
      <c r="T1296" s="181" t="b">
        <f>COUNTIF('New Items'!$A$1:$A$175,A1296)&gt;0</f>
        <v>0</v>
      </c>
      <c r="U1296" s="181" t="b">
        <f>COUNTIF(Discontinued!$A$1:$A$150,A1296)&gt;0</f>
        <v>0</v>
      </c>
    </row>
    <row r="1297" spans="1:21" s="8" customFormat="1" ht="11.25" x14ac:dyDescent="0.2">
      <c r="A1297" s="160">
        <v>10121082</v>
      </c>
      <c r="B1297" s="231" t="s">
        <v>1108</v>
      </c>
      <c r="C1297" s="124" t="s">
        <v>1111</v>
      </c>
      <c r="D1297" s="119" t="s">
        <v>679</v>
      </c>
      <c r="E1297" s="118" t="s">
        <v>780</v>
      </c>
      <c r="F1297" s="120">
        <v>8</v>
      </c>
      <c r="G1297" s="121">
        <f>Overview!$B$84</f>
        <v>24</v>
      </c>
      <c r="H1297" s="114">
        <f>G1297-I1297</f>
        <v>24</v>
      </c>
      <c r="I1297" s="114">
        <f>Overview!$E$84</f>
        <v>0</v>
      </c>
      <c r="J1297" s="115">
        <f>I1297/F1297</f>
        <v>0</v>
      </c>
      <c r="K1297" s="116">
        <f>Overview!$H$84</f>
        <v>0</v>
      </c>
      <c r="L1297" s="117" t="e">
        <f>(K1297-J1297)/K1297</f>
        <v>#DIV/0!</v>
      </c>
      <c r="M1297" s="179"/>
      <c r="N1297" s="179" t="s">
        <v>1251</v>
      </c>
      <c r="O1297" s="141">
        <f>I1297</f>
        <v>0</v>
      </c>
      <c r="P1297" s="181" t="b">
        <f>COUNTIF('Facility Data'!$A$1:$A$1500,"*"&amp;A1297&amp;"*")&gt;0</f>
        <v>1</v>
      </c>
      <c r="Q1297" s="181" t="b">
        <f>COUNTIF('Account Data'!$A$1:$A$1000,"*"&amp;A1297&amp;"*")&gt;0</f>
        <v>0</v>
      </c>
      <c r="R1297" s="182" t="b">
        <f>IF(OR(P1297=TRUE,T1297=TRUE),TRUE,FALSE)</f>
        <v>1</v>
      </c>
      <c r="S1297" s="182" t="b">
        <f>IF(OR(Q1297=TRUE,T1297=TRUE),TRUE,FALSE)</f>
        <v>0</v>
      </c>
      <c r="T1297" s="181" t="b">
        <f>COUNTIF('New Items'!$A$1:$A$175,A1297)&gt;0</f>
        <v>0</v>
      </c>
      <c r="U1297" s="181" t="b">
        <f>COUNTIF(Discontinued!$A$1:$A$150,A1297)&gt;0</f>
        <v>0</v>
      </c>
    </row>
    <row r="1298" spans="1:21" s="8" customFormat="1" ht="12" thickBot="1" x14ac:dyDescent="0.25">
      <c r="A1298" s="160">
        <v>10121081</v>
      </c>
      <c r="B1298" s="231" t="s">
        <v>1109</v>
      </c>
      <c r="C1298" s="124" t="s">
        <v>1112</v>
      </c>
      <c r="D1298" s="119" t="s">
        <v>678</v>
      </c>
      <c r="E1298" s="118" t="s">
        <v>780</v>
      </c>
      <c r="F1298" s="120">
        <v>8</v>
      </c>
      <c r="G1298" s="121">
        <f>Overview!$B$84</f>
        <v>24</v>
      </c>
      <c r="H1298" s="114">
        <f>G1298-I1298</f>
        <v>24</v>
      </c>
      <c r="I1298" s="114">
        <f>Overview!$E$84</f>
        <v>0</v>
      </c>
      <c r="J1298" s="115">
        <f>I1298/F1298</f>
        <v>0</v>
      </c>
      <c r="K1298" s="116">
        <f>Overview!$H$84</f>
        <v>0</v>
      </c>
      <c r="L1298" s="117" t="e">
        <f>(K1298-J1298)/K1298</f>
        <v>#DIV/0!</v>
      </c>
      <c r="M1298" s="179"/>
      <c r="N1298" s="179" t="s">
        <v>1251</v>
      </c>
      <c r="O1298" s="141">
        <f>I1298</f>
        <v>0</v>
      </c>
      <c r="P1298" s="181" t="b">
        <f>COUNTIF('Facility Data'!$A$1:$A$1500,"*"&amp;A1298&amp;"*")&gt;0</f>
        <v>1</v>
      </c>
      <c r="Q1298" s="181" t="b">
        <f>COUNTIF('Account Data'!$A$1:$A$1000,"*"&amp;A1298&amp;"*")&gt;0</f>
        <v>0</v>
      </c>
      <c r="R1298" s="182" t="b">
        <f>IF(OR(P1298=TRUE,T1298=TRUE),TRUE,FALSE)</f>
        <v>1</v>
      </c>
      <c r="S1298" s="182" t="b">
        <f>IF(OR(Q1298=TRUE,T1298=TRUE),TRUE,FALSE)</f>
        <v>0</v>
      </c>
      <c r="T1298" s="181" t="b">
        <f>COUNTIF('New Items'!$A$1:$A$175,A1298)&gt;0</f>
        <v>0</v>
      </c>
      <c r="U1298" s="181" t="b">
        <f>COUNTIF(Discontinued!$A$1:$A$150,A1298)&gt;0</f>
        <v>0</v>
      </c>
    </row>
    <row r="1299" spans="1:21" s="8" customFormat="1" ht="13.5" thickBot="1" x14ac:dyDescent="0.25">
      <c r="A1299" s="300" t="s">
        <v>498</v>
      </c>
      <c r="B1299" s="301"/>
      <c r="C1299" s="301"/>
      <c r="D1299" s="301"/>
      <c r="E1299" s="301"/>
      <c r="F1299" s="301"/>
      <c r="G1299" s="301"/>
      <c r="H1299" s="301"/>
      <c r="I1299" s="301"/>
      <c r="J1299" s="301"/>
      <c r="K1299" s="301"/>
      <c r="L1299" s="302"/>
      <c r="M1299" s="179"/>
      <c r="N1299" s="179" t="s">
        <v>985</v>
      </c>
      <c r="O1299" s="141">
        <f>AVERAGE(O1300:O1309)</f>
        <v>0</v>
      </c>
      <c r="P1299" s="181" t="b">
        <f>COUNTIF(P1300:P1309,TRUE)&gt;0</f>
        <v>1</v>
      </c>
      <c r="Q1299" s="181" t="b">
        <f>COUNTIF(Q1300:Q1309,TRUE)&gt;0</f>
        <v>1</v>
      </c>
      <c r="R1299" s="181" t="b">
        <f>COUNTIF(R1300:R1309,TRUE)&gt;0</f>
        <v>1</v>
      </c>
      <c r="S1299" s="181" t="b">
        <f>COUNTIF(S1300:S1309,TRUE)&gt;0</f>
        <v>1</v>
      </c>
      <c r="T1299" s="181" t="b">
        <f>COUNTIF(T1300:T1309,TRUE)&gt;0</f>
        <v>0</v>
      </c>
      <c r="U1299" s="249"/>
    </row>
    <row r="1300" spans="1:21" s="8" customFormat="1" ht="11.25" x14ac:dyDescent="0.2">
      <c r="A1300" s="152">
        <v>20019320</v>
      </c>
      <c r="B1300" s="10" t="s">
        <v>506</v>
      </c>
      <c r="C1300" s="12" t="s">
        <v>507</v>
      </c>
      <c r="D1300" s="11" t="s">
        <v>731</v>
      </c>
      <c r="E1300" s="12" t="s">
        <v>772</v>
      </c>
      <c r="F1300" s="13">
        <v>12</v>
      </c>
      <c r="G1300" s="22">
        <f>Overview!$B$103</f>
        <v>16</v>
      </c>
      <c r="H1300" s="23">
        <f t="shared" ref="H1300:H1309" si="434">G1300-I1300</f>
        <v>16</v>
      </c>
      <c r="I1300" s="114">
        <f>Overview!$E$103</f>
        <v>0</v>
      </c>
      <c r="J1300" s="24">
        <f t="shared" ref="J1300:J1309" si="435">I1300/F1300</f>
        <v>0</v>
      </c>
      <c r="K1300" s="116">
        <f>Overview!$H$103</f>
        <v>0</v>
      </c>
      <c r="L1300" s="51" t="e">
        <f t="shared" ref="L1300:L1309" si="436">(K1300-J1300)/K1300</f>
        <v>#DIV/0!</v>
      </c>
      <c r="M1300" s="179"/>
      <c r="N1300" s="179" t="s">
        <v>985</v>
      </c>
      <c r="O1300" s="141">
        <f t="shared" ref="O1300:O1309" si="437">I1300</f>
        <v>0</v>
      </c>
      <c r="P1300" s="181" t="b">
        <f>COUNTIF('Facility Data'!$A$1:$A$1500,"*"&amp;A1300&amp;"*")&gt;0</f>
        <v>0</v>
      </c>
      <c r="Q1300" s="181" t="b">
        <f>COUNTIF('Account Data'!$A$1:$A$1000,"*"&amp;A1300&amp;"*")&gt;0</f>
        <v>1</v>
      </c>
      <c r="R1300" s="182" t="b">
        <f t="shared" ref="R1300:R1309" si="438">IF(OR(P1300=TRUE,T1300=TRUE),TRUE,FALSE)</f>
        <v>0</v>
      </c>
      <c r="S1300" s="182" t="b">
        <f t="shared" ref="S1300:S1309" si="439">IF(OR(Q1300=TRUE,T1300=TRUE),TRUE,FALSE)</f>
        <v>1</v>
      </c>
      <c r="T1300" s="181" t="b">
        <f>COUNTIF('New Items'!$A$1:$A$175,A1300)&gt;0</f>
        <v>0</v>
      </c>
      <c r="U1300" s="181" t="b">
        <f>COUNTIF(Discontinued!$A$1:$A$150,A1300)&gt;0</f>
        <v>0</v>
      </c>
    </row>
    <row r="1301" spans="1:21" s="8" customFormat="1" ht="11.25" x14ac:dyDescent="0.2">
      <c r="A1301" s="152">
        <v>20009692</v>
      </c>
      <c r="B1301" s="10" t="s">
        <v>3776</v>
      </c>
      <c r="C1301" s="12" t="s">
        <v>3778</v>
      </c>
      <c r="D1301" s="11" t="s">
        <v>3777</v>
      </c>
      <c r="E1301" s="12" t="s">
        <v>772</v>
      </c>
      <c r="F1301" s="13">
        <v>12</v>
      </c>
      <c r="G1301" s="22">
        <f>Overview!$B$103</f>
        <v>16</v>
      </c>
      <c r="H1301" s="23">
        <f>G1301-I1301</f>
        <v>16</v>
      </c>
      <c r="I1301" s="114">
        <f>Overview!$E$103</f>
        <v>0</v>
      </c>
      <c r="J1301" s="24">
        <f>I1301/F1301</f>
        <v>0</v>
      </c>
      <c r="K1301" s="116">
        <f>Overview!$H$103</f>
        <v>0</v>
      </c>
      <c r="L1301" s="51" t="e">
        <f>(K1301-J1301)/K1301</f>
        <v>#DIV/0!</v>
      </c>
      <c r="M1301" s="179"/>
      <c r="N1301" s="179" t="s">
        <v>985</v>
      </c>
      <c r="O1301" s="141">
        <f>I1301</f>
        <v>0</v>
      </c>
      <c r="P1301" s="181" t="b">
        <f>COUNTIF('Facility Data'!$A$1:$A$1500,"*"&amp;A1301&amp;"*")&gt;0</f>
        <v>0</v>
      </c>
      <c r="Q1301" s="181" t="b">
        <f>COUNTIF('Account Data'!$A$1:$A$1000,"*"&amp;A1301&amp;"*")&gt;0</f>
        <v>0</v>
      </c>
      <c r="R1301" s="182" t="b">
        <f t="shared" si="438"/>
        <v>0</v>
      </c>
      <c r="S1301" s="182" t="b">
        <f>IF(OR(Q1301=TRUE,T1301=TRUE),TRUE,FALSE)</f>
        <v>0</v>
      </c>
      <c r="T1301" s="181" t="b">
        <f>COUNTIF('New Items'!$A$1:$A$175,A1301)&gt;0</f>
        <v>0</v>
      </c>
      <c r="U1301" s="181" t="b">
        <f>COUNTIF(Discontinued!$A$1:$A$150,A1301)&gt;0</f>
        <v>0</v>
      </c>
    </row>
    <row r="1302" spans="1:21" s="8" customFormat="1" ht="11.25" x14ac:dyDescent="0.2">
      <c r="A1302" s="152">
        <v>20000947</v>
      </c>
      <c r="B1302" s="10" t="s">
        <v>510</v>
      </c>
      <c r="C1302" s="12" t="s">
        <v>511</v>
      </c>
      <c r="D1302" s="11" t="s">
        <v>693</v>
      </c>
      <c r="E1302" s="12" t="s">
        <v>772</v>
      </c>
      <c r="F1302" s="13">
        <v>12</v>
      </c>
      <c r="G1302" s="22">
        <f>Overview!$B$103</f>
        <v>16</v>
      </c>
      <c r="H1302" s="23">
        <f t="shared" si="434"/>
        <v>16</v>
      </c>
      <c r="I1302" s="114">
        <f>Overview!$E$103</f>
        <v>0</v>
      </c>
      <c r="J1302" s="24">
        <f t="shared" si="435"/>
        <v>0</v>
      </c>
      <c r="K1302" s="116">
        <f>Overview!$H$103</f>
        <v>0</v>
      </c>
      <c r="L1302" s="51" t="e">
        <f t="shared" si="436"/>
        <v>#DIV/0!</v>
      </c>
      <c r="M1302" s="179"/>
      <c r="N1302" s="179" t="s">
        <v>985</v>
      </c>
      <c r="O1302" s="141">
        <f t="shared" si="437"/>
        <v>0</v>
      </c>
      <c r="P1302" s="181" t="b">
        <f>COUNTIF('Facility Data'!$A$1:$A$1500,"*"&amp;A1302&amp;"*")&gt;0</f>
        <v>0</v>
      </c>
      <c r="Q1302" s="181" t="b">
        <f>COUNTIF('Account Data'!$A$1:$A$1000,"*"&amp;A1302&amp;"*")&gt;0</f>
        <v>1</v>
      </c>
      <c r="R1302" s="182" t="b">
        <f t="shared" si="438"/>
        <v>0</v>
      </c>
      <c r="S1302" s="182" t="b">
        <f t="shared" si="439"/>
        <v>1</v>
      </c>
      <c r="T1302" s="181" t="b">
        <f>COUNTIF('New Items'!$A$1:$A$175,A1302)&gt;0</f>
        <v>0</v>
      </c>
      <c r="U1302" s="181" t="b">
        <f>COUNTIF(Discontinued!$A$1:$A$150,A1302)&gt;0</f>
        <v>0</v>
      </c>
    </row>
    <row r="1303" spans="1:21" s="8" customFormat="1" ht="11.25" x14ac:dyDescent="0.2">
      <c r="A1303" s="152">
        <v>20022637</v>
      </c>
      <c r="B1303" s="10" t="s">
        <v>508</v>
      </c>
      <c r="C1303" s="12" t="s">
        <v>509</v>
      </c>
      <c r="D1303" s="11" t="s">
        <v>695</v>
      </c>
      <c r="E1303" s="12" t="s">
        <v>772</v>
      </c>
      <c r="F1303" s="13">
        <v>12</v>
      </c>
      <c r="G1303" s="22">
        <f>Overview!$B$103</f>
        <v>16</v>
      </c>
      <c r="H1303" s="23">
        <f t="shared" si="434"/>
        <v>16</v>
      </c>
      <c r="I1303" s="114">
        <f>Overview!$E$103</f>
        <v>0</v>
      </c>
      <c r="J1303" s="24">
        <f t="shared" si="435"/>
        <v>0</v>
      </c>
      <c r="K1303" s="116">
        <f>Overview!$H$103</f>
        <v>0</v>
      </c>
      <c r="L1303" s="51" t="e">
        <f t="shared" si="436"/>
        <v>#DIV/0!</v>
      </c>
      <c r="M1303" s="179"/>
      <c r="N1303" s="179" t="s">
        <v>985</v>
      </c>
      <c r="O1303" s="141">
        <f t="shared" si="437"/>
        <v>0</v>
      </c>
      <c r="P1303" s="181" t="b">
        <f>COUNTIF('Facility Data'!$A$1:$A$1500,"*"&amp;A1303&amp;"*")&gt;0</f>
        <v>0</v>
      </c>
      <c r="Q1303" s="181" t="b">
        <f>COUNTIF('Account Data'!$A$1:$A$1000,"*"&amp;A1303&amp;"*")&gt;0</f>
        <v>1</v>
      </c>
      <c r="R1303" s="182" t="b">
        <f t="shared" si="438"/>
        <v>0</v>
      </c>
      <c r="S1303" s="182" t="b">
        <f t="shared" si="439"/>
        <v>1</v>
      </c>
      <c r="T1303" s="181" t="b">
        <f>COUNTIF('New Items'!$A$1:$A$175,A1303)&gt;0</f>
        <v>0</v>
      </c>
      <c r="U1303" s="181" t="b">
        <f>COUNTIF(Discontinued!$A$1:$A$150,A1303)&gt;0</f>
        <v>0</v>
      </c>
    </row>
    <row r="1304" spans="1:21" s="8" customFormat="1" ht="11.25" x14ac:dyDescent="0.2">
      <c r="A1304" s="152">
        <v>20000949</v>
      </c>
      <c r="B1304" s="10" t="s">
        <v>503</v>
      </c>
      <c r="C1304" s="12" t="s">
        <v>504</v>
      </c>
      <c r="D1304" s="11" t="s">
        <v>697</v>
      </c>
      <c r="E1304" s="12" t="s">
        <v>772</v>
      </c>
      <c r="F1304" s="13">
        <v>12</v>
      </c>
      <c r="G1304" s="22">
        <f>Overview!$B$103</f>
        <v>16</v>
      </c>
      <c r="H1304" s="23">
        <f t="shared" si="434"/>
        <v>16</v>
      </c>
      <c r="I1304" s="114">
        <f>Overview!$E$103</f>
        <v>0</v>
      </c>
      <c r="J1304" s="24">
        <f t="shared" si="435"/>
        <v>0</v>
      </c>
      <c r="K1304" s="116">
        <f>Overview!$H$103</f>
        <v>0</v>
      </c>
      <c r="L1304" s="51" t="e">
        <f t="shared" si="436"/>
        <v>#DIV/0!</v>
      </c>
      <c r="M1304" s="179"/>
      <c r="N1304" s="179" t="s">
        <v>985</v>
      </c>
      <c r="O1304" s="141">
        <f t="shared" si="437"/>
        <v>0</v>
      </c>
      <c r="P1304" s="181" t="b">
        <f>COUNTIF('Facility Data'!$A$1:$A$1500,"*"&amp;A1304&amp;"*")&gt;0</f>
        <v>1</v>
      </c>
      <c r="Q1304" s="181" t="b">
        <f>COUNTIF('Account Data'!$A$1:$A$1000,"*"&amp;A1304&amp;"*")&gt;0</f>
        <v>1</v>
      </c>
      <c r="R1304" s="182" t="b">
        <f t="shared" si="438"/>
        <v>1</v>
      </c>
      <c r="S1304" s="182" t="b">
        <f t="shared" si="439"/>
        <v>1</v>
      </c>
      <c r="T1304" s="181" t="b">
        <f>COUNTIF('New Items'!$A$1:$A$175,A1304)&gt;0</f>
        <v>0</v>
      </c>
      <c r="U1304" s="181" t="b">
        <f>COUNTIF(Discontinued!$A$1:$A$150,A1304)&gt;0</f>
        <v>0</v>
      </c>
    </row>
    <row r="1305" spans="1:21" s="8" customFormat="1" ht="11.25" x14ac:dyDescent="0.2">
      <c r="A1305" s="152">
        <v>20001900</v>
      </c>
      <c r="B1305" s="10" t="s">
        <v>3779</v>
      </c>
      <c r="C1305" s="12" t="s">
        <v>3781</v>
      </c>
      <c r="D1305" s="11" t="s">
        <v>3780</v>
      </c>
      <c r="E1305" s="12" t="s">
        <v>772</v>
      </c>
      <c r="F1305" s="13">
        <v>12</v>
      </c>
      <c r="G1305" s="22">
        <f>Overview!$B$103</f>
        <v>16</v>
      </c>
      <c r="H1305" s="23">
        <f t="shared" si="434"/>
        <v>16</v>
      </c>
      <c r="I1305" s="114">
        <f>Overview!$E$103</f>
        <v>0</v>
      </c>
      <c r="J1305" s="24">
        <f t="shared" si="435"/>
        <v>0</v>
      </c>
      <c r="K1305" s="116">
        <f>Overview!$H$103</f>
        <v>0</v>
      </c>
      <c r="L1305" s="51" t="e">
        <f t="shared" si="436"/>
        <v>#DIV/0!</v>
      </c>
      <c r="M1305" s="179"/>
      <c r="N1305" s="179" t="s">
        <v>985</v>
      </c>
      <c r="O1305" s="141">
        <f t="shared" si="437"/>
        <v>0</v>
      </c>
      <c r="P1305" s="181" t="b">
        <f>COUNTIF('Facility Data'!$A$1:$A$1500,"*"&amp;A1305&amp;"*")&gt;0</f>
        <v>0</v>
      </c>
      <c r="Q1305" s="181" t="b">
        <f>COUNTIF('Account Data'!$A$1:$A$1000,"*"&amp;A1305&amp;"*")&gt;0</f>
        <v>0</v>
      </c>
      <c r="R1305" s="182" t="b">
        <f t="shared" si="438"/>
        <v>0</v>
      </c>
      <c r="S1305" s="182" t="b">
        <f t="shared" si="439"/>
        <v>0</v>
      </c>
      <c r="T1305" s="181" t="b">
        <f>COUNTIF('New Items'!$A$1:$A$175,A1305)&gt;0</f>
        <v>0</v>
      </c>
      <c r="U1305" s="181" t="b">
        <f>COUNTIF(Discontinued!$A$1:$A$150,A1305)&gt;0</f>
        <v>0</v>
      </c>
    </row>
    <row r="1306" spans="1:21" s="8" customFormat="1" ht="11.25" x14ac:dyDescent="0.2">
      <c r="A1306" s="152">
        <v>20000948</v>
      </c>
      <c r="B1306" s="10" t="s">
        <v>501</v>
      </c>
      <c r="C1306" s="12" t="s">
        <v>502</v>
      </c>
      <c r="D1306" s="11" t="s">
        <v>729</v>
      </c>
      <c r="E1306" s="12" t="s">
        <v>772</v>
      </c>
      <c r="F1306" s="13">
        <v>12</v>
      </c>
      <c r="G1306" s="22">
        <f>Overview!$B$103</f>
        <v>16</v>
      </c>
      <c r="H1306" s="23">
        <f t="shared" si="434"/>
        <v>16</v>
      </c>
      <c r="I1306" s="114">
        <f>Overview!$E$103</f>
        <v>0</v>
      </c>
      <c r="J1306" s="24">
        <f t="shared" si="435"/>
        <v>0</v>
      </c>
      <c r="K1306" s="116">
        <f>Overview!$H$103</f>
        <v>0</v>
      </c>
      <c r="L1306" s="51" t="e">
        <f t="shared" si="436"/>
        <v>#DIV/0!</v>
      </c>
      <c r="M1306" s="179"/>
      <c r="N1306" s="179" t="s">
        <v>985</v>
      </c>
      <c r="O1306" s="141">
        <f t="shared" si="437"/>
        <v>0</v>
      </c>
      <c r="P1306" s="181" t="b">
        <f>COUNTIF('Facility Data'!$A$1:$A$1500,"*"&amp;A1306&amp;"*")&gt;0</f>
        <v>1</v>
      </c>
      <c r="Q1306" s="181" t="b">
        <f>COUNTIF('Account Data'!$A$1:$A$1000,"*"&amp;A1306&amp;"*")&gt;0</f>
        <v>1</v>
      </c>
      <c r="R1306" s="182" t="b">
        <f t="shared" si="438"/>
        <v>1</v>
      </c>
      <c r="S1306" s="182" t="b">
        <f t="shared" si="439"/>
        <v>1</v>
      </c>
      <c r="T1306" s="181" t="b">
        <f>COUNTIF('New Items'!$A$1:$A$175,A1306)&gt;0</f>
        <v>0</v>
      </c>
      <c r="U1306" s="181" t="b">
        <f>COUNTIF(Discontinued!$A$1:$A$150,A1306)&gt;0</f>
        <v>0</v>
      </c>
    </row>
    <row r="1307" spans="1:21" s="8" customFormat="1" ht="11.25" x14ac:dyDescent="0.2">
      <c r="A1307" s="152">
        <v>20025548</v>
      </c>
      <c r="B1307" s="10" t="s">
        <v>570</v>
      </c>
      <c r="C1307" s="12" t="s">
        <v>500</v>
      </c>
      <c r="D1307" s="11" t="s">
        <v>949</v>
      </c>
      <c r="E1307" s="12" t="s">
        <v>772</v>
      </c>
      <c r="F1307" s="13">
        <v>12</v>
      </c>
      <c r="G1307" s="22">
        <f>Overview!$B$103</f>
        <v>16</v>
      </c>
      <c r="H1307" s="23">
        <f t="shared" si="434"/>
        <v>16</v>
      </c>
      <c r="I1307" s="114">
        <f>Overview!$E$103</f>
        <v>0</v>
      </c>
      <c r="J1307" s="24">
        <f t="shared" si="435"/>
        <v>0</v>
      </c>
      <c r="K1307" s="116">
        <f>Overview!$H$103</f>
        <v>0</v>
      </c>
      <c r="L1307" s="51" t="e">
        <f t="shared" si="436"/>
        <v>#DIV/0!</v>
      </c>
      <c r="M1307" s="179"/>
      <c r="N1307" s="179" t="s">
        <v>985</v>
      </c>
      <c r="O1307" s="141">
        <f t="shared" si="437"/>
        <v>0</v>
      </c>
      <c r="P1307" s="181" t="b">
        <f>COUNTIF('Facility Data'!$A$1:$A$1500,"*"&amp;A1307&amp;"*")&gt;0</f>
        <v>0</v>
      </c>
      <c r="Q1307" s="181" t="b">
        <f>COUNTIF('Account Data'!$A$1:$A$1000,"*"&amp;A1307&amp;"*")&gt;0</f>
        <v>1</v>
      </c>
      <c r="R1307" s="182" t="b">
        <f t="shared" si="438"/>
        <v>0</v>
      </c>
      <c r="S1307" s="182" t="b">
        <f t="shared" si="439"/>
        <v>1</v>
      </c>
      <c r="T1307" s="181" t="b">
        <f>COUNTIF('New Items'!$A$1:$A$175,A1307)&gt;0</f>
        <v>0</v>
      </c>
      <c r="U1307" s="181" t="b">
        <f>COUNTIF(Discontinued!$A$1:$A$150,A1307)&gt;0</f>
        <v>0</v>
      </c>
    </row>
    <row r="1308" spans="1:21" s="8" customFormat="1" ht="11.25" x14ac:dyDescent="0.2">
      <c r="A1308" s="152">
        <v>20000951</v>
      </c>
      <c r="B1308" s="10" t="s">
        <v>569</v>
      </c>
      <c r="C1308" s="12" t="s">
        <v>499</v>
      </c>
      <c r="D1308" s="11" t="s">
        <v>728</v>
      </c>
      <c r="E1308" s="12" t="s">
        <v>772</v>
      </c>
      <c r="F1308" s="13">
        <v>12</v>
      </c>
      <c r="G1308" s="22">
        <f>Overview!$B$103</f>
        <v>16</v>
      </c>
      <c r="H1308" s="23">
        <f t="shared" si="434"/>
        <v>16</v>
      </c>
      <c r="I1308" s="114">
        <f>Overview!$E$103</f>
        <v>0</v>
      </c>
      <c r="J1308" s="24">
        <f t="shared" si="435"/>
        <v>0</v>
      </c>
      <c r="K1308" s="116">
        <f>Overview!$H$103</f>
        <v>0</v>
      </c>
      <c r="L1308" s="51" t="e">
        <f t="shared" si="436"/>
        <v>#DIV/0!</v>
      </c>
      <c r="M1308" s="179"/>
      <c r="N1308" s="179" t="s">
        <v>985</v>
      </c>
      <c r="O1308" s="141">
        <f t="shared" si="437"/>
        <v>0</v>
      </c>
      <c r="P1308" s="181" t="b">
        <f>COUNTIF('Facility Data'!$A$1:$A$1500,"*"&amp;A1308&amp;"*")&gt;0</f>
        <v>1</v>
      </c>
      <c r="Q1308" s="181" t="b">
        <f>COUNTIF('Account Data'!$A$1:$A$1000,"*"&amp;A1308&amp;"*")&gt;0</f>
        <v>1</v>
      </c>
      <c r="R1308" s="182" t="b">
        <f t="shared" si="438"/>
        <v>1</v>
      </c>
      <c r="S1308" s="182" t="b">
        <f t="shared" si="439"/>
        <v>1</v>
      </c>
      <c r="T1308" s="181" t="b">
        <f>COUNTIF('New Items'!$A$1:$A$175,A1308)&gt;0</f>
        <v>0</v>
      </c>
      <c r="U1308" s="181" t="b">
        <f>COUNTIF(Discontinued!$A$1:$A$150,A1308)&gt;0</f>
        <v>0</v>
      </c>
    </row>
    <row r="1309" spans="1:21" s="8" customFormat="1" ht="12" thickBot="1" x14ac:dyDescent="0.25">
      <c r="A1309" s="152">
        <v>20025547</v>
      </c>
      <c r="B1309" s="10" t="s">
        <v>568</v>
      </c>
      <c r="C1309" s="12" t="s">
        <v>505</v>
      </c>
      <c r="D1309" s="11" t="s">
        <v>730</v>
      </c>
      <c r="E1309" s="12" t="s">
        <v>772</v>
      </c>
      <c r="F1309" s="13">
        <v>12</v>
      </c>
      <c r="G1309" s="22">
        <f>Overview!$B$103</f>
        <v>16</v>
      </c>
      <c r="H1309" s="23">
        <f t="shared" si="434"/>
        <v>16</v>
      </c>
      <c r="I1309" s="114">
        <f>Overview!$E$103</f>
        <v>0</v>
      </c>
      <c r="J1309" s="24">
        <f t="shared" si="435"/>
        <v>0</v>
      </c>
      <c r="K1309" s="116">
        <f>Overview!$H$103</f>
        <v>0</v>
      </c>
      <c r="L1309" s="51" t="e">
        <f t="shared" si="436"/>
        <v>#DIV/0!</v>
      </c>
      <c r="M1309" s="179"/>
      <c r="N1309" s="179" t="s">
        <v>985</v>
      </c>
      <c r="O1309" s="141">
        <f t="shared" si="437"/>
        <v>0</v>
      </c>
      <c r="P1309" s="181" t="b">
        <f>COUNTIF('Facility Data'!$A$1:$A$1500,"*"&amp;A1309&amp;"*")&gt;0</f>
        <v>0</v>
      </c>
      <c r="Q1309" s="181" t="b">
        <f>COUNTIF('Account Data'!$A$1:$A$1000,"*"&amp;A1309&amp;"*")&gt;0</f>
        <v>1</v>
      </c>
      <c r="R1309" s="182" t="b">
        <f t="shared" si="438"/>
        <v>0</v>
      </c>
      <c r="S1309" s="182" t="b">
        <f t="shared" si="439"/>
        <v>1</v>
      </c>
      <c r="T1309" s="181" t="b">
        <f>COUNTIF('New Items'!$A$1:$A$175,A1309)&gt;0</f>
        <v>0</v>
      </c>
      <c r="U1309" s="181" t="b">
        <f>COUNTIF(Discontinued!$A$1:$A$150,A1309)&gt;0</f>
        <v>0</v>
      </c>
    </row>
    <row r="1310" spans="1:21" s="8" customFormat="1" ht="13.5" thickBot="1" x14ac:dyDescent="0.25">
      <c r="A1310" s="300" t="s">
        <v>550</v>
      </c>
      <c r="B1310" s="301"/>
      <c r="C1310" s="301"/>
      <c r="D1310" s="301"/>
      <c r="E1310" s="301"/>
      <c r="F1310" s="301"/>
      <c r="G1310" s="301"/>
      <c r="H1310" s="301"/>
      <c r="I1310" s="301"/>
      <c r="J1310" s="301"/>
      <c r="K1310" s="301"/>
      <c r="L1310" s="302"/>
      <c r="M1310" s="179" t="s">
        <v>955</v>
      </c>
      <c r="N1310" s="179" t="s">
        <v>989</v>
      </c>
      <c r="O1310" s="141">
        <f>AVERAGE(O1311:O1318)</f>
        <v>0</v>
      </c>
      <c r="P1310" s="181" t="b">
        <f>COUNTIF(P1311:P1318,TRUE)&gt;0</f>
        <v>1</v>
      </c>
      <c r="Q1310" s="181" t="b">
        <f>COUNTIF(Q1311:Q1318,TRUE)&gt;0</f>
        <v>1</v>
      </c>
      <c r="R1310" s="181" t="b">
        <f>COUNTIF(R1311:R1318,TRUE)&gt;0</f>
        <v>1</v>
      </c>
      <c r="S1310" s="181" t="b">
        <f>COUNTIF(S1311:S1318,TRUE)&gt;0</f>
        <v>1</v>
      </c>
      <c r="T1310" s="181" t="b">
        <f>COUNTIF(T1311:T1318,TRUE)&gt;0</f>
        <v>0</v>
      </c>
      <c r="U1310" s="249"/>
    </row>
    <row r="1311" spans="1:21" s="8" customFormat="1" ht="11.25" x14ac:dyDescent="0.2">
      <c r="A1311" s="152">
        <v>10090141</v>
      </c>
      <c r="B1311" s="10" t="s">
        <v>553</v>
      </c>
      <c r="C1311" s="12" t="s">
        <v>554</v>
      </c>
      <c r="D1311" s="11" t="s">
        <v>744</v>
      </c>
      <c r="E1311" s="12" t="s">
        <v>772</v>
      </c>
      <c r="F1311" s="13">
        <v>24</v>
      </c>
      <c r="G1311" s="121">
        <f>Overview!$B$139</f>
        <v>36</v>
      </c>
      <c r="H1311" s="23">
        <f t="shared" ref="H1311:H1318" si="440">G1311-I1311</f>
        <v>36</v>
      </c>
      <c r="I1311" s="114">
        <f>Overview!$E$139</f>
        <v>0</v>
      </c>
      <c r="J1311" s="24">
        <f t="shared" ref="J1311:J1318" si="441">I1311/F1311</f>
        <v>0</v>
      </c>
      <c r="K1311" s="116">
        <f>Overview!$H$139</f>
        <v>0</v>
      </c>
      <c r="L1311" s="51" t="e">
        <f t="shared" ref="L1311:L1318" si="442">(K1311-J1311)/K1311</f>
        <v>#DIV/0!</v>
      </c>
      <c r="M1311" s="179" t="s">
        <v>955</v>
      </c>
      <c r="N1311" s="179" t="s">
        <v>989</v>
      </c>
      <c r="O1311" s="141">
        <f t="shared" ref="O1311:O1318" si="443">I1311</f>
        <v>0</v>
      </c>
      <c r="P1311" s="181" t="b">
        <f>COUNTIF('Facility Data'!$A$1:$A$1500,"*"&amp;A1311&amp;"*")&gt;0</f>
        <v>1</v>
      </c>
      <c r="Q1311" s="181" t="b">
        <f>COUNTIF('Account Data'!$A$1:$A$1000,"*"&amp;A1311&amp;"*")&gt;0</f>
        <v>1</v>
      </c>
      <c r="R1311" s="182" t="b">
        <f t="shared" ref="R1311:R1318" si="444">IF(OR(P1311=TRUE,T1311=TRUE),TRUE,FALSE)</f>
        <v>1</v>
      </c>
      <c r="S1311" s="182" t="b">
        <f t="shared" ref="S1311:S1318" si="445">IF(OR(Q1311=TRUE,T1311=TRUE),TRUE,FALSE)</f>
        <v>1</v>
      </c>
      <c r="T1311" s="181" t="b">
        <f>COUNTIF('New Items'!$A$1:$A$175,A1311)&gt;0</f>
        <v>0</v>
      </c>
      <c r="U1311" s="181" t="b">
        <f>COUNTIF(Discontinued!$A$1:$A$150,A1311)&gt;0</f>
        <v>0</v>
      </c>
    </row>
    <row r="1312" spans="1:21" s="8" customFormat="1" ht="11.25" x14ac:dyDescent="0.2">
      <c r="A1312" s="152">
        <v>10063828</v>
      </c>
      <c r="B1312" s="10" t="s">
        <v>551</v>
      </c>
      <c r="C1312" s="12" t="s">
        <v>552</v>
      </c>
      <c r="D1312" s="11" t="s">
        <v>743</v>
      </c>
      <c r="E1312" s="12" t="s">
        <v>772</v>
      </c>
      <c r="F1312" s="13">
        <v>24</v>
      </c>
      <c r="G1312" s="121">
        <f>Overview!$B$139</f>
        <v>36</v>
      </c>
      <c r="H1312" s="23">
        <f t="shared" si="440"/>
        <v>36</v>
      </c>
      <c r="I1312" s="114">
        <f>Overview!$E$139</f>
        <v>0</v>
      </c>
      <c r="J1312" s="24">
        <f t="shared" si="441"/>
        <v>0</v>
      </c>
      <c r="K1312" s="116">
        <f>Overview!$H$139</f>
        <v>0</v>
      </c>
      <c r="L1312" s="51" t="e">
        <f t="shared" si="442"/>
        <v>#DIV/0!</v>
      </c>
      <c r="M1312" s="179" t="s">
        <v>955</v>
      </c>
      <c r="N1312" s="179" t="s">
        <v>989</v>
      </c>
      <c r="O1312" s="141">
        <f t="shared" si="443"/>
        <v>0</v>
      </c>
      <c r="P1312" s="181" t="b">
        <f>COUNTIF('Facility Data'!$A$1:$A$1500,"*"&amp;A1312&amp;"*")&gt;0</f>
        <v>1</v>
      </c>
      <c r="Q1312" s="181" t="b">
        <f>COUNTIF('Account Data'!$A$1:$A$1000,"*"&amp;A1312&amp;"*")&gt;0</f>
        <v>1</v>
      </c>
      <c r="R1312" s="182" t="b">
        <f t="shared" si="444"/>
        <v>1</v>
      </c>
      <c r="S1312" s="182" t="b">
        <f t="shared" si="445"/>
        <v>1</v>
      </c>
      <c r="T1312" s="181" t="b">
        <f>COUNTIF('New Items'!$A$1:$A$175,A1312)&gt;0</f>
        <v>0</v>
      </c>
      <c r="U1312" s="181" t="b">
        <f>COUNTIF(Discontinued!$A$1:$A$150,A1312)&gt;0</f>
        <v>0</v>
      </c>
    </row>
    <row r="1313" spans="1:21" s="8" customFormat="1" ht="11.25" x14ac:dyDescent="0.2">
      <c r="A1313" s="152">
        <v>10083916</v>
      </c>
      <c r="B1313" s="10" t="s">
        <v>561</v>
      </c>
      <c r="C1313" s="12" t="s">
        <v>562</v>
      </c>
      <c r="D1313" s="11" t="s">
        <v>748</v>
      </c>
      <c r="E1313" s="12" t="s">
        <v>772</v>
      </c>
      <c r="F1313" s="13">
        <v>24</v>
      </c>
      <c r="G1313" s="121">
        <f>Overview!$B$139</f>
        <v>36</v>
      </c>
      <c r="H1313" s="23">
        <f t="shared" si="440"/>
        <v>36</v>
      </c>
      <c r="I1313" s="114">
        <f>Overview!$E$139</f>
        <v>0</v>
      </c>
      <c r="J1313" s="24">
        <f t="shared" si="441"/>
        <v>0</v>
      </c>
      <c r="K1313" s="116">
        <f>Overview!$H$139</f>
        <v>0</v>
      </c>
      <c r="L1313" s="51" t="e">
        <f t="shared" si="442"/>
        <v>#DIV/0!</v>
      </c>
      <c r="M1313" s="179" t="s">
        <v>955</v>
      </c>
      <c r="N1313" s="179" t="s">
        <v>989</v>
      </c>
      <c r="O1313" s="141">
        <f t="shared" si="443"/>
        <v>0</v>
      </c>
      <c r="P1313" s="181" t="b">
        <f>COUNTIF('Facility Data'!$A$1:$A$1500,"*"&amp;A1313&amp;"*")&gt;0</f>
        <v>1</v>
      </c>
      <c r="Q1313" s="181" t="b">
        <f>COUNTIF('Account Data'!$A$1:$A$1000,"*"&amp;A1313&amp;"*")&gt;0</f>
        <v>1</v>
      </c>
      <c r="R1313" s="182" t="b">
        <f t="shared" si="444"/>
        <v>1</v>
      </c>
      <c r="S1313" s="182" t="b">
        <f t="shared" si="445"/>
        <v>1</v>
      </c>
      <c r="T1313" s="181" t="b">
        <f>COUNTIF('New Items'!$A$1:$A$175,A1313)&gt;0</f>
        <v>0</v>
      </c>
      <c r="U1313" s="181" t="b">
        <f>COUNTIF(Discontinued!$A$1:$A$150,A1313)&gt;0</f>
        <v>0</v>
      </c>
    </row>
    <row r="1314" spans="1:21" s="8" customFormat="1" ht="11.25" x14ac:dyDescent="0.2">
      <c r="A1314" s="152">
        <v>10063830</v>
      </c>
      <c r="B1314" s="10" t="s">
        <v>557</v>
      </c>
      <c r="C1314" s="12" t="s">
        <v>558</v>
      </c>
      <c r="D1314" s="11" t="s">
        <v>746</v>
      </c>
      <c r="E1314" s="12" t="s">
        <v>772</v>
      </c>
      <c r="F1314" s="13">
        <v>24</v>
      </c>
      <c r="G1314" s="121">
        <f>Overview!$B$139</f>
        <v>36</v>
      </c>
      <c r="H1314" s="23">
        <f t="shared" si="440"/>
        <v>36</v>
      </c>
      <c r="I1314" s="114">
        <f>Overview!$E$139</f>
        <v>0</v>
      </c>
      <c r="J1314" s="24">
        <f t="shared" si="441"/>
        <v>0</v>
      </c>
      <c r="K1314" s="116">
        <f>Overview!$H$139</f>
        <v>0</v>
      </c>
      <c r="L1314" s="51" t="e">
        <f t="shared" si="442"/>
        <v>#DIV/0!</v>
      </c>
      <c r="M1314" s="179" t="s">
        <v>955</v>
      </c>
      <c r="N1314" s="179" t="s">
        <v>989</v>
      </c>
      <c r="O1314" s="141">
        <f t="shared" si="443"/>
        <v>0</v>
      </c>
      <c r="P1314" s="181" t="b">
        <f>COUNTIF('Facility Data'!$A$1:$A$1500,"*"&amp;A1314&amp;"*")&gt;0</f>
        <v>1</v>
      </c>
      <c r="Q1314" s="181" t="b">
        <f>COUNTIF('Account Data'!$A$1:$A$1000,"*"&amp;A1314&amp;"*")&gt;0</f>
        <v>1</v>
      </c>
      <c r="R1314" s="182" t="b">
        <f t="shared" si="444"/>
        <v>1</v>
      </c>
      <c r="S1314" s="182" t="b">
        <f t="shared" si="445"/>
        <v>1</v>
      </c>
      <c r="T1314" s="181" t="b">
        <f>COUNTIF('New Items'!$A$1:$A$175,A1314)&gt;0</f>
        <v>0</v>
      </c>
      <c r="U1314" s="181" t="b">
        <f>COUNTIF(Discontinued!$A$1:$A$150,A1314)&gt;0</f>
        <v>0</v>
      </c>
    </row>
    <row r="1315" spans="1:21" s="8" customFormat="1" ht="11.25" x14ac:dyDescent="0.2">
      <c r="A1315" s="152">
        <v>10063829</v>
      </c>
      <c r="B1315" s="10" t="s">
        <v>555</v>
      </c>
      <c r="C1315" s="12" t="s">
        <v>556</v>
      </c>
      <c r="D1315" s="11" t="s">
        <v>745</v>
      </c>
      <c r="E1315" s="12" t="s">
        <v>772</v>
      </c>
      <c r="F1315" s="13">
        <v>24</v>
      </c>
      <c r="G1315" s="121">
        <f>Overview!$B$139</f>
        <v>36</v>
      </c>
      <c r="H1315" s="23">
        <f t="shared" si="440"/>
        <v>36</v>
      </c>
      <c r="I1315" s="114">
        <f>Overview!$E$139</f>
        <v>0</v>
      </c>
      <c r="J1315" s="24">
        <f t="shared" si="441"/>
        <v>0</v>
      </c>
      <c r="K1315" s="116">
        <f>Overview!$H$139</f>
        <v>0</v>
      </c>
      <c r="L1315" s="51" t="e">
        <f t="shared" si="442"/>
        <v>#DIV/0!</v>
      </c>
      <c r="M1315" s="179" t="s">
        <v>955</v>
      </c>
      <c r="N1315" s="179" t="s">
        <v>989</v>
      </c>
      <c r="O1315" s="141">
        <f t="shared" si="443"/>
        <v>0</v>
      </c>
      <c r="P1315" s="181" t="b">
        <f>COUNTIF('Facility Data'!$A$1:$A$1500,"*"&amp;A1315&amp;"*")&gt;0</f>
        <v>1</v>
      </c>
      <c r="Q1315" s="181" t="b">
        <f>COUNTIF('Account Data'!$A$1:$A$1000,"*"&amp;A1315&amp;"*")&gt;0</f>
        <v>1</v>
      </c>
      <c r="R1315" s="182" t="b">
        <f t="shared" si="444"/>
        <v>1</v>
      </c>
      <c r="S1315" s="182" t="b">
        <f t="shared" si="445"/>
        <v>1</v>
      </c>
      <c r="T1315" s="181" t="b">
        <f>COUNTIF('New Items'!$A$1:$A$175,A1315)&gt;0</f>
        <v>0</v>
      </c>
      <c r="U1315" s="181" t="b">
        <f>COUNTIF(Discontinued!$A$1:$A$150,A1315)&gt;0</f>
        <v>0</v>
      </c>
    </row>
    <row r="1316" spans="1:21" s="8" customFormat="1" ht="11.25" x14ac:dyDescent="0.2">
      <c r="A1316" s="152">
        <v>10063825</v>
      </c>
      <c r="B1316" s="10" t="s">
        <v>559</v>
      </c>
      <c r="C1316" s="12" t="s">
        <v>560</v>
      </c>
      <c r="D1316" s="11" t="s">
        <v>747</v>
      </c>
      <c r="E1316" s="12" t="s">
        <v>772</v>
      </c>
      <c r="F1316" s="13">
        <v>24</v>
      </c>
      <c r="G1316" s="121">
        <f>Overview!$B$139</f>
        <v>36</v>
      </c>
      <c r="H1316" s="23">
        <f t="shared" si="440"/>
        <v>36</v>
      </c>
      <c r="I1316" s="114">
        <f>Overview!$E$139</f>
        <v>0</v>
      </c>
      <c r="J1316" s="24">
        <f t="shared" si="441"/>
        <v>0</v>
      </c>
      <c r="K1316" s="116">
        <f>Overview!$H$139</f>
        <v>0</v>
      </c>
      <c r="L1316" s="51" t="e">
        <f t="shared" si="442"/>
        <v>#DIV/0!</v>
      </c>
      <c r="M1316" s="179" t="s">
        <v>955</v>
      </c>
      <c r="N1316" s="179" t="s">
        <v>989</v>
      </c>
      <c r="O1316" s="141">
        <f t="shared" si="443"/>
        <v>0</v>
      </c>
      <c r="P1316" s="181" t="b">
        <f>COUNTIF('Facility Data'!$A$1:$A$1500,"*"&amp;A1316&amp;"*")&gt;0</f>
        <v>1</v>
      </c>
      <c r="Q1316" s="181" t="b">
        <f>COUNTIF('Account Data'!$A$1:$A$1000,"*"&amp;A1316&amp;"*")&gt;0</f>
        <v>1</v>
      </c>
      <c r="R1316" s="182" t="b">
        <f t="shared" si="444"/>
        <v>1</v>
      </c>
      <c r="S1316" s="182" t="b">
        <f t="shared" si="445"/>
        <v>1</v>
      </c>
      <c r="T1316" s="181" t="b">
        <f>COUNTIF('New Items'!$A$1:$A$175,A1316)&gt;0</f>
        <v>0</v>
      </c>
      <c r="U1316" s="181" t="b">
        <f>COUNTIF(Discontinued!$A$1:$A$150,A1316)&gt;0</f>
        <v>0</v>
      </c>
    </row>
    <row r="1317" spans="1:21" s="8" customFormat="1" ht="11.25" x14ac:dyDescent="0.2">
      <c r="A1317" s="152">
        <v>10083917</v>
      </c>
      <c r="B1317" s="10" t="s">
        <v>563</v>
      </c>
      <c r="C1317" s="12" t="s">
        <v>564</v>
      </c>
      <c r="D1317" s="11" t="s">
        <v>749</v>
      </c>
      <c r="E1317" s="12" t="s">
        <v>772</v>
      </c>
      <c r="F1317" s="13">
        <v>24</v>
      </c>
      <c r="G1317" s="121">
        <f>Overview!$B$139</f>
        <v>36</v>
      </c>
      <c r="H1317" s="23">
        <f t="shared" si="440"/>
        <v>36</v>
      </c>
      <c r="I1317" s="114">
        <f>Overview!$E$139</f>
        <v>0</v>
      </c>
      <c r="J1317" s="24">
        <f t="shared" si="441"/>
        <v>0</v>
      </c>
      <c r="K1317" s="116">
        <f>Overview!$H$139</f>
        <v>0</v>
      </c>
      <c r="L1317" s="51" t="e">
        <f t="shared" si="442"/>
        <v>#DIV/0!</v>
      </c>
      <c r="M1317" s="179" t="s">
        <v>955</v>
      </c>
      <c r="N1317" s="179" t="s">
        <v>989</v>
      </c>
      <c r="O1317" s="141">
        <f t="shared" si="443"/>
        <v>0</v>
      </c>
      <c r="P1317" s="181" t="b">
        <f>COUNTIF('Facility Data'!$A$1:$A$1500,"*"&amp;A1317&amp;"*")&gt;0</f>
        <v>1</v>
      </c>
      <c r="Q1317" s="181" t="b">
        <f>COUNTIF('Account Data'!$A$1:$A$1000,"*"&amp;A1317&amp;"*")&gt;0</f>
        <v>1</v>
      </c>
      <c r="R1317" s="182" t="b">
        <f t="shared" si="444"/>
        <v>1</v>
      </c>
      <c r="S1317" s="182" t="b">
        <f t="shared" si="445"/>
        <v>1</v>
      </c>
      <c r="T1317" s="181" t="b">
        <f>COUNTIF('New Items'!$A$1:$A$175,A1317)&gt;0</f>
        <v>0</v>
      </c>
      <c r="U1317" s="181" t="b">
        <f>COUNTIF(Discontinued!$A$1:$A$150,A1317)&gt;0</f>
        <v>0</v>
      </c>
    </row>
    <row r="1318" spans="1:21" s="8" customFormat="1" ht="12" thickBot="1" x14ac:dyDescent="0.25">
      <c r="A1318" s="152">
        <v>10090140</v>
      </c>
      <c r="B1318" s="10" t="s">
        <v>565</v>
      </c>
      <c r="C1318" s="12" t="s">
        <v>566</v>
      </c>
      <c r="D1318" s="11" t="s">
        <v>750</v>
      </c>
      <c r="E1318" s="12" t="s">
        <v>772</v>
      </c>
      <c r="F1318" s="13">
        <v>24</v>
      </c>
      <c r="G1318" s="121">
        <f>Overview!$B$139</f>
        <v>36</v>
      </c>
      <c r="H1318" s="23">
        <f t="shared" si="440"/>
        <v>36</v>
      </c>
      <c r="I1318" s="114">
        <f>Overview!$E$139</f>
        <v>0</v>
      </c>
      <c r="J1318" s="24">
        <f t="shared" si="441"/>
        <v>0</v>
      </c>
      <c r="K1318" s="116">
        <f>Overview!$H$139</f>
        <v>0</v>
      </c>
      <c r="L1318" s="51" t="e">
        <f t="shared" si="442"/>
        <v>#DIV/0!</v>
      </c>
      <c r="M1318" s="179" t="s">
        <v>955</v>
      </c>
      <c r="N1318" s="179" t="s">
        <v>989</v>
      </c>
      <c r="O1318" s="141">
        <f t="shared" si="443"/>
        <v>0</v>
      </c>
      <c r="P1318" s="181" t="b">
        <f>COUNTIF('Facility Data'!$A$1:$A$1500,"*"&amp;A1318&amp;"*")&gt;0</f>
        <v>1</v>
      </c>
      <c r="Q1318" s="181" t="b">
        <f>COUNTIF('Account Data'!$A$1:$A$1000,"*"&amp;A1318&amp;"*")&gt;0</f>
        <v>1</v>
      </c>
      <c r="R1318" s="182" t="b">
        <f t="shared" si="444"/>
        <v>1</v>
      </c>
      <c r="S1318" s="182" t="b">
        <f t="shared" si="445"/>
        <v>1</v>
      </c>
      <c r="T1318" s="181" t="b">
        <f>COUNTIF('New Items'!$A$1:$A$175,A1318)&gt;0</f>
        <v>0</v>
      </c>
      <c r="U1318" s="181" t="b">
        <f>COUNTIF(Discontinued!$A$1:$A$150,A1318)&gt;0</f>
        <v>0</v>
      </c>
    </row>
    <row r="1319" spans="1:21" s="8" customFormat="1" ht="13.5" thickBot="1" x14ac:dyDescent="0.25">
      <c r="A1319" s="300" t="s">
        <v>1162</v>
      </c>
      <c r="B1319" s="301"/>
      <c r="C1319" s="301"/>
      <c r="D1319" s="301"/>
      <c r="E1319" s="301"/>
      <c r="F1319" s="301"/>
      <c r="G1319" s="301"/>
      <c r="H1319" s="301"/>
      <c r="I1319" s="301"/>
      <c r="J1319" s="301"/>
      <c r="K1319" s="301"/>
      <c r="L1319" s="302"/>
      <c r="M1319" s="179" t="s">
        <v>1252</v>
      </c>
      <c r="N1319" s="179" t="s">
        <v>1253</v>
      </c>
      <c r="O1319" s="141">
        <f>AVERAGE(O1320:O1324)</f>
        <v>0</v>
      </c>
      <c r="P1319" s="181" t="b">
        <f>COUNTIF(P1320:P1324,TRUE)&gt;0</f>
        <v>1</v>
      </c>
      <c r="Q1319" s="181" t="b">
        <f>COUNTIF(Q1320:Q1324,TRUE)&gt;0</f>
        <v>0</v>
      </c>
      <c r="R1319" s="181" t="b">
        <f>COUNTIF(R1320:R1324,TRUE)&gt;0</f>
        <v>1</v>
      </c>
      <c r="S1319" s="181" t="b">
        <f>COUNTIF(S1320:S1324,TRUE)&gt;0</f>
        <v>0</v>
      </c>
      <c r="T1319" s="181" t="b">
        <f>COUNTIF(T1320:T1324,TRUE)&gt;0</f>
        <v>0</v>
      </c>
      <c r="U1319" s="249"/>
    </row>
    <row r="1320" spans="1:21" s="8" customFormat="1" ht="11.25" x14ac:dyDescent="0.2">
      <c r="A1320" s="152">
        <v>20028241</v>
      </c>
      <c r="B1320" s="123" t="s">
        <v>4064</v>
      </c>
      <c r="C1320" s="124" t="s">
        <v>1163</v>
      </c>
      <c r="D1320" s="119" t="s">
        <v>1164</v>
      </c>
      <c r="E1320" s="118" t="s">
        <v>792</v>
      </c>
      <c r="F1320" s="120">
        <v>12</v>
      </c>
      <c r="G1320" s="121">
        <f>Overview!$B$149</f>
        <v>30</v>
      </c>
      <c r="H1320" s="114">
        <f>G1320-I1320</f>
        <v>30</v>
      </c>
      <c r="I1320" s="114">
        <f>Overview!$E$149</f>
        <v>0</v>
      </c>
      <c r="J1320" s="115">
        <f>I1320/F1320</f>
        <v>0</v>
      </c>
      <c r="K1320" s="116">
        <f>Overview!$H$149</f>
        <v>0</v>
      </c>
      <c r="L1320" s="117" t="e">
        <f>(K1320-J1320)/K1320</f>
        <v>#DIV/0!</v>
      </c>
      <c r="M1320" s="179" t="s">
        <v>1252</v>
      </c>
      <c r="N1320" s="179" t="s">
        <v>1253</v>
      </c>
      <c r="O1320" s="141">
        <f>I1320</f>
        <v>0</v>
      </c>
      <c r="P1320" s="181" t="b">
        <f>COUNTIF('Facility Data'!$A$1:$A$1500,"*"&amp;A1320&amp;"*")&gt;0</f>
        <v>1</v>
      </c>
      <c r="Q1320" s="181" t="b">
        <f>COUNTIF('Account Data'!$A$1:$A$1000,"*"&amp;A1320&amp;"*")&gt;0</f>
        <v>0</v>
      </c>
      <c r="R1320" s="182" t="b">
        <f>IF(OR(P1320=TRUE,T1320=TRUE),TRUE,FALSE)</f>
        <v>1</v>
      </c>
      <c r="S1320" s="182" t="b">
        <f>IF(OR(Q1320=TRUE,T1320=TRUE),TRUE,FALSE)</f>
        <v>0</v>
      </c>
      <c r="T1320" s="181" t="b">
        <f>COUNTIF('New Items'!$A$1:$A$175,A1320)&gt;0</f>
        <v>0</v>
      </c>
      <c r="U1320" s="181" t="b">
        <f>COUNTIF(Discontinued!$A$1:$A$150,A1320)&gt;0</f>
        <v>0</v>
      </c>
    </row>
    <row r="1321" spans="1:21" s="8" customFormat="1" ht="11.25" x14ac:dyDescent="0.2">
      <c r="A1321" s="152">
        <v>20028240</v>
      </c>
      <c r="B1321" s="123" t="s">
        <v>4065</v>
      </c>
      <c r="C1321" s="124" t="s">
        <v>1165</v>
      </c>
      <c r="D1321" s="119" t="s">
        <v>1161</v>
      </c>
      <c r="E1321" s="118" t="s">
        <v>792</v>
      </c>
      <c r="F1321" s="120">
        <v>12</v>
      </c>
      <c r="G1321" s="121">
        <f>Overview!$B$149</f>
        <v>30</v>
      </c>
      <c r="H1321" s="114">
        <f>G1321-I1321</f>
        <v>30</v>
      </c>
      <c r="I1321" s="114">
        <f>Overview!$E$149</f>
        <v>0</v>
      </c>
      <c r="J1321" s="115">
        <f>I1321/F1321</f>
        <v>0</v>
      </c>
      <c r="K1321" s="116">
        <f>Overview!$H$149</f>
        <v>0</v>
      </c>
      <c r="L1321" s="117" t="e">
        <f>(K1321-J1321)/K1321</f>
        <v>#DIV/0!</v>
      </c>
      <c r="M1321" s="179" t="s">
        <v>1252</v>
      </c>
      <c r="N1321" s="179" t="s">
        <v>1253</v>
      </c>
      <c r="O1321" s="141">
        <f>I1321</f>
        <v>0</v>
      </c>
      <c r="P1321" s="181" t="b">
        <f>COUNTIF('Facility Data'!$A$1:$A$1500,"*"&amp;A1321&amp;"*")&gt;0</f>
        <v>1</v>
      </c>
      <c r="Q1321" s="181" t="b">
        <f>COUNTIF('Account Data'!$A$1:$A$1000,"*"&amp;A1321&amp;"*")&gt;0</f>
        <v>0</v>
      </c>
      <c r="R1321" s="182" t="b">
        <f>IF(OR(P1321=TRUE,T1321=TRUE),TRUE,FALSE)</f>
        <v>1</v>
      </c>
      <c r="S1321" s="182" t="b">
        <f>IF(OR(Q1321=TRUE,T1321=TRUE),TRUE,FALSE)</f>
        <v>0</v>
      </c>
      <c r="T1321" s="181" t="b">
        <f>COUNTIF('New Items'!$A$1:$A$175,A1321)&gt;0</f>
        <v>0</v>
      </c>
      <c r="U1321" s="181" t="b">
        <f>COUNTIF(Discontinued!$A$1:$A$150,A1321)&gt;0</f>
        <v>0</v>
      </c>
    </row>
    <row r="1322" spans="1:21" s="8" customFormat="1" ht="11.25" x14ac:dyDescent="0.2">
      <c r="A1322" s="152">
        <v>20031511</v>
      </c>
      <c r="B1322" s="123" t="s">
        <v>4066</v>
      </c>
      <c r="C1322" s="124" t="s">
        <v>3993</v>
      </c>
      <c r="D1322" s="119" t="s">
        <v>3991</v>
      </c>
      <c r="E1322" s="118" t="s">
        <v>792</v>
      </c>
      <c r="F1322" s="120">
        <v>12</v>
      </c>
      <c r="G1322" s="121">
        <f>Overview!$B$149</f>
        <v>30</v>
      </c>
      <c r="H1322" s="114">
        <f>G1322-I1322</f>
        <v>30</v>
      </c>
      <c r="I1322" s="114">
        <f>Overview!$E$149</f>
        <v>0</v>
      </c>
      <c r="J1322" s="115">
        <f>I1322/F1322</f>
        <v>0</v>
      </c>
      <c r="K1322" s="116">
        <f>Overview!$H$149</f>
        <v>0</v>
      </c>
      <c r="L1322" s="117" t="e">
        <f>(K1322-J1322)/K1322</f>
        <v>#DIV/0!</v>
      </c>
      <c r="M1322" s="179" t="s">
        <v>1252</v>
      </c>
      <c r="N1322" s="179" t="s">
        <v>1253</v>
      </c>
      <c r="O1322" s="141">
        <f>I1322</f>
        <v>0</v>
      </c>
      <c r="P1322" s="181" t="b">
        <f>COUNTIF('Facility Data'!$A$1:$A$1500,"*"&amp;A1322&amp;"*")&gt;0</f>
        <v>1</v>
      </c>
      <c r="Q1322" s="181" t="b">
        <f>COUNTIF('Account Data'!$A$1:$A$1000,"*"&amp;A1322&amp;"*")&gt;0</f>
        <v>0</v>
      </c>
      <c r="R1322" s="182" t="b">
        <f>IF(OR(P1322=TRUE,T1322=TRUE),TRUE,FALSE)</f>
        <v>1</v>
      </c>
      <c r="S1322" s="182" t="b">
        <f>IF(OR(Q1322=TRUE,T1322=TRUE),TRUE,FALSE)</f>
        <v>0</v>
      </c>
      <c r="T1322" s="181" t="b">
        <f>COUNTIF('New Items'!$A$1:$A$175,A1322)&gt;0</f>
        <v>0</v>
      </c>
      <c r="U1322" s="181" t="b">
        <f>COUNTIF(Discontinued!$A$1:$A$150,A1322)&gt;0</f>
        <v>0</v>
      </c>
    </row>
    <row r="1323" spans="1:21" s="8" customFormat="1" ht="11.25" x14ac:dyDescent="0.2">
      <c r="A1323" s="152">
        <v>20028239</v>
      </c>
      <c r="B1323" s="123" t="s">
        <v>3888</v>
      </c>
      <c r="C1323" s="124" t="s">
        <v>1166</v>
      </c>
      <c r="D1323" s="119" t="s">
        <v>3990</v>
      </c>
      <c r="E1323" s="118" t="s">
        <v>792</v>
      </c>
      <c r="F1323" s="120">
        <v>12</v>
      </c>
      <c r="G1323" s="121">
        <f>Overview!$B$149</f>
        <v>30</v>
      </c>
      <c r="H1323" s="114">
        <f>G1323-I1323</f>
        <v>30</v>
      </c>
      <c r="I1323" s="114">
        <f>Overview!$E$149</f>
        <v>0</v>
      </c>
      <c r="J1323" s="115">
        <f>I1323/F1323</f>
        <v>0</v>
      </c>
      <c r="K1323" s="116">
        <f>Overview!$H$149</f>
        <v>0</v>
      </c>
      <c r="L1323" s="117" t="e">
        <f>(K1323-J1323)/K1323</f>
        <v>#DIV/0!</v>
      </c>
      <c r="M1323" s="179" t="s">
        <v>1252</v>
      </c>
      <c r="N1323" s="179" t="s">
        <v>1253</v>
      </c>
      <c r="O1323" s="141">
        <f>I1323</f>
        <v>0</v>
      </c>
      <c r="P1323" s="181" t="b">
        <f>COUNTIF('Facility Data'!$A$1:$A$1500,"*"&amp;A1323&amp;"*")&gt;0</f>
        <v>1</v>
      </c>
      <c r="Q1323" s="181" t="b">
        <f>COUNTIF('Account Data'!$A$1:$A$1000,"*"&amp;A1323&amp;"*")&gt;0</f>
        <v>0</v>
      </c>
      <c r="R1323" s="182" t="b">
        <f>IF(OR(P1323=TRUE,T1323=TRUE),TRUE,FALSE)</f>
        <v>1</v>
      </c>
      <c r="S1323" s="182" t="b">
        <f>IF(OR(Q1323=TRUE,T1323=TRUE),TRUE,FALSE)</f>
        <v>0</v>
      </c>
      <c r="T1323" s="181" t="b">
        <f>COUNTIF('New Items'!$A$1:$A$175,A1323)&gt;0</f>
        <v>0</v>
      </c>
      <c r="U1323" s="181" t="b">
        <f>COUNTIF(Discontinued!$A$1:$A$150,A1323)&gt;0</f>
        <v>0</v>
      </c>
    </row>
    <row r="1324" spans="1:21" s="8" customFormat="1" ht="12" thickBot="1" x14ac:dyDescent="0.25">
      <c r="A1324" s="152">
        <v>20031512</v>
      </c>
      <c r="B1324" s="123" t="s">
        <v>4067</v>
      </c>
      <c r="C1324" s="124" t="s">
        <v>3994</v>
      </c>
      <c r="D1324" s="119" t="s">
        <v>3992</v>
      </c>
      <c r="E1324" s="118" t="s">
        <v>792</v>
      </c>
      <c r="F1324" s="120">
        <v>12</v>
      </c>
      <c r="G1324" s="121">
        <f>Overview!$B$149</f>
        <v>30</v>
      </c>
      <c r="H1324" s="114">
        <f>G1324-I1324</f>
        <v>30</v>
      </c>
      <c r="I1324" s="114">
        <f>Overview!$E$149</f>
        <v>0</v>
      </c>
      <c r="J1324" s="115">
        <f>I1324/F1324</f>
        <v>0</v>
      </c>
      <c r="K1324" s="116">
        <f>Overview!$H$149</f>
        <v>0</v>
      </c>
      <c r="L1324" s="117" t="e">
        <f>(K1324-J1324)/K1324</f>
        <v>#DIV/0!</v>
      </c>
      <c r="M1324" s="179" t="s">
        <v>1252</v>
      </c>
      <c r="N1324" s="179" t="s">
        <v>1253</v>
      </c>
      <c r="O1324" s="141">
        <f>I1324</f>
        <v>0</v>
      </c>
      <c r="P1324" s="181" t="b">
        <f>COUNTIF('Facility Data'!$A$1:$A$1500,"*"&amp;A1324&amp;"*")&gt;0</f>
        <v>1</v>
      </c>
      <c r="Q1324" s="181" t="b">
        <f>COUNTIF('Account Data'!$A$1:$A$1000,"*"&amp;A1324&amp;"*")&gt;0</f>
        <v>0</v>
      </c>
      <c r="R1324" s="182" t="b">
        <f>IF(OR(P1324=TRUE,T1324=TRUE),TRUE,FALSE)</f>
        <v>1</v>
      </c>
      <c r="S1324" s="182" t="b">
        <f>IF(OR(Q1324=TRUE,T1324=TRUE),TRUE,FALSE)</f>
        <v>0</v>
      </c>
      <c r="T1324" s="181" t="b">
        <f>COUNTIF('New Items'!$A$1:$A$175,A1324)&gt;0</f>
        <v>0</v>
      </c>
      <c r="U1324" s="181" t="b">
        <f>COUNTIF(Discontinued!$A$1:$A$150,A1324)&gt;0</f>
        <v>0</v>
      </c>
    </row>
    <row r="1325" spans="1:21" s="8" customFormat="1" ht="13.5" thickBot="1" x14ac:dyDescent="0.25">
      <c r="A1325" s="300" t="s">
        <v>3430</v>
      </c>
      <c r="B1325" s="301"/>
      <c r="C1325" s="301"/>
      <c r="D1325" s="301"/>
      <c r="E1325" s="301"/>
      <c r="F1325" s="301"/>
      <c r="G1325" s="301"/>
      <c r="H1325" s="301"/>
      <c r="I1325" s="301"/>
      <c r="J1325" s="301"/>
      <c r="K1325" s="301"/>
      <c r="L1325" s="302"/>
      <c r="M1325" s="179"/>
      <c r="N1325" s="179" t="s">
        <v>3431</v>
      </c>
      <c r="O1325" s="141">
        <f>AVERAGE(O1326:O1336)</f>
        <v>0</v>
      </c>
      <c r="P1325" s="181" t="b">
        <f>COUNTIF(P1326:P1336,TRUE)&gt;0</f>
        <v>1</v>
      </c>
      <c r="Q1325" s="181" t="b">
        <f>COUNTIF(Q1326:Q1336,TRUE)&gt;0</f>
        <v>1</v>
      </c>
      <c r="R1325" s="181" t="b">
        <f>COUNTIF(R1326:R1336,TRUE)&gt;0</f>
        <v>1</v>
      </c>
      <c r="S1325" s="181" t="b">
        <f>COUNTIF(S1326:S1336,TRUE)&gt;0</f>
        <v>1</v>
      </c>
      <c r="T1325" s="181" t="b">
        <f>COUNTIF(T1326:T1336,TRUE)&gt;0</f>
        <v>0</v>
      </c>
      <c r="U1325" s="249"/>
    </row>
    <row r="1326" spans="1:21" s="8" customFormat="1" ht="11.25" x14ac:dyDescent="0.2">
      <c r="A1326" s="158">
        <v>20000453</v>
      </c>
      <c r="B1326" s="57" t="s">
        <v>582</v>
      </c>
      <c r="C1326" s="14" t="s">
        <v>617</v>
      </c>
      <c r="D1326" s="11" t="s">
        <v>1164</v>
      </c>
      <c r="E1326" s="14" t="s">
        <v>762</v>
      </c>
      <c r="F1326" s="13">
        <v>12</v>
      </c>
      <c r="G1326" s="121">
        <f>Overview!$B$145</f>
        <v>20</v>
      </c>
      <c r="H1326" s="23">
        <f t="shared" ref="H1326:H1336" si="446">G1326-I1326</f>
        <v>20</v>
      </c>
      <c r="I1326" s="114">
        <f>Overview!$E$145</f>
        <v>0</v>
      </c>
      <c r="J1326" s="24">
        <f t="shared" ref="J1326:J1336" si="447">I1326/F1326</f>
        <v>0</v>
      </c>
      <c r="K1326" s="116">
        <f>Overview!$H$145</f>
        <v>0</v>
      </c>
      <c r="L1326" s="51" t="e">
        <f t="shared" ref="L1326:L1336" si="448">(K1326-J1326)/K1326</f>
        <v>#DIV/0!</v>
      </c>
      <c r="M1326" s="179"/>
      <c r="N1326" s="179" t="s">
        <v>993</v>
      </c>
      <c r="O1326" s="141">
        <f t="shared" ref="O1326:O1336" si="449">I1326</f>
        <v>0</v>
      </c>
      <c r="P1326" s="181" t="b">
        <f>COUNTIF('Facility Data'!$A$1:$A$1500,"*"&amp;A1326&amp;"*")&gt;0</f>
        <v>1</v>
      </c>
      <c r="Q1326" s="181" t="b">
        <f>COUNTIF('Account Data'!$A$1:$A$1000,"*"&amp;A1326&amp;"*")&gt;0</f>
        <v>0</v>
      </c>
      <c r="R1326" s="182" t="b">
        <f t="shared" ref="R1326:R1336" si="450">IF(OR(P1326=TRUE,T1326=TRUE),TRUE,FALSE)</f>
        <v>1</v>
      </c>
      <c r="S1326" s="182" t="b">
        <f t="shared" ref="S1326:S1336" si="451">IF(OR(Q1326=TRUE,T1326=TRUE),TRUE,FALSE)</f>
        <v>0</v>
      </c>
      <c r="T1326" s="181" t="b">
        <f>COUNTIF('New Items'!$A$1:$A$175,A1326)&gt;0</f>
        <v>0</v>
      </c>
      <c r="U1326" s="181" t="b">
        <f>COUNTIF(Discontinued!$A$1:$A$150,A1326)&gt;0</f>
        <v>0</v>
      </c>
    </row>
    <row r="1327" spans="1:21" s="8" customFormat="1" ht="11.25" x14ac:dyDescent="0.2">
      <c r="A1327" s="152">
        <v>20029715</v>
      </c>
      <c r="B1327" s="9" t="s">
        <v>3782</v>
      </c>
      <c r="C1327" s="14" t="s">
        <v>3783</v>
      </c>
      <c r="D1327" s="11" t="s">
        <v>1161</v>
      </c>
      <c r="E1327" s="14" t="s">
        <v>762</v>
      </c>
      <c r="F1327" s="13">
        <v>12</v>
      </c>
      <c r="G1327" s="121">
        <f>Overview!$B$145</f>
        <v>20</v>
      </c>
      <c r="H1327" s="23">
        <f t="shared" si="446"/>
        <v>20</v>
      </c>
      <c r="I1327" s="114">
        <f>Overview!$E$145</f>
        <v>0</v>
      </c>
      <c r="J1327" s="24">
        <f t="shared" si="447"/>
        <v>0</v>
      </c>
      <c r="K1327" s="116">
        <f>Overview!$H$145</f>
        <v>0</v>
      </c>
      <c r="L1327" s="51" t="e">
        <f t="shared" si="448"/>
        <v>#DIV/0!</v>
      </c>
      <c r="M1327" s="179"/>
      <c r="N1327" s="179" t="s">
        <v>993</v>
      </c>
      <c r="O1327" s="141">
        <f t="shared" si="449"/>
        <v>0</v>
      </c>
      <c r="P1327" s="181" t="b">
        <f>COUNTIF('Facility Data'!$A$1:$A$1500,"*"&amp;A1327&amp;"*")&gt;0</f>
        <v>0</v>
      </c>
      <c r="Q1327" s="181" t="b">
        <f>COUNTIF('Account Data'!$A$1:$A$1000,"*"&amp;A1327&amp;"*")&gt;0</f>
        <v>0</v>
      </c>
      <c r="R1327" s="182" t="b">
        <f t="shared" si="450"/>
        <v>0</v>
      </c>
      <c r="S1327" s="182" t="b">
        <f t="shared" si="451"/>
        <v>0</v>
      </c>
      <c r="T1327" s="181" t="b">
        <f>COUNTIF('New Items'!$A$1:$A$175,A1327)&gt;0</f>
        <v>0</v>
      </c>
      <c r="U1327" s="181" t="b">
        <f>COUNTIF(Discontinued!$A$1:$A$150,A1327)&gt;0</f>
        <v>0</v>
      </c>
    </row>
    <row r="1328" spans="1:21" s="8" customFormat="1" ht="11.25" x14ac:dyDescent="0.2">
      <c r="A1328" s="152">
        <v>20000642</v>
      </c>
      <c r="B1328" s="9" t="s">
        <v>583</v>
      </c>
      <c r="C1328" s="14" t="s">
        <v>612</v>
      </c>
      <c r="D1328" s="11" t="s">
        <v>1164</v>
      </c>
      <c r="E1328" s="14" t="s">
        <v>774</v>
      </c>
      <c r="F1328" s="13">
        <v>12</v>
      </c>
      <c r="G1328" s="121">
        <f>Overview!$B$146</f>
        <v>30</v>
      </c>
      <c r="H1328" s="23">
        <f t="shared" si="446"/>
        <v>30</v>
      </c>
      <c r="I1328" s="114">
        <f>Overview!$E$146</f>
        <v>0</v>
      </c>
      <c r="J1328" s="24">
        <f t="shared" si="447"/>
        <v>0</v>
      </c>
      <c r="K1328" s="116">
        <f>Overview!$H$146</f>
        <v>0</v>
      </c>
      <c r="L1328" s="51" t="e">
        <f t="shared" si="448"/>
        <v>#DIV/0!</v>
      </c>
      <c r="M1328" s="179"/>
      <c r="N1328" s="179" t="s">
        <v>992</v>
      </c>
      <c r="O1328" s="141">
        <f t="shared" si="449"/>
        <v>0</v>
      </c>
      <c r="P1328" s="181" t="b">
        <f>COUNTIF('Facility Data'!$A$1:$A$1500,"*"&amp;A1328&amp;"*")&gt;0</f>
        <v>1</v>
      </c>
      <c r="Q1328" s="181" t="b">
        <f>COUNTIF('Account Data'!$A$1:$A$1000,"*"&amp;A1328&amp;"*")&gt;0</f>
        <v>1</v>
      </c>
      <c r="R1328" s="182" t="b">
        <f t="shared" si="450"/>
        <v>1</v>
      </c>
      <c r="S1328" s="182" t="b">
        <f t="shared" si="451"/>
        <v>1</v>
      </c>
      <c r="T1328" s="181" t="b">
        <f>COUNTIF('New Items'!$A$1:$A$175,A1328)&gt;0</f>
        <v>0</v>
      </c>
      <c r="U1328" s="181" t="b">
        <f>COUNTIF(Discontinued!$A$1:$A$150,A1328)&gt;0</f>
        <v>0</v>
      </c>
    </row>
    <row r="1329" spans="1:21" s="8" customFormat="1" ht="11.25" x14ac:dyDescent="0.2">
      <c r="A1329" s="152">
        <v>20000644</v>
      </c>
      <c r="B1329" s="9" t="s">
        <v>586</v>
      </c>
      <c r="C1329" s="14" t="s">
        <v>614</v>
      </c>
      <c r="D1329" s="11" t="s">
        <v>755</v>
      </c>
      <c r="E1329" s="14" t="s">
        <v>774</v>
      </c>
      <c r="F1329" s="13">
        <v>12</v>
      </c>
      <c r="G1329" s="121">
        <f>Overview!$B$146</f>
        <v>30</v>
      </c>
      <c r="H1329" s="23">
        <f t="shared" si="446"/>
        <v>30</v>
      </c>
      <c r="I1329" s="114">
        <f>Overview!$E$146</f>
        <v>0</v>
      </c>
      <c r="J1329" s="24">
        <f t="shared" si="447"/>
        <v>0</v>
      </c>
      <c r="K1329" s="116">
        <f>Overview!$H$146</f>
        <v>0</v>
      </c>
      <c r="L1329" s="51" t="e">
        <f t="shared" si="448"/>
        <v>#DIV/0!</v>
      </c>
      <c r="M1329" s="179"/>
      <c r="N1329" s="179" t="s">
        <v>992</v>
      </c>
      <c r="O1329" s="141">
        <f t="shared" si="449"/>
        <v>0</v>
      </c>
      <c r="P1329" s="181" t="b">
        <f>COUNTIF('Facility Data'!$A$1:$A$1500,"*"&amp;A1329&amp;"*")&gt;0</f>
        <v>1</v>
      </c>
      <c r="Q1329" s="181" t="b">
        <f>COUNTIF('Account Data'!$A$1:$A$1000,"*"&amp;A1329&amp;"*")&gt;0</f>
        <v>1</v>
      </c>
      <c r="R1329" s="182" t="b">
        <f t="shared" si="450"/>
        <v>1</v>
      </c>
      <c r="S1329" s="182" t="b">
        <f t="shared" si="451"/>
        <v>1</v>
      </c>
      <c r="T1329" s="181" t="b">
        <f>COUNTIF('New Items'!$A$1:$A$175,A1329)&gt;0</f>
        <v>0</v>
      </c>
      <c r="U1329" s="181" t="b">
        <f>COUNTIF(Discontinued!$A$1:$A$150,A1329)&gt;0</f>
        <v>0</v>
      </c>
    </row>
    <row r="1330" spans="1:21" s="8" customFormat="1" ht="11.25" x14ac:dyDescent="0.2">
      <c r="A1330" s="152">
        <v>20000643</v>
      </c>
      <c r="B1330" s="9" t="s">
        <v>585</v>
      </c>
      <c r="C1330" s="14" t="s">
        <v>613</v>
      </c>
      <c r="D1330" s="11" t="s">
        <v>754</v>
      </c>
      <c r="E1330" s="14" t="s">
        <v>774</v>
      </c>
      <c r="F1330" s="13">
        <v>12</v>
      </c>
      <c r="G1330" s="121">
        <f>Overview!$B$146</f>
        <v>30</v>
      </c>
      <c r="H1330" s="23">
        <f t="shared" si="446"/>
        <v>30</v>
      </c>
      <c r="I1330" s="114">
        <f>Overview!$E$146</f>
        <v>0</v>
      </c>
      <c r="J1330" s="24">
        <f t="shared" si="447"/>
        <v>0</v>
      </c>
      <c r="K1330" s="116">
        <f>Overview!$H$146</f>
        <v>0</v>
      </c>
      <c r="L1330" s="51" t="e">
        <f t="shared" si="448"/>
        <v>#DIV/0!</v>
      </c>
      <c r="M1330" s="179"/>
      <c r="N1330" s="179" t="s">
        <v>992</v>
      </c>
      <c r="O1330" s="141">
        <f t="shared" si="449"/>
        <v>0</v>
      </c>
      <c r="P1330" s="181" t="b">
        <f>COUNTIF('Facility Data'!$A$1:$A$1500,"*"&amp;A1330&amp;"*")&gt;0</f>
        <v>1</v>
      </c>
      <c r="Q1330" s="181" t="b">
        <f>COUNTIF('Account Data'!$A$1:$A$1000,"*"&amp;A1330&amp;"*")&gt;0</f>
        <v>1</v>
      </c>
      <c r="R1330" s="182" t="b">
        <f t="shared" si="450"/>
        <v>1</v>
      </c>
      <c r="S1330" s="182" t="b">
        <f t="shared" si="451"/>
        <v>1</v>
      </c>
      <c r="T1330" s="181" t="b">
        <f>COUNTIF('New Items'!$A$1:$A$175,A1330)&gt;0</f>
        <v>0</v>
      </c>
      <c r="U1330" s="181" t="b">
        <f>COUNTIF(Discontinued!$A$1:$A$150,A1330)&gt;0</f>
        <v>0</v>
      </c>
    </row>
    <row r="1331" spans="1:21" s="8" customFormat="1" ht="11.25" x14ac:dyDescent="0.2">
      <c r="A1331" s="152">
        <v>20026703</v>
      </c>
      <c r="B1331" s="9" t="s">
        <v>3348</v>
      </c>
      <c r="C1331" s="15" t="s">
        <v>874</v>
      </c>
      <c r="D1331" s="11" t="s">
        <v>1161</v>
      </c>
      <c r="E1331" s="14" t="s">
        <v>774</v>
      </c>
      <c r="F1331" s="13">
        <v>12</v>
      </c>
      <c r="G1331" s="121">
        <f>Overview!$B$146</f>
        <v>30</v>
      </c>
      <c r="H1331" s="23">
        <f t="shared" si="446"/>
        <v>30</v>
      </c>
      <c r="I1331" s="114">
        <f>Overview!$E$146</f>
        <v>0</v>
      </c>
      <c r="J1331" s="24">
        <f t="shared" si="447"/>
        <v>0</v>
      </c>
      <c r="K1331" s="116">
        <f>Overview!$H$146</f>
        <v>0</v>
      </c>
      <c r="L1331" s="51" t="e">
        <f t="shared" si="448"/>
        <v>#DIV/0!</v>
      </c>
      <c r="M1331" s="179"/>
      <c r="N1331" s="179" t="s">
        <v>992</v>
      </c>
      <c r="O1331" s="141">
        <f t="shared" si="449"/>
        <v>0</v>
      </c>
      <c r="P1331" s="181" t="b">
        <f>COUNTIF('Facility Data'!$A$1:$A$1500,"*"&amp;A1331&amp;"*")&gt;0</f>
        <v>1</v>
      </c>
      <c r="Q1331" s="181" t="b">
        <f>COUNTIF('Account Data'!$A$1:$A$1000,"*"&amp;A1331&amp;"*")&gt;0</f>
        <v>1</v>
      </c>
      <c r="R1331" s="182" t="b">
        <f t="shared" si="450"/>
        <v>1</v>
      </c>
      <c r="S1331" s="182" t="b">
        <f t="shared" si="451"/>
        <v>1</v>
      </c>
      <c r="T1331" s="181" t="b">
        <f>COUNTIF('New Items'!$A$1:$A$175,A1331)&gt;0</f>
        <v>0</v>
      </c>
      <c r="U1331" s="181" t="b">
        <f>COUNTIF(Discontinued!$A$1:$A$150,A1331)&gt;0</f>
        <v>0</v>
      </c>
    </row>
    <row r="1332" spans="1:21" s="8" customFormat="1" ht="11.25" x14ac:dyDescent="0.2">
      <c r="A1332" s="152">
        <v>20025411</v>
      </c>
      <c r="B1332" s="9" t="s">
        <v>584</v>
      </c>
      <c r="C1332" s="15" t="s">
        <v>621</v>
      </c>
      <c r="D1332" s="11" t="s">
        <v>753</v>
      </c>
      <c r="E1332" s="14" t="s">
        <v>774</v>
      </c>
      <c r="F1332" s="13">
        <v>12</v>
      </c>
      <c r="G1332" s="121">
        <f>Overview!$B$146</f>
        <v>30</v>
      </c>
      <c r="H1332" s="23">
        <f t="shared" si="446"/>
        <v>30</v>
      </c>
      <c r="I1332" s="114">
        <f>Overview!$E$146</f>
        <v>0</v>
      </c>
      <c r="J1332" s="24">
        <f t="shared" si="447"/>
        <v>0</v>
      </c>
      <c r="K1332" s="116">
        <f>Overview!$H$146</f>
        <v>0</v>
      </c>
      <c r="L1332" s="51" t="e">
        <f t="shared" si="448"/>
        <v>#DIV/0!</v>
      </c>
      <c r="M1332" s="179"/>
      <c r="N1332" s="179" t="s">
        <v>992</v>
      </c>
      <c r="O1332" s="141">
        <f t="shared" si="449"/>
        <v>0</v>
      </c>
      <c r="P1332" s="181" t="b">
        <f>COUNTIF('Facility Data'!$A$1:$A$1500,"*"&amp;A1332&amp;"*")&gt;0</f>
        <v>0</v>
      </c>
      <c r="Q1332" s="181" t="b">
        <f>COUNTIF('Account Data'!$A$1:$A$1000,"*"&amp;A1332&amp;"*")&gt;0</f>
        <v>1</v>
      </c>
      <c r="R1332" s="182" t="b">
        <f t="shared" si="450"/>
        <v>0</v>
      </c>
      <c r="S1332" s="182" t="b">
        <f t="shared" si="451"/>
        <v>1</v>
      </c>
      <c r="T1332" s="181" t="b">
        <f>COUNTIF('New Items'!$A$1:$A$175,A1332)&gt;0</f>
        <v>0</v>
      </c>
      <c r="U1332" s="181" t="b">
        <f>COUNTIF(Discontinued!$A$1:$A$150,A1332)&gt;0</f>
        <v>0</v>
      </c>
    </row>
    <row r="1333" spans="1:21" s="8" customFormat="1" ht="11.25" x14ac:dyDescent="0.2">
      <c r="A1333" s="152">
        <v>20000631</v>
      </c>
      <c r="B1333" s="9" t="s">
        <v>587</v>
      </c>
      <c r="C1333" s="14" t="s">
        <v>605</v>
      </c>
      <c r="D1333" s="11" t="s">
        <v>1164</v>
      </c>
      <c r="E1333" s="14" t="s">
        <v>761</v>
      </c>
      <c r="F1333" s="13">
        <v>12</v>
      </c>
      <c r="G1333" s="121">
        <f>Overview!$B$147</f>
        <v>52</v>
      </c>
      <c r="H1333" s="23">
        <f t="shared" si="446"/>
        <v>52</v>
      </c>
      <c r="I1333" s="114">
        <f>Overview!$E$147</f>
        <v>0</v>
      </c>
      <c r="J1333" s="24">
        <f t="shared" si="447"/>
        <v>0</v>
      </c>
      <c r="K1333" s="116">
        <f>Overview!$H$147</f>
        <v>0</v>
      </c>
      <c r="L1333" s="51" t="e">
        <f t="shared" si="448"/>
        <v>#DIV/0!</v>
      </c>
      <c r="M1333" s="179"/>
      <c r="N1333" s="179" t="s">
        <v>991</v>
      </c>
      <c r="O1333" s="141">
        <f t="shared" si="449"/>
        <v>0</v>
      </c>
      <c r="P1333" s="181" t="b">
        <f>COUNTIF('Facility Data'!$A$1:$A$1500,"*"&amp;A1333&amp;"*")&gt;0</f>
        <v>1</v>
      </c>
      <c r="Q1333" s="181" t="b">
        <f>COUNTIF('Account Data'!$A$1:$A$1000,"*"&amp;A1333&amp;"*")&gt;0</f>
        <v>0</v>
      </c>
      <c r="R1333" s="182" t="b">
        <f t="shared" si="450"/>
        <v>1</v>
      </c>
      <c r="S1333" s="182" t="b">
        <f t="shared" si="451"/>
        <v>0</v>
      </c>
      <c r="T1333" s="181" t="b">
        <f>COUNTIF('New Items'!$A$1:$A$175,A1333)&gt;0</f>
        <v>0</v>
      </c>
      <c r="U1333" s="181" t="b">
        <f>COUNTIF(Discontinued!$A$1:$A$150,A1333)&gt;0</f>
        <v>0</v>
      </c>
    </row>
    <row r="1334" spans="1:21" s="8" customFormat="1" ht="11.25" x14ac:dyDescent="0.2">
      <c r="A1334" s="152">
        <v>20020822</v>
      </c>
      <c r="B1334" s="9" t="s">
        <v>588</v>
      </c>
      <c r="C1334" s="14" t="s">
        <v>606</v>
      </c>
      <c r="D1334" s="11" t="s">
        <v>754</v>
      </c>
      <c r="E1334" s="14" t="s">
        <v>761</v>
      </c>
      <c r="F1334" s="13">
        <v>12</v>
      </c>
      <c r="G1334" s="121">
        <f>Overview!$B$147</f>
        <v>52</v>
      </c>
      <c r="H1334" s="23">
        <f t="shared" si="446"/>
        <v>52</v>
      </c>
      <c r="I1334" s="114">
        <f>Overview!$E$147</f>
        <v>0</v>
      </c>
      <c r="J1334" s="24">
        <f t="shared" si="447"/>
        <v>0</v>
      </c>
      <c r="K1334" s="116">
        <f>Overview!$H$147</f>
        <v>0</v>
      </c>
      <c r="L1334" s="51" t="e">
        <f t="shared" si="448"/>
        <v>#DIV/0!</v>
      </c>
      <c r="M1334" s="179"/>
      <c r="N1334" s="179" t="s">
        <v>991</v>
      </c>
      <c r="O1334" s="141">
        <f t="shared" si="449"/>
        <v>0</v>
      </c>
      <c r="P1334" s="181" t="b">
        <f>COUNTIF('Facility Data'!$A$1:$A$1500,"*"&amp;A1334&amp;"*")&gt;0</f>
        <v>1</v>
      </c>
      <c r="Q1334" s="181" t="b">
        <f>COUNTIF('Account Data'!$A$1:$A$1000,"*"&amp;A1334&amp;"*")&gt;0</f>
        <v>0</v>
      </c>
      <c r="R1334" s="182" t="b">
        <f t="shared" si="450"/>
        <v>1</v>
      </c>
      <c r="S1334" s="182" t="b">
        <f t="shared" si="451"/>
        <v>0</v>
      </c>
      <c r="T1334" s="181" t="b">
        <f>COUNTIF('New Items'!$A$1:$A$175,A1334)&gt;0</f>
        <v>0</v>
      </c>
      <c r="U1334" s="181" t="b">
        <f>COUNTIF(Discontinued!$A$1:$A$150,A1334)&gt;0</f>
        <v>0</v>
      </c>
    </row>
    <row r="1335" spans="1:21" s="8" customFormat="1" ht="11.25" x14ac:dyDescent="0.2">
      <c r="A1335" s="152">
        <v>20028242</v>
      </c>
      <c r="B1335" s="9" t="s">
        <v>1159</v>
      </c>
      <c r="C1335" s="124" t="s">
        <v>1160</v>
      </c>
      <c r="D1335" s="119" t="s">
        <v>1161</v>
      </c>
      <c r="E1335" s="124" t="s">
        <v>761</v>
      </c>
      <c r="F1335" s="120">
        <v>12</v>
      </c>
      <c r="G1335" s="121">
        <f>Overview!$B$147</f>
        <v>52</v>
      </c>
      <c r="H1335" s="114">
        <f t="shared" si="446"/>
        <v>52</v>
      </c>
      <c r="I1335" s="114">
        <f>Overview!$E$147</f>
        <v>0</v>
      </c>
      <c r="J1335" s="115">
        <f t="shared" si="447"/>
        <v>0</v>
      </c>
      <c r="K1335" s="116">
        <f>Overview!$H$147</f>
        <v>0</v>
      </c>
      <c r="L1335" s="117" t="e">
        <f t="shared" si="448"/>
        <v>#DIV/0!</v>
      </c>
      <c r="M1335" s="179"/>
      <c r="N1335" s="179" t="s">
        <v>991</v>
      </c>
      <c r="O1335" s="141">
        <f t="shared" si="449"/>
        <v>0</v>
      </c>
      <c r="P1335" s="181" t="b">
        <f>COUNTIF('Facility Data'!$A$1:$A$1500,"*"&amp;A1335&amp;"*")&gt;0</f>
        <v>1</v>
      </c>
      <c r="Q1335" s="181" t="b">
        <f>COUNTIF('Account Data'!$A$1:$A$1000,"*"&amp;A1335&amp;"*")&gt;0</f>
        <v>0</v>
      </c>
      <c r="R1335" s="182" t="b">
        <f t="shared" si="450"/>
        <v>1</v>
      </c>
      <c r="S1335" s="182" t="b">
        <f t="shared" si="451"/>
        <v>0</v>
      </c>
      <c r="T1335" s="181" t="b">
        <f>COUNTIF('New Items'!$A$1:$A$175,A1335)&gt;0</f>
        <v>0</v>
      </c>
      <c r="U1335" s="181" t="b">
        <f>COUNTIF(Discontinued!$A$1:$A$150,A1335)&gt;0</f>
        <v>0</v>
      </c>
    </row>
    <row r="1336" spans="1:21" s="8" customFormat="1" ht="12" thickBot="1" x14ac:dyDescent="0.25">
      <c r="A1336" s="152">
        <v>20007583</v>
      </c>
      <c r="B1336" s="9" t="s">
        <v>589</v>
      </c>
      <c r="C1336" s="14" t="s">
        <v>615</v>
      </c>
      <c r="D1336" s="11" t="s">
        <v>3989</v>
      </c>
      <c r="E1336" s="14" t="s">
        <v>774</v>
      </c>
      <c r="F1336" s="13">
        <v>6</v>
      </c>
      <c r="G1336" s="121">
        <f>Overview!$B$148</f>
        <v>50</v>
      </c>
      <c r="H1336" s="23">
        <f t="shared" si="446"/>
        <v>50</v>
      </c>
      <c r="I1336" s="114">
        <f>Overview!$E$148</f>
        <v>0</v>
      </c>
      <c r="J1336" s="24">
        <f t="shared" si="447"/>
        <v>0</v>
      </c>
      <c r="K1336" s="116">
        <f>Overview!$H$148</f>
        <v>0</v>
      </c>
      <c r="L1336" s="51" t="e">
        <f t="shared" si="448"/>
        <v>#DIV/0!</v>
      </c>
      <c r="M1336" s="179"/>
      <c r="N1336" s="179" t="s">
        <v>994</v>
      </c>
      <c r="O1336" s="141">
        <f t="shared" si="449"/>
        <v>0</v>
      </c>
      <c r="P1336" s="181" t="b">
        <f>COUNTIF('Facility Data'!$A$1:$A$1500,"*"&amp;A1336&amp;"*")&gt;0</f>
        <v>1</v>
      </c>
      <c r="Q1336" s="181" t="b">
        <f>COUNTIF('Account Data'!$A$1:$A$1000,"*"&amp;A1336&amp;"*")&gt;0</f>
        <v>0</v>
      </c>
      <c r="R1336" s="182" t="b">
        <f t="shared" si="450"/>
        <v>1</v>
      </c>
      <c r="S1336" s="182" t="b">
        <f t="shared" si="451"/>
        <v>0</v>
      </c>
      <c r="T1336" s="181" t="b">
        <f>COUNTIF('New Items'!$A$1:$A$175,A1336)&gt;0</f>
        <v>0</v>
      </c>
      <c r="U1336" s="181" t="b">
        <f>COUNTIF(Discontinued!$A$1:$A$150,A1336)&gt;0</f>
        <v>0</v>
      </c>
    </row>
    <row r="1337" spans="1:21" s="8" customFormat="1" ht="13.5" thickBot="1" x14ac:dyDescent="0.25">
      <c r="A1337" s="300" t="s">
        <v>1167</v>
      </c>
      <c r="B1337" s="301"/>
      <c r="C1337" s="301"/>
      <c r="D1337" s="301"/>
      <c r="E1337" s="301"/>
      <c r="F1337" s="301"/>
      <c r="G1337" s="301"/>
      <c r="H1337" s="301"/>
      <c r="I1337" s="301"/>
      <c r="J1337" s="301"/>
      <c r="K1337" s="301"/>
      <c r="L1337" s="302"/>
      <c r="M1337" s="179"/>
      <c r="N1337" s="179" t="s">
        <v>1254</v>
      </c>
      <c r="O1337" s="141">
        <f>AVERAGE(O1338:O1341)</f>
        <v>0</v>
      </c>
      <c r="P1337" s="181" t="b">
        <f>COUNTIF(P1338:P1341,TRUE)&gt;0</f>
        <v>1</v>
      </c>
      <c r="Q1337" s="181" t="b">
        <f>COUNTIF(Q1338:Q1341,TRUE)&gt;0</f>
        <v>0</v>
      </c>
      <c r="R1337" s="181" t="b">
        <f>COUNTIF(R1338:R1341,TRUE)&gt;0</f>
        <v>1</v>
      </c>
      <c r="S1337" s="181" t="b">
        <f>COUNTIF(S1338:S1341,TRUE)&gt;0</f>
        <v>0</v>
      </c>
      <c r="T1337" s="181" t="b">
        <f>COUNTIF(T1338:T1341,TRUE)&gt;0</f>
        <v>0</v>
      </c>
      <c r="U1337" s="249"/>
    </row>
    <row r="1338" spans="1:21" s="8" customFormat="1" ht="11.25" x14ac:dyDescent="0.2">
      <c r="A1338" s="152">
        <v>20027689</v>
      </c>
      <c r="B1338" s="9" t="s">
        <v>1168</v>
      </c>
      <c r="C1338" s="124" t="s">
        <v>1169</v>
      </c>
      <c r="D1338" s="119" t="s">
        <v>1170</v>
      </c>
      <c r="E1338" s="118" t="s">
        <v>769</v>
      </c>
      <c r="F1338" s="120">
        <v>12</v>
      </c>
      <c r="G1338" s="121">
        <f>Overview!$B$150</f>
        <v>20</v>
      </c>
      <c r="H1338" s="114">
        <f>G1338-I1338</f>
        <v>20</v>
      </c>
      <c r="I1338" s="114">
        <f>Overview!$E$150</f>
        <v>0</v>
      </c>
      <c r="J1338" s="115">
        <f>I1338/F1338</f>
        <v>0</v>
      </c>
      <c r="K1338" s="116">
        <f>Overview!$H$150</f>
        <v>0</v>
      </c>
      <c r="L1338" s="117" t="e">
        <f>(K1338-J1338)/K1338</f>
        <v>#DIV/0!</v>
      </c>
      <c r="M1338" s="179"/>
      <c r="N1338" s="179" t="s">
        <v>1254</v>
      </c>
      <c r="O1338" s="141">
        <f>I1338</f>
        <v>0</v>
      </c>
      <c r="P1338" s="181" t="b">
        <f>COUNTIF('Facility Data'!$A$1:$A$1500,"*"&amp;A1338&amp;"*")&gt;0</f>
        <v>1</v>
      </c>
      <c r="Q1338" s="181" t="b">
        <f>COUNTIF('Account Data'!$A$1:$A$1000,"*"&amp;A1338&amp;"*")&gt;0</f>
        <v>0</v>
      </c>
      <c r="R1338" s="182" t="b">
        <f>IF(OR(P1338=TRUE,T1338=TRUE),TRUE,FALSE)</f>
        <v>1</v>
      </c>
      <c r="S1338" s="182" t="b">
        <f>IF(OR(Q1338=TRUE,T1338=TRUE),TRUE,FALSE)</f>
        <v>0</v>
      </c>
      <c r="T1338" s="181" t="b">
        <f>COUNTIF('New Items'!$A$1:$A$175,A1338)&gt;0</f>
        <v>0</v>
      </c>
      <c r="U1338" s="181" t="b">
        <f>COUNTIF(Discontinued!$A$1:$A$150,A1338)&gt;0</f>
        <v>0</v>
      </c>
    </row>
    <row r="1339" spans="1:21" s="8" customFormat="1" ht="11.25" x14ac:dyDescent="0.2">
      <c r="A1339" s="152">
        <v>20027688</v>
      </c>
      <c r="B1339" s="9" t="s">
        <v>1171</v>
      </c>
      <c r="C1339" s="124" t="s">
        <v>1172</v>
      </c>
      <c r="D1339" s="119" t="s">
        <v>1173</v>
      </c>
      <c r="E1339" s="118" t="s">
        <v>769</v>
      </c>
      <c r="F1339" s="120">
        <v>12</v>
      </c>
      <c r="G1339" s="121">
        <f>Overview!$B$150</f>
        <v>20</v>
      </c>
      <c r="H1339" s="114">
        <f>G1339-I1339</f>
        <v>20</v>
      </c>
      <c r="I1339" s="114">
        <f>Overview!$E$150</f>
        <v>0</v>
      </c>
      <c r="J1339" s="115">
        <f>I1339/F1339</f>
        <v>0</v>
      </c>
      <c r="K1339" s="116">
        <f>Overview!$H$150</f>
        <v>0</v>
      </c>
      <c r="L1339" s="117" t="e">
        <f>(K1339-J1339)/K1339</f>
        <v>#DIV/0!</v>
      </c>
      <c r="M1339" s="179"/>
      <c r="N1339" s="179" t="s">
        <v>1254</v>
      </c>
      <c r="O1339" s="141">
        <f>I1339</f>
        <v>0</v>
      </c>
      <c r="P1339" s="181" t="b">
        <f>COUNTIF('Facility Data'!$A$1:$A$1500,"*"&amp;A1339&amp;"*")&gt;0</f>
        <v>1</v>
      </c>
      <c r="Q1339" s="181" t="b">
        <f>COUNTIF('Account Data'!$A$1:$A$1000,"*"&amp;A1339&amp;"*")&gt;0</f>
        <v>0</v>
      </c>
      <c r="R1339" s="182" t="b">
        <f>IF(OR(P1339=TRUE,T1339=TRUE),TRUE,FALSE)</f>
        <v>1</v>
      </c>
      <c r="S1339" s="182" t="b">
        <f>IF(OR(Q1339=TRUE,T1339=TRUE),TRUE,FALSE)</f>
        <v>0</v>
      </c>
      <c r="T1339" s="181" t="b">
        <f>COUNTIF('New Items'!$A$1:$A$175,A1339)&gt;0</f>
        <v>0</v>
      </c>
      <c r="U1339" s="181" t="b">
        <f>COUNTIF(Discontinued!$A$1:$A$150,A1339)&gt;0</f>
        <v>0</v>
      </c>
    </row>
    <row r="1340" spans="1:21" s="8" customFormat="1" ht="11.25" x14ac:dyDescent="0.2">
      <c r="A1340" s="152">
        <v>20027690</v>
      </c>
      <c r="B1340" s="9" t="s">
        <v>1177</v>
      </c>
      <c r="C1340" s="124" t="s">
        <v>1178</v>
      </c>
      <c r="D1340" s="119" t="s">
        <v>1179</v>
      </c>
      <c r="E1340" s="118" t="s">
        <v>769</v>
      </c>
      <c r="F1340" s="120">
        <v>12</v>
      </c>
      <c r="G1340" s="121">
        <f>Overview!$B$150</f>
        <v>20</v>
      </c>
      <c r="H1340" s="114">
        <f>G1340-I1340</f>
        <v>20</v>
      </c>
      <c r="I1340" s="114">
        <f>Overview!$E$150</f>
        <v>0</v>
      </c>
      <c r="J1340" s="115">
        <f>I1340/F1340</f>
        <v>0</v>
      </c>
      <c r="K1340" s="116">
        <f>Overview!$H$150</f>
        <v>0</v>
      </c>
      <c r="L1340" s="117" t="e">
        <f>(K1340-J1340)/K1340</f>
        <v>#DIV/0!</v>
      </c>
      <c r="M1340" s="179"/>
      <c r="N1340" s="179" t="s">
        <v>1254</v>
      </c>
      <c r="O1340" s="141">
        <f>I1340</f>
        <v>0</v>
      </c>
      <c r="P1340" s="181" t="b">
        <f>COUNTIF('Facility Data'!$A$1:$A$1500,"*"&amp;A1340&amp;"*")&gt;0</f>
        <v>1</v>
      </c>
      <c r="Q1340" s="181" t="b">
        <f>COUNTIF('Account Data'!$A$1:$A$1000,"*"&amp;A1340&amp;"*")&gt;0</f>
        <v>0</v>
      </c>
      <c r="R1340" s="182" t="b">
        <f>IF(OR(P1340=TRUE,T1340=TRUE),TRUE,FALSE)</f>
        <v>1</v>
      </c>
      <c r="S1340" s="182" t="b">
        <f>IF(OR(Q1340=TRUE,T1340=TRUE),TRUE,FALSE)</f>
        <v>0</v>
      </c>
      <c r="T1340" s="181" t="b">
        <f>COUNTIF('New Items'!$A$1:$A$175,A1340)&gt;0</f>
        <v>0</v>
      </c>
      <c r="U1340" s="181" t="b">
        <f>COUNTIF(Discontinued!$A$1:$A$150,A1340)&gt;0</f>
        <v>0</v>
      </c>
    </row>
    <row r="1341" spans="1:21" s="8" customFormat="1" ht="12" thickBot="1" x14ac:dyDescent="0.25">
      <c r="A1341" s="152">
        <v>20027687</v>
      </c>
      <c r="B1341" s="9" t="s">
        <v>1174</v>
      </c>
      <c r="C1341" s="124" t="s">
        <v>1175</v>
      </c>
      <c r="D1341" s="119" t="s">
        <v>1176</v>
      </c>
      <c r="E1341" s="118" t="s">
        <v>769</v>
      </c>
      <c r="F1341" s="120">
        <v>12</v>
      </c>
      <c r="G1341" s="121">
        <f>Overview!$B$150</f>
        <v>20</v>
      </c>
      <c r="H1341" s="114">
        <f>G1341-I1341</f>
        <v>20</v>
      </c>
      <c r="I1341" s="114">
        <f>Overview!$E$150</f>
        <v>0</v>
      </c>
      <c r="J1341" s="115">
        <f>I1341/F1341</f>
        <v>0</v>
      </c>
      <c r="K1341" s="116">
        <f>Overview!$H$150</f>
        <v>0</v>
      </c>
      <c r="L1341" s="117" t="e">
        <f>(K1341-J1341)/K1341</f>
        <v>#DIV/0!</v>
      </c>
      <c r="M1341" s="179"/>
      <c r="N1341" s="179" t="s">
        <v>1254</v>
      </c>
      <c r="O1341" s="141">
        <f>I1341</f>
        <v>0</v>
      </c>
      <c r="P1341" s="181" t="b">
        <f>COUNTIF('Facility Data'!$A$1:$A$1500,"*"&amp;A1341&amp;"*")&gt;0</f>
        <v>1</v>
      </c>
      <c r="Q1341" s="181" t="b">
        <f>COUNTIF('Account Data'!$A$1:$A$1000,"*"&amp;A1341&amp;"*")&gt;0</f>
        <v>0</v>
      </c>
      <c r="R1341" s="182" t="b">
        <f>IF(OR(P1341=TRUE,T1341=TRUE),TRUE,FALSE)</f>
        <v>1</v>
      </c>
      <c r="S1341" s="182" t="b">
        <f>IF(OR(Q1341=TRUE,T1341=TRUE),TRUE,FALSE)</f>
        <v>0</v>
      </c>
      <c r="T1341" s="181" t="b">
        <f>COUNTIF('New Items'!$A$1:$A$175,A1341)&gt;0</f>
        <v>0</v>
      </c>
      <c r="U1341" s="181" t="b">
        <f>COUNTIF(Discontinued!$A$1:$A$150,A1341)&gt;0</f>
        <v>0</v>
      </c>
    </row>
    <row r="1342" spans="1:21" s="8" customFormat="1" ht="13.5" thickBot="1" x14ac:dyDescent="0.25">
      <c r="A1342" s="300" t="s">
        <v>1124</v>
      </c>
      <c r="B1342" s="301"/>
      <c r="C1342" s="301"/>
      <c r="D1342" s="301"/>
      <c r="E1342" s="301"/>
      <c r="F1342" s="301"/>
      <c r="G1342" s="301"/>
      <c r="H1342" s="301"/>
      <c r="I1342" s="301"/>
      <c r="J1342" s="301"/>
      <c r="K1342" s="301"/>
      <c r="L1342" s="302"/>
      <c r="M1342" s="179"/>
      <c r="N1342" s="179" t="s">
        <v>1262</v>
      </c>
      <c r="O1342" s="141">
        <f>AVERAGE(O1343:O1352)</f>
        <v>0</v>
      </c>
      <c r="P1342" s="181" t="b">
        <f>COUNTIF(P1343:P1352,TRUE)&gt;0</f>
        <v>0</v>
      </c>
      <c r="Q1342" s="181" t="b">
        <f>COUNTIF(Q1343:Q1352,TRUE)&gt;0</f>
        <v>0</v>
      </c>
      <c r="R1342" s="181" t="b">
        <f>COUNTIF(R1343:R1352,TRUE)&gt;0</f>
        <v>0</v>
      </c>
      <c r="S1342" s="181" t="b">
        <f>COUNTIF(S1343:S1352,TRUE)&gt;0</f>
        <v>0</v>
      </c>
      <c r="T1342" s="181" t="b">
        <f>COUNTIF(T1343:T1352,TRUE)&gt;0</f>
        <v>0</v>
      </c>
      <c r="U1342" s="249"/>
    </row>
    <row r="1343" spans="1:21" s="8" customFormat="1" ht="11.25" x14ac:dyDescent="0.2">
      <c r="A1343" s="152">
        <v>10120847</v>
      </c>
      <c r="B1343" s="10" t="s">
        <v>1126</v>
      </c>
      <c r="C1343" s="118" t="s">
        <v>1135</v>
      </c>
      <c r="D1343" s="119" t="s">
        <v>1136</v>
      </c>
      <c r="E1343" s="118" t="s">
        <v>772</v>
      </c>
      <c r="F1343" s="120">
        <v>12</v>
      </c>
      <c r="G1343" s="121">
        <f>Overview!$B$138</f>
        <v>24</v>
      </c>
      <c r="H1343" s="114">
        <f t="shared" ref="H1343:H1352" si="452">G1343-I1343</f>
        <v>24</v>
      </c>
      <c r="I1343" s="114">
        <f>Overview!$E$138</f>
        <v>0</v>
      </c>
      <c r="J1343" s="115">
        <f t="shared" ref="J1343:J1352" si="453">I1343/F1343</f>
        <v>0</v>
      </c>
      <c r="K1343" s="116">
        <f>Overview!$H$138</f>
        <v>0</v>
      </c>
      <c r="L1343" s="117" t="e">
        <f t="shared" ref="L1343:L1352" si="454">(K1343-J1343)/K1343</f>
        <v>#DIV/0!</v>
      </c>
      <c r="M1343" s="179"/>
      <c r="N1343" s="179" t="s">
        <v>1262</v>
      </c>
      <c r="O1343" s="141">
        <f t="shared" ref="O1343:O1352" si="455">I1343</f>
        <v>0</v>
      </c>
      <c r="P1343" s="181" t="b">
        <f>COUNTIF('Facility Data'!$A$1:$A$1500,"*"&amp;A1343&amp;"*")&gt;0</f>
        <v>0</v>
      </c>
      <c r="Q1343" s="181" t="b">
        <f>COUNTIF('Account Data'!$A$1:$A$1000,"*"&amp;A1343&amp;"*")&gt;0</f>
        <v>0</v>
      </c>
      <c r="R1343" s="182" t="b">
        <f t="shared" ref="R1343:R1352" si="456">IF(OR(P1343=TRUE,T1343=TRUE),TRUE,FALSE)</f>
        <v>0</v>
      </c>
      <c r="S1343" s="182" t="b">
        <f t="shared" ref="S1343:S1352" si="457">IF(OR(Q1343=TRUE,T1343=TRUE),TRUE,FALSE)</f>
        <v>0</v>
      </c>
      <c r="T1343" s="181" t="b">
        <f>COUNTIF('New Items'!$A$1:$A$175,A1343)&gt;0</f>
        <v>0</v>
      </c>
      <c r="U1343" s="181" t="b">
        <f>COUNTIF(Discontinued!$A$1:$A$150,A1343)&gt;0</f>
        <v>0</v>
      </c>
    </row>
    <row r="1344" spans="1:21" s="8" customFormat="1" ht="11.25" x14ac:dyDescent="0.2">
      <c r="A1344" s="152">
        <v>10120848</v>
      </c>
      <c r="B1344" s="10" t="s">
        <v>1122</v>
      </c>
      <c r="C1344" s="118" t="s">
        <v>1123</v>
      </c>
      <c r="D1344" s="119" t="s">
        <v>1130</v>
      </c>
      <c r="E1344" s="118" t="s">
        <v>772</v>
      </c>
      <c r="F1344" s="120">
        <v>12</v>
      </c>
      <c r="G1344" s="121">
        <f>Overview!$B$138</f>
        <v>24</v>
      </c>
      <c r="H1344" s="114">
        <f t="shared" si="452"/>
        <v>24</v>
      </c>
      <c r="I1344" s="114">
        <f>Overview!$E$138</f>
        <v>0</v>
      </c>
      <c r="J1344" s="115">
        <f t="shared" si="453"/>
        <v>0</v>
      </c>
      <c r="K1344" s="116">
        <f>Overview!$H$138</f>
        <v>0</v>
      </c>
      <c r="L1344" s="117" t="e">
        <f t="shared" si="454"/>
        <v>#DIV/0!</v>
      </c>
      <c r="M1344" s="179"/>
      <c r="N1344" s="179" t="s">
        <v>1262</v>
      </c>
      <c r="O1344" s="141">
        <f t="shared" si="455"/>
        <v>0</v>
      </c>
      <c r="P1344" s="181" t="b">
        <f>COUNTIF('Facility Data'!$A$1:$A$1500,"*"&amp;A1344&amp;"*")&gt;0</f>
        <v>0</v>
      </c>
      <c r="Q1344" s="181" t="b">
        <f>COUNTIF('Account Data'!$A$1:$A$1000,"*"&amp;A1344&amp;"*")&gt;0</f>
        <v>0</v>
      </c>
      <c r="R1344" s="182" t="b">
        <f t="shared" si="456"/>
        <v>0</v>
      </c>
      <c r="S1344" s="182" t="b">
        <f t="shared" si="457"/>
        <v>0</v>
      </c>
      <c r="T1344" s="181" t="b">
        <f>COUNTIF('New Items'!$A$1:$A$175,A1344)&gt;0</f>
        <v>0</v>
      </c>
      <c r="U1344" s="181" t="b">
        <f>COUNTIF(Discontinued!$A$1:$A$150,A1344)&gt;0</f>
        <v>0</v>
      </c>
    </row>
    <row r="1345" spans="1:21" s="8" customFormat="1" ht="11.25" x14ac:dyDescent="0.2">
      <c r="A1345" s="152">
        <v>10120840</v>
      </c>
      <c r="B1345" s="10" t="s">
        <v>3345</v>
      </c>
      <c r="C1345" s="118" t="s">
        <v>1137</v>
      </c>
      <c r="D1345" s="119" t="s">
        <v>1138</v>
      </c>
      <c r="E1345" s="118" t="s">
        <v>772</v>
      </c>
      <c r="F1345" s="120">
        <v>12</v>
      </c>
      <c r="G1345" s="121">
        <f>Overview!$B$138</f>
        <v>24</v>
      </c>
      <c r="H1345" s="114">
        <f t="shared" si="452"/>
        <v>24</v>
      </c>
      <c r="I1345" s="114">
        <f>Overview!$E$138</f>
        <v>0</v>
      </c>
      <c r="J1345" s="115">
        <f t="shared" si="453"/>
        <v>0</v>
      </c>
      <c r="K1345" s="116">
        <f>Overview!$H$138</f>
        <v>0</v>
      </c>
      <c r="L1345" s="117" t="e">
        <f t="shared" si="454"/>
        <v>#DIV/0!</v>
      </c>
      <c r="M1345" s="179"/>
      <c r="N1345" s="179" t="s">
        <v>1262</v>
      </c>
      <c r="O1345" s="141">
        <f t="shared" si="455"/>
        <v>0</v>
      </c>
      <c r="P1345" s="181" t="b">
        <f>COUNTIF('Facility Data'!$A$1:$A$1500,"*"&amp;A1345&amp;"*")&gt;0</f>
        <v>0</v>
      </c>
      <c r="Q1345" s="181" t="b">
        <f>COUNTIF('Account Data'!$A$1:$A$1000,"*"&amp;A1345&amp;"*")&gt;0</f>
        <v>0</v>
      </c>
      <c r="R1345" s="182" t="b">
        <f t="shared" si="456"/>
        <v>0</v>
      </c>
      <c r="S1345" s="182" t="b">
        <f t="shared" si="457"/>
        <v>0</v>
      </c>
      <c r="T1345" s="181" t="b">
        <f>COUNTIF('New Items'!$A$1:$A$175,A1345)&gt;0</f>
        <v>0</v>
      </c>
      <c r="U1345" s="181" t="b">
        <f>COUNTIF(Discontinued!$A$1:$A$150,A1345)&gt;0</f>
        <v>0</v>
      </c>
    </row>
    <row r="1346" spans="1:21" s="8" customFormat="1" ht="11.25" x14ac:dyDescent="0.2">
      <c r="A1346" s="152">
        <v>10120846</v>
      </c>
      <c r="B1346" s="10" t="s">
        <v>4059</v>
      </c>
      <c r="C1346" s="118" t="s">
        <v>1133</v>
      </c>
      <c r="D1346" s="119" t="s">
        <v>1134</v>
      </c>
      <c r="E1346" s="118" t="s">
        <v>772</v>
      </c>
      <c r="F1346" s="120">
        <v>12</v>
      </c>
      <c r="G1346" s="121">
        <f>Overview!$B$138</f>
        <v>24</v>
      </c>
      <c r="H1346" s="114">
        <f t="shared" si="452"/>
        <v>24</v>
      </c>
      <c r="I1346" s="114">
        <f>Overview!$E$138</f>
        <v>0</v>
      </c>
      <c r="J1346" s="115">
        <f t="shared" si="453"/>
        <v>0</v>
      </c>
      <c r="K1346" s="116">
        <f>Overview!$H$138</f>
        <v>0</v>
      </c>
      <c r="L1346" s="117" t="e">
        <f t="shared" si="454"/>
        <v>#DIV/0!</v>
      </c>
      <c r="M1346" s="179"/>
      <c r="N1346" s="179" t="s">
        <v>1262</v>
      </c>
      <c r="O1346" s="141">
        <f t="shared" si="455"/>
        <v>0</v>
      </c>
      <c r="P1346" s="181" t="b">
        <f>COUNTIF('Facility Data'!$A$1:$A$1500,"*"&amp;A1346&amp;"*")&gt;0</f>
        <v>0</v>
      </c>
      <c r="Q1346" s="181" t="b">
        <f>COUNTIF('Account Data'!$A$1:$A$1000,"*"&amp;A1346&amp;"*")&gt;0</f>
        <v>0</v>
      </c>
      <c r="R1346" s="182" t="b">
        <f t="shared" si="456"/>
        <v>0</v>
      </c>
      <c r="S1346" s="182" t="b">
        <f t="shared" si="457"/>
        <v>0</v>
      </c>
      <c r="T1346" s="181" t="b">
        <f>COUNTIF('New Items'!$A$1:$A$175,A1346)&gt;0</f>
        <v>0</v>
      </c>
      <c r="U1346" s="181" t="b">
        <f>COUNTIF(Discontinued!$A$1:$A$150,A1346)&gt;0</f>
        <v>0</v>
      </c>
    </row>
    <row r="1347" spans="1:21" s="8" customFormat="1" ht="11.25" x14ac:dyDescent="0.2">
      <c r="A1347" s="152">
        <v>10120842</v>
      </c>
      <c r="B1347" s="10" t="s">
        <v>1127</v>
      </c>
      <c r="C1347" s="118" t="s">
        <v>1139</v>
      </c>
      <c r="D1347" s="119" t="s">
        <v>693</v>
      </c>
      <c r="E1347" s="118" t="s">
        <v>772</v>
      </c>
      <c r="F1347" s="120">
        <v>12</v>
      </c>
      <c r="G1347" s="121">
        <f>Overview!$B$138</f>
        <v>24</v>
      </c>
      <c r="H1347" s="114">
        <f t="shared" si="452"/>
        <v>24</v>
      </c>
      <c r="I1347" s="114">
        <f>Overview!$E$138</f>
        <v>0</v>
      </c>
      <c r="J1347" s="115">
        <f t="shared" si="453"/>
        <v>0</v>
      </c>
      <c r="K1347" s="116">
        <f>Overview!$H$138</f>
        <v>0</v>
      </c>
      <c r="L1347" s="117" t="e">
        <f t="shared" si="454"/>
        <v>#DIV/0!</v>
      </c>
      <c r="M1347" s="179"/>
      <c r="N1347" s="179" t="s">
        <v>1262</v>
      </c>
      <c r="O1347" s="141">
        <f t="shared" si="455"/>
        <v>0</v>
      </c>
      <c r="P1347" s="181" t="b">
        <f>COUNTIF('Facility Data'!$A$1:$A$1500,"*"&amp;A1347&amp;"*")&gt;0</f>
        <v>0</v>
      </c>
      <c r="Q1347" s="181" t="b">
        <f>COUNTIF('Account Data'!$A$1:$A$1000,"*"&amp;A1347&amp;"*")&gt;0</f>
        <v>0</v>
      </c>
      <c r="R1347" s="182" t="b">
        <f t="shared" si="456"/>
        <v>0</v>
      </c>
      <c r="S1347" s="182" t="b">
        <f t="shared" si="457"/>
        <v>0</v>
      </c>
      <c r="T1347" s="181" t="b">
        <f>COUNTIF('New Items'!$A$1:$A$175,A1347)&gt;0</f>
        <v>0</v>
      </c>
      <c r="U1347" s="181" t="b">
        <f>COUNTIF(Discontinued!$A$1:$A$150,A1347)&gt;0</f>
        <v>0</v>
      </c>
    </row>
    <row r="1348" spans="1:21" s="8" customFormat="1" ht="11.25" x14ac:dyDescent="0.2">
      <c r="A1348" s="152">
        <v>10120841</v>
      </c>
      <c r="B1348" s="10" t="s">
        <v>1128</v>
      </c>
      <c r="C1348" s="118" t="s">
        <v>1144</v>
      </c>
      <c r="D1348" s="119" t="s">
        <v>1145</v>
      </c>
      <c r="E1348" s="118" t="s">
        <v>772</v>
      </c>
      <c r="F1348" s="120">
        <v>12</v>
      </c>
      <c r="G1348" s="121">
        <f>Overview!$B$138</f>
        <v>24</v>
      </c>
      <c r="H1348" s="114">
        <f t="shared" si="452"/>
        <v>24</v>
      </c>
      <c r="I1348" s="114">
        <f>Overview!$E$138</f>
        <v>0</v>
      </c>
      <c r="J1348" s="115">
        <f t="shared" si="453"/>
        <v>0</v>
      </c>
      <c r="K1348" s="116">
        <f>Overview!$H$138</f>
        <v>0</v>
      </c>
      <c r="L1348" s="117" t="e">
        <f t="shared" si="454"/>
        <v>#DIV/0!</v>
      </c>
      <c r="M1348" s="179"/>
      <c r="N1348" s="179" t="s">
        <v>1262</v>
      </c>
      <c r="O1348" s="141">
        <f t="shared" si="455"/>
        <v>0</v>
      </c>
      <c r="P1348" s="181" t="b">
        <f>COUNTIF('Facility Data'!$A$1:$A$1500,"*"&amp;A1348&amp;"*")&gt;0</f>
        <v>0</v>
      </c>
      <c r="Q1348" s="181" t="b">
        <f>COUNTIF('Account Data'!$A$1:$A$1000,"*"&amp;A1348&amp;"*")&gt;0</f>
        <v>0</v>
      </c>
      <c r="R1348" s="182" t="b">
        <f t="shared" si="456"/>
        <v>0</v>
      </c>
      <c r="S1348" s="182" t="b">
        <f t="shared" si="457"/>
        <v>0</v>
      </c>
      <c r="T1348" s="181" t="b">
        <f>COUNTIF('New Items'!$A$1:$A$175,A1348)&gt;0</f>
        <v>0</v>
      </c>
      <c r="U1348" s="181" t="b">
        <f>COUNTIF(Discontinued!$A$1:$A$150,A1348)&gt;0</f>
        <v>0</v>
      </c>
    </row>
    <row r="1349" spans="1:21" s="8" customFormat="1" ht="11.25" x14ac:dyDescent="0.2">
      <c r="A1349" s="152">
        <v>10120844</v>
      </c>
      <c r="B1349" s="10" t="s">
        <v>1125</v>
      </c>
      <c r="C1349" s="118" t="s">
        <v>1131</v>
      </c>
      <c r="D1349" s="119" t="s">
        <v>1132</v>
      </c>
      <c r="E1349" s="118" t="s">
        <v>772</v>
      </c>
      <c r="F1349" s="120">
        <v>12</v>
      </c>
      <c r="G1349" s="121">
        <f>Overview!$B$138</f>
        <v>24</v>
      </c>
      <c r="H1349" s="114">
        <f t="shared" si="452"/>
        <v>24</v>
      </c>
      <c r="I1349" s="114">
        <f>Overview!$E$138</f>
        <v>0</v>
      </c>
      <c r="J1349" s="115">
        <f t="shared" si="453"/>
        <v>0</v>
      </c>
      <c r="K1349" s="116">
        <f>Overview!$H$138</f>
        <v>0</v>
      </c>
      <c r="L1349" s="117" t="e">
        <f t="shared" si="454"/>
        <v>#DIV/0!</v>
      </c>
      <c r="M1349" s="179"/>
      <c r="N1349" s="179" t="s">
        <v>1262</v>
      </c>
      <c r="O1349" s="141">
        <f t="shared" si="455"/>
        <v>0</v>
      </c>
      <c r="P1349" s="181" t="b">
        <f>COUNTIF('Facility Data'!$A$1:$A$1500,"*"&amp;A1349&amp;"*")&gt;0</f>
        <v>0</v>
      </c>
      <c r="Q1349" s="181" t="b">
        <f>COUNTIF('Account Data'!$A$1:$A$1000,"*"&amp;A1349&amp;"*")&gt;0</f>
        <v>0</v>
      </c>
      <c r="R1349" s="182" t="b">
        <f t="shared" si="456"/>
        <v>0</v>
      </c>
      <c r="S1349" s="182" t="b">
        <f t="shared" si="457"/>
        <v>0</v>
      </c>
      <c r="T1349" s="181" t="b">
        <f>COUNTIF('New Items'!$A$1:$A$175,A1349)&gt;0</f>
        <v>0</v>
      </c>
      <c r="U1349" s="181" t="b">
        <f>COUNTIF(Discontinued!$A$1:$A$150,A1349)&gt;0</f>
        <v>0</v>
      </c>
    </row>
    <row r="1350" spans="1:21" s="8" customFormat="1" ht="11.25" x14ac:dyDescent="0.2">
      <c r="A1350" s="152">
        <v>10120843</v>
      </c>
      <c r="B1350" s="10" t="s">
        <v>3346</v>
      </c>
      <c r="C1350" s="118" t="s">
        <v>1140</v>
      </c>
      <c r="D1350" s="119" t="s">
        <v>1141</v>
      </c>
      <c r="E1350" s="118" t="s">
        <v>772</v>
      </c>
      <c r="F1350" s="120">
        <v>12</v>
      </c>
      <c r="G1350" s="121">
        <f>Overview!$B$138</f>
        <v>24</v>
      </c>
      <c r="H1350" s="114">
        <f t="shared" si="452"/>
        <v>24</v>
      </c>
      <c r="I1350" s="114">
        <f>Overview!$E$138</f>
        <v>0</v>
      </c>
      <c r="J1350" s="115">
        <f t="shared" si="453"/>
        <v>0</v>
      </c>
      <c r="K1350" s="116">
        <f>Overview!$H$138</f>
        <v>0</v>
      </c>
      <c r="L1350" s="117" t="e">
        <f t="shared" si="454"/>
        <v>#DIV/0!</v>
      </c>
      <c r="M1350" s="179"/>
      <c r="N1350" s="179" t="s">
        <v>1262</v>
      </c>
      <c r="O1350" s="141">
        <f t="shared" si="455"/>
        <v>0</v>
      </c>
      <c r="P1350" s="181" t="b">
        <f>COUNTIF('Facility Data'!$A$1:$A$1500,"*"&amp;A1350&amp;"*")&gt;0</f>
        <v>0</v>
      </c>
      <c r="Q1350" s="181" t="b">
        <f>COUNTIF('Account Data'!$A$1:$A$1000,"*"&amp;A1350&amp;"*")&gt;0</f>
        <v>0</v>
      </c>
      <c r="R1350" s="182" t="b">
        <f t="shared" si="456"/>
        <v>0</v>
      </c>
      <c r="S1350" s="182" t="b">
        <f t="shared" si="457"/>
        <v>0</v>
      </c>
      <c r="T1350" s="181" t="b">
        <f>COUNTIF('New Items'!$A$1:$A$175,A1350)&gt;0</f>
        <v>0</v>
      </c>
      <c r="U1350" s="181" t="b">
        <f>COUNTIF(Discontinued!$A$1:$A$150,A1350)&gt;0</f>
        <v>0</v>
      </c>
    </row>
    <row r="1351" spans="1:21" s="8" customFormat="1" ht="11.25" x14ac:dyDescent="0.2">
      <c r="A1351" s="152">
        <v>10120845</v>
      </c>
      <c r="B1351" s="10" t="s">
        <v>3347</v>
      </c>
      <c r="C1351" s="118" t="s">
        <v>1142</v>
      </c>
      <c r="D1351" s="119" t="s">
        <v>1143</v>
      </c>
      <c r="E1351" s="118" t="s">
        <v>772</v>
      </c>
      <c r="F1351" s="120">
        <v>12</v>
      </c>
      <c r="G1351" s="121">
        <f>Overview!$B$138</f>
        <v>24</v>
      </c>
      <c r="H1351" s="114">
        <f t="shared" si="452"/>
        <v>24</v>
      </c>
      <c r="I1351" s="114">
        <f>Overview!$E$138</f>
        <v>0</v>
      </c>
      <c r="J1351" s="115">
        <f t="shared" si="453"/>
        <v>0</v>
      </c>
      <c r="K1351" s="116">
        <f>Overview!$H$138</f>
        <v>0</v>
      </c>
      <c r="L1351" s="117" t="e">
        <f t="shared" si="454"/>
        <v>#DIV/0!</v>
      </c>
      <c r="M1351" s="179"/>
      <c r="N1351" s="179" t="s">
        <v>1262</v>
      </c>
      <c r="O1351" s="141">
        <f t="shared" si="455"/>
        <v>0</v>
      </c>
      <c r="P1351" s="181" t="b">
        <f>COUNTIF('Facility Data'!$A$1:$A$1500,"*"&amp;A1351&amp;"*")&gt;0</f>
        <v>0</v>
      </c>
      <c r="Q1351" s="181" t="b">
        <f>COUNTIF('Account Data'!$A$1:$A$1000,"*"&amp;A1351&amp;"*")&gt;0</f>
        <v>0</v>
      </c>
      <c r="R1351" s="182" t="b">
        <f t="shared" si="456"/>
        <v>0</v>
      </c>
      <c r="S1351" s="182" t="b">
        <f t="shared" si="457"/>
        <v>0</v>
      </c>
      <c r="T1351" s="181" t="b">
        <f>COUNTIF('New Items'!$A$1:$A$175,A1351)&gt;0</f>
        <v>0</v>
      </c>
      <c r="U1351" s="181" t="b">
        <f>COUNTIF(Discontinued!$A$1:$A$150,A1351)&gt;0</f>
        <v>0</v>
      </c>
    </row>
    <row r="1352" spans="1:21" s="8" customFormat="1" ht="12" thickBot="1" x14ac:dyDescent="0.25">
      <c r="A1352" s="152">
        <v>10120849</v>
      </c>
      <c r="B1352" s="10" t="s">
        <v>1129</v>
      </c>
      <c r="C1352" s="118" t="s">
        <v>1146</v>
      </c>
      <c r="D1352" s="119" t="s">
        <v>1147</v>
      </c>
      <c r="E1352" s="118" t="s">
        <v>772</v>
      </c>
      <c r="F1352" s="120">
        <v>12</v>
      </c>
      <c r="G1352" s="121">
        <f>Overview!$B$138</f>
        <v>24</v>
      </c>
      <c r="H1352" s="114">
        <f t="shared" si="452"/>
        <v>24</v>
      </c>
      <c r="I1352" s="114">
        <f>Overview!$E$138</f>
        <v>0</v>
      </c>
      <c r="J1352" s="115">
        <f t="shared" si="453"/>
        <v>0</v>
      </c>
      <c r="K1352" s="116">
        <f>Overview!$H$138</f>
        <v>0</v>
      </c>
      <c r="L1352" s="117" t="e">
        <f t="shared" si="454"/>
        <v>#DIV/0!</v>
      </c>
      <c r="M1352" s="179"/>
      <c r="N1352" s="179" t="s">
        <v>1262</v>
      </c>
      <c r="O1352" s="141">
        <f t="shared" si="455"/>
        <v>0</v>
      </c>
      <c r="P1352" s="181" t="b">
        <f>COUNTIF('Facility Data'!$A$1:$A$1500,"*"&amp;A1352&amp;"*")&gt;0</f>
        <v>0</v>
      </c>
      <c r="Q1352" s="181" t="b">
        <f>COUNTIF('Account Data'!$A$1:$A$1000,"*"&amp;A1352&amp;"*")&gt;0</f>
        <v>0</v>
      </c>
      <c r="R1352" s="182" t="b">
        <f t="shared" si="456"/>
        <v>0</v>
      </c>
      <c r="S1352" s="182" t="b">
        <f t="shared" si="457"/>
        <v>0</v>
      </c>
      <c r="T1352" s="181" t="b">
        <f>COUNTIF('New Items'!$A$1:$A$175,A1352)&gt;0</f>
        <v>0</v>
      </c>
      <c r="U1352" s="181" t="b">
        <f>COUNTIF(Discontinued!$A$1:$A$150,A1352)&gt;0</f>
        <v>0</v>
      </c>
    </row>
    <row r="1353" spans="1:21" s="8" customFormat="1" ht="13.5" thickBot="1" x14ac:dyDescent="0.25">
      <c r="A1353" s="300" t="s">
        <v>486</v>
      </c>
      <c r="B1353" s="301"/>
      <c r="C1353" s="301"/>
      <c r="D1353" s="301"/>
      <c r="E1353" s="301"/>
      <c r="F1353" s="301"/>
      <c r="G1353" s="301"/>
      <c r="H1353" s="301"/>
      <c r="I1353" s="301"/>
      <c r="J1353" s="301"/>
      <c r="K1353" s="301"/>
      <c r="L1353" s="302"/>
      <c r="M1353" s="179"/>
      <c r="N1353" s="179" t="s">
        <v>486</v>
      </c>
      <c r="O1353" s="141">
        <f>AVERAGE(O1354:O1360)</f>
        <v>0</v>
      </c>
      <c r="P1353" s="181" t="b">
        <f>COUNTIF(P1354:P1360,TRUE)&gt;0</f>
        <v>1</v>
      </c>
      <c r="Q1353" s="181" t="b">
        <f>COUNTIF(Q1354:Q1360,TRUE)&gt;0</f>
        <v>1</v>
      </c>
      <c r="R1353" s="181" t="b">
        <f>COUNTIF(R1354:R1360,TRUE)&gt;0</f>
        <v>1</v>
      </c>
      <c r="S1353" s="181" t="b">
        <f>COUNTIF(S1354:S1360,TRUE)&gt;0</f>
        <v>1</v>
      </c>
      <c r="T1353" s="181" t="b">
        <f>COUNTIF(T1354:T1360,TRUE)&gt;0</f>
        <v>0</v>
      </c>
      <c r="U1353" s="249"/>
    </row>
    <row r="1354" spans="1:21" s="8" customFormat="1" ht="11.25" x14ac:dyDescent="0.2">
      <c r="A1354" s="152">
        <v>10027596</v>
      </c>
      <c r="B1354" s="10" t="s">
        <v>2983</v>
      </c>
      <c r="C1354" s="12" t="s">
        <v>2984</v>
      </c>
      <c r="D1354" s="11" t="s">
        <v>3067</v>
      </c>
      <c r="E1354" s="12" t="s">
        <v>785</v>
      </c>
      <c r="F1354" s="13">
        <v>24</v>
      </c>
      <c r="G1354" s="22">
        <f>Overview!$B$119</f>
        <v>14</v>
      </c>
      <c r="H1354" s="23">
        <f t="shared" ref="H1354:H1360" si="458">G1354-I1354</f>
        <v>14</v>
      </c>
      <c r="I1354" s="114">
        <f>Overview!$E$119</f>
        <v>0</v>
      </c>
      <c r="J1354" s="52">
        <f t="shared" ref="J1354:J1360" si="459">I1354/F1354</f>
        <v>0</v>
      </c>
      <c r="K1354" s="174">
        <f>Overview!$H$119</f>
        <v>0</v>
      </c>
      <c r="L1354" s="54" t="e">
        <f t="shared" ref="L1354:L1360" si="460">(K1354-J1354)/K1354</f>
        <v>#DIV/0!</v>
      </c>
      <c r="M1354" s="179"/>
      <c r="N1354" s="179" t="s">
        <v>486</v>
      </c>
      <c r="O1354" s="141">
        <f t="shared" ref="O1354:O1360" si="461">I1354</f>
        <v>0</v>
      </c>
      <c r="P1354" s="181" t="b">
        <f>COUNTIF('Facility Data'!$A$1:$A$1500,"*"&amp;A1354&amp;"*")&gt;0</f>
        <v>0</v>
      </c>
      <c r="Q1354" s="181" t="b">
        <f>COUNTIF('Account Data'!$A$1:$A$1000,"*"&amp;A1354&amp;"*")&gt;0</f>
        <v>0</v>
      </c>
      <c r="R1354" s="182" t="b">
        <f t="shared" ref="R1354:R1360" si="462">IF(OR(P1354=TRUE,T1354=TRUE),TRUE,FALSE)</f>
        <v>0</v>
      </c>
      <c r="S1354" s="182" t="b">
        <f t="shared" ref="S1354:S1360" si="463">IF(OR(Q1354=TRUE,T1354=TRUE),TRUE,FALSE)</f>
        <v>0</v>
      </c>
      <c r="T1354" s="181" t="b">
        <f>COUNTIF('New Items'!$A$1:$A$175,A1354)&gt;0</f>
        <v>0</v>
      </c>
      <c r="U1354" s="181" t="b">
        <f>COUNTIF(Discontinued!$A$1:$A$150,A1354)&gt;0</f>
        <v>0</v>
      </c>
    </row>
    <row r="1355" spans="1:21" s="8" customFormat="1" ht="11.25" x14ac:dyDescent="0.2">
      <c r="A1355" s="152">
        <v>10006598</v>
      </c>
      <c r="B1355" s="10" t="s">
        <v>1366</v>
      </c>
      <c r="C1355" s="12" t="s">
        <v>1367</v>
      </c>
      <c r="D1355" s="11" t="s">
        <v>3068</v>
      </c>
      <c r="E1355" s="12" t="s">
        <v>785</v>
      </c>
      <c r="F1355" s="13">
        <v>4</v>
      </c>
      <c r="G1355" s="22">
        <f>Overview!$B$120</f>
        <v>16</v>
      </c>
      <c r="H1355" s="23">
        <f t="shared" si="458"/>
        <v>16</v>
      </c>
      <c r="I1355" s="114">
        <f>Overview!$E$120</f>
        <v>0</v>
      </c>
      <c r="J1355" s="52">
        <f t="shared" si="459"/>
        <v>0</v>
      </c>
      <c r="K1355" s="174">
        <f>Overview!$H$120</f>
        <v>0</v>
      </c>
      <c r="L1355" s="54" t="e">
        <f t="shared" si="460"/>
        <v>#DIV/0!</v>
      </c>
      <c r="M1355" s="179"/>
      <c r="N1355" s="179" t="s">
        <v>486</v>
      </c>
      <c r="O1355" s="141">
        <f t="shared" si="461"/>
        <v>0</v>
      </c>
      <c r="P1355" s="181" t="b">
        <f>COUNTIF('Facility Data'!$A$1:$A$1500,"*"&amp;A1355&amp;"*")&gt;0</f>
        <v>0</v>
      </c>
      <c r="Q1355" s="181" t="b">
        <f>COUNTIF('Account Data'!$A$1:$A$1000,"*"&amp;A1355&amp;"*")&gt;0</f>
        <v>0</v>
      </c>
      <c r="R1355" s="182" t="b">
        <f t="shared" si="462"/>
        <v>0</v>
      </c>
      <c r="S1355" s="182" t="b">
        <f t="shared" si="463"/>
        <v>0</v>
      </c>
      <c r="T1355" s="181" t="b">
        <f>COUNTIF('New Items'!$A$1:$A$175,A1355)&gt;0</f>
        <v>0</v>
      </c>
      <c r="U1355" s="181" t="b">
        <f>COUNTIF(Discontinued!$A$1:$A$150,A1355)&gt;0</f>
        <v>0</v>
      </c>
    </row>
    <row r="1356" spans="1:21" s="8" customFormat="1" ht="11.25" x14ac:dyDescent="0.2">
      <c r="A1356" s="152">
        <v>10006605</v>
      </c>
      <c r="B1356" s="10" t="s">
        <v>2981</v>
      </c>
      <c r="C1356" s="12" t="s">
        <v>2982</v>
      </c>
      <c r="D1356" s="11" t="s">
        <v>3069</v>
      </c>
      <c r="E1356" s="12" t="s">
        <v>785</v>
      </c>
      <c r="F1356" s="13">
        <v>2</v>
      </c>
      <c r="G1356" s="22">
        <f>Overview!$B$121</f>
        <v>16</v>
      </c>
      <c r="H1356" s="23">
        <f t="shared" si="458"/>
        <v>16</v>
      </c>
      <c r="I1356" s="114">
        <f>Overview!$E$121</f>
        <v>0</v>
      </c>
      <c r="J1356" s="52">
        <f t="shared" si="459"/>
        <v>0</v>
      </c>
      <c r="K1356" s="174">
        <f>Overview!$H$121</f>
        <v>0</v>
      </c>
      <c r="L1356" s="54" t="e">
        <f t="shared" si="460"/>
        <v>#DIV/0!</v>
      </c>
      <c r="M1356" s="179"/>
      <c r="N1356" s="179" t="s">
        <v>486</v>
      </c>
      <c r="O1356" s="141">
        <f t="shared" si="461"/>
        <v>0</v>
      </c>
      <c r="P1356" s="181" t="b">
        <f>COUNTIF('Facility Data'!$A$1:$A$1500,"*"&amp;A1356&amp;"*")&gt;0</f>
        <v>0</v>
      </c>
      <c r="Q1356" s="181" t="b">
        <f>COUNTIF('Account Data'!$A$1:$A$1000,"*"&amp;A1356&amp;"*")&gt;0</f>
        <v>0</v>
      </c>
      <c r="R1356" s="182" t="b">
        <f t="shared" si="462"/>
        <v>0</v>
      </c>
      <c r="S1356" s="182" t="b">
        <f t="shared" si="463"/>
        <v>0</v>
      </c>
      <c r="T1356" s="181" t="b">
        <f>COUNTIF('New Items'!$A$1:$A$175,A1356)&gt;0</f>
        <v>0</v>
      </c>
      <c r="U1356" s="181" t="b">
        <f>COUNTIF(Discontinued!$A$1:$A$150,A1356)&gt;0</f>
        <v>0</v>
      </c>
    </row>
    <row r="1357" spans="1:21" s="8" customFormat="1" ht="11.25" x14ac:dyDescent="0.2">
      <c r="A1357" s="152">
        <v>10085752</v>
      </c>
      <c r="B1357" s="10" t="s">
        <v>487</v>
      </c>
      <c r="C1357" s="12" t="s">
        <v>488</v>
      </c>
      <c r="D1357" s="11" t="s">
        <v>3070</v>
      </c>
      <c r="E1357" s="12" t="s">
        <v>785</v>
      </c>
      <c r="F1357" s="13">
        <v>12</v>
      </c>
      <c r="G1357" s="22">
        <f>Overview!$B$122</f>
        <v>15</v>
      </c>
      <c r="H1357" s="23">
        <f t="shared" si="458"/>
        <v>15</v>
      </c>
      <c r="I1357" s="114">
        <f>Overview!$E$122</f>
        <v>0</v>
      </c>
      <c r="J1357" s="52">
        <f t="shared" si="459"/>
        <v>0</v>
      </c>
      <c r="K1357" s="174">
        <f>Overview!$H$122</f>
        <v>0</v>
      </c>
      <c r="L1357" s="54" t="e">
        <f t="shared" si="460"/>
        <v>#DIV/0!</v>
      </c>
      <c r="M1357" s="179"/>
      <c r="N1357" s="179" t="s">
        <v>486</v>
      </c>
      <c r="O1357" s="141">
        <f t="shared" si="461"/>
        <v>0</v>
      </c>
      <c r="P1357" s="181" t="b">
        <f>COUNTIF('Facility Data'!$A$1:$A$1500,"*"&amp;A1357&amp;"*")&gt;0</f>
        <v>0</v>
      </c>
      <c r="Q1357" s="181" t="b">
        <f>COUNTIF('Account Data'!$A$1:$A$1000,"*"&amp;A1357&amp;"*")&gt;0</f>
        <v>1</v>
      </c>
      <c r="R1357" s="182" t="b">
        <f t="shared" si="462"/>
        <v>0</v>
      </c>
      <c r="S1357" s="182" t="b">
        <f t="shared" si="463"/>
        <v>1</v>
      </c>
      <c r="T1357" s="181" t="b">
        <f>COUNTIF('New Items'!$A$1:$A$175,A1357)&gt;0</f>
        <v>0</v>
      </c>
      <c r="U1357" s="181" t="b">
        <f>COUNTIF(Discontinued!$A$1:$A$150,A1357)&gt;0</f>
        <v>0</v>
      </c>
    </row>
    <row r="1358" spans="1:21" s="8" customFormat="1" ht="11.25" x14ac:dyDescent="0.2">
      <c r="A1358" s="152">
        <v>10085753</v>
      </c>
      <c r="B1358" s="10" t="s">
        <v>489</v>
      </c>
      <c r="C1358" s="12" t="s">
        <v>490</v>
      </c>
      <c r="D1358" s="11" t="s">
        <v>3071</v>
      </c>
      <c r="E1358" s="12" t="s">
        <v>785</v>
      </c>
      <c r="F1358" s="13">
        <v>12</v>
      </c>
      <c r="G1358" s="22">
        <f>Overview!$B$122</f>
        <v>15</v>
      </c>
      <c r="H1358" s="23">
        <f t="shared" si="458"/>
        <v>15</v>
      </c>
      <c r="I1358" s="114">
        <f>Overview!$E$122</f>
        <v>0</v>
      </c>
      <c r="J1358" s="24">
        <f t="shared" si="459"/>
        <v>0</v>
      </c>
      <c r="K1358" s="116">
        <f>Overview!$H$122</f>
        <v>0</v>
      </c>
      <c r="L1358" s="51" t="e">
        <f t="shared" si="460"/>
        <v>#DIV/0!</v>
      </c>
      <c r="M1358" s="179"/>
      <c r="N1358" s="179" t="s">
        <v>486</v>
      </c>
      <c r="O1358" s="141">
        <f t="shared" si="461"/>
        <v>0</v>
      </c>
      <c r="P1358" s="181" t="b">
        <f>COUNTIF('Facility Data'!$A$1:$A$1500,"*"&amp;A1358&amp;"*")&gt;0</f>
        <v>0</v>
      </c>
      <c r="Q1358" s="181" t="b">
        <f>COUNTIF('Account Data'!$A$1:$A$1000,"*"&amp;A1358&amp;"*")&gt;0</f>
        <v>1</v>
      </c>
      <c r="R1358" s="182" t="b">
        <f t="shared" si="462"/>
        <v>0</v>
      </c>
      <c r="S1358" s="182" t="b">
        <f t="shared" si="463"/>
        <v>1</v>
      </c>
      <c r="T1358" s="181" t="b">
        <f>COUNTIF('New Items'!$A$1:$A$175,A1358)&gt;0</f>
        <v>0</v>
      </c>
      <c r="U1358" s="181" t="b">
        <f>COUNTIF(Discontinued!$A$1:$A$150,A1358)&gt;0</f>
        <v>0</v>
      </c>
    </row>
    <row r="1359" spans="1:21" s="8" customFormat="1" ht="11.25" x14ac:dyDescent="0.2">
      <c r="A1359" s="152">
        <v>10006325</v>
      </c>
      <c r="B1359" s="10" t="s">
        <v>1364</v>
      </c>
      <c r="C1359" s="12" t="s">
        <v>1365</v>
      </c>
      <c r="D1359" s="11" t="s">
        <v>3066</v>
      </c>
      <c r="E1359" s="12" t="s">
        <v>769</v>
      </c>
      <c r="F1359" s="13">
        <v>6</v>
      </c>
      <c r="G1359" s="22">
        <f>Overview!$B$123</f>
        <v>26</v>
      </c>
      <c r="H1359" s="23">
        <f t="shared" si="458"/>
        <v>26</v>
      </c>
      <c r="I1359" s="114">
        <f>Overview!$E$123</f>
        <v>0</v>
      </c>
      <c r="J1359" s="52">
        <f t="shared" si="459"/>
        <v>0</v>
      </c>
      <c r="K1359" s="174">
        <f>Overview!$H$123</f>
        <v>0</v>
      </c>
      <c r="L1359" s="54" t="e">
        <f t="shared" si="460"/>
        <v>#DIV/0!</v>
      </c>
      <c r="M1359" s="179"/>
      <c r="N1359" s="179" t="s">
        <v>486</v>
      </c>
      <c r="O1359" s="141">
        <f t="shared" si="461"/>
        <v>0</v>
      </c>
      <c r="P1359" s="181" t="b">
        <f>COUNTIF('Facility Data'!$A$1:$A$1500,"*"&amp;A1359&amp;"*")&gt;0</f>
        <v>0</v>
      </c>
      <c r="Q1359" s="181" t="b">
        <f>COUNTIF('Account Data'!$A$1:$A$1000,"*"&amp;A1359&amp;"*")&gt;0</f>
        <v>0</v>
      </c>
      <c r="R1359" s="182" t="b">
        <f t="shared" si="462"/>
        <v>0</v>
      </c>
      <c r="S1359" s="182" t="b">
        <f t="shared" si="463"/>
        <v>0</v>
      </c>
      <c r="T1359" s="181" t="b">
        <f>COUNTIF('New Items'!$A$1:$A$175,A1359)&gt;0</f>
        <v>0</v>
      </c>
      <c r="U1359" s="181" t="b">
        <f>COUNTIF(Discontinued!$A$1:$A$150,A1359)&gt;0</f>
        <v>0</v>
      </c>
    </row>
    <row r="1360" spans="1:21" s="8" customFormat="1" ht="12" thickBot="1" x14ac:dyDescent="0.25">
      <c r="A1360" s="152">
        <v>10006323</v>
      </c>
      <c r="B1360" s="10" t="s">
        <v>496</v>
      </c>
      <c r="C1360" s="12" t="s">
        <v>497</v>
      </c>
      <c r="D1360" s="11" t="s">
        <v>3065</v>
      </c>
      <c r="E1360" s="12" t="s">
        <v>784</v>
      </c>
      <c r="F1360" s="13">
        <v>24</v>
      </c>
      <c r="G1360" s="22">
        <f>Overview!$B$124</f>
        <v>30</v>
      </c>
      <c r="H1360" s="23">
        <f t="shared" si="458"/>
        <v>30</v>
      </c>
      <c r="I1360" s="114">
        <f>Overview!$E$124</f>
        <v>0</v>
      </c>
      <c r="J1360" s="52">
        <f t="shared" si="459"/>
        <v>0</v>
      </c>
      <c r="K1360" s="174">
        <f>Overview!$H$124</f>
        <v>0</v>
      </c>
      <c r="L1360" s="54" t="e">
        <f t="shared" si="460"/>
        <v>#DIV/0!</v>
      </c>
      <c r="M1360" s="179"/>
      <c r="N1360" s="179" t="s">
        <v>486</v>
      </c>
      <c r="O1360" s="141">
        <f t="shared" si="461"/>
        <v>0</v>
      </c>
      <c r="P1360" s="181" t="b">
        <f>COUNTIF('Facility Data'!$A$1:$A$1500,"*"&amp;A1360&amp;"*")&gt;0</f>
        <v>1</v>
      </c>
      <c r="Q1360" s="181" t="b">
        <f>COUNTIF('Account Data'!$A$1:$A$1000,"*"&amp;A1360&amp;"*")&gt;0</f>
        <v>1</v>
      </c>
      <c r="R1360" s="182" t="b">
        <f t="shared" si="462"/>
        <v>1</v>
      </c>
      <c r="S1360" s="182" t="b">
        <f t="shared" si="463"/>
        <v>1</v>
      </c>
      <c r="T1360" s="181" t="b">
        <f>COUNTIF('New Items'!$A$1:$A$175,A1360)&gt;0</f>
        <v>0</v>
      </c>
      <c r="U1360" s="181" t="b">
        <f>COUNTIF(Discontinued!$A$1:$A$150,A1360)&gt;0</f>
        <v>0</v>
      </c>
    </row>
    <row r="1361" spans="1:21" s="8" customFormat="1" ht="12" thickBot="1" x14ac:dyDescent="0.25">
      <c r="A1361" s="306" t="s">
        <v>793</v>
      </c>
      <c r="B1361" s="307"/>
      <c r="C1361" s="307"/>
      <c r="D1361" s="307"/>
      <c r="E1361" s="307"/>
      <c r="F1361" s="307"/>
      <c r="G1361" s="307"/>
      <c r="H1361" s="307"/>
      <c r="I1361" s="307"/>
      <c r="J1361" s="307"/>
      <c r="K1361" s="307"/>
      <c r="L1361" s="308"/>
      <c r="M1361" s="179"/>
      <c r="N1361" s="179" t="s">
        <v>3386</v>
      </c>
      <c r="O1361" s="179" t="s">
        <v>3386</v>
      </c>
      <c r="P1361" s="180" t="b">
        <f>COUNTIF($N$1361,TRUE)=0</f>
        <v>1</v>
      </c>
      <c r="Q1361" s="180" t="b">
        <f>COUNTIF($N$1361,TRUE)=0</f>
        <v>1</v>
      </c>
      <c r="R1361" s="180" t="b">
        <f>COUNTIF($N$1361,TRUE)=0</f>
        <v>1</v>
      </c>
      <c r="S1361" s="180" t="b">
        <f>COUNTIF($N$1361,TRUE)=0</f>
        <v>1</v>
      </c>
      <c r="T1361" s="180" t="b">
        <f>COUNTIF($N$1361,TRUE)=0</f>
        <v>1</v>
      </c>
      <c r="U1361" s="249"/>
    </row>
    <row r="1362" spans="1:21" x14ac:dyDescent="0.25">
      <c r="M1362" s="142"/>
      <c r="N1362" s="142"/>
      <c r="O1362" s="141">
        <f>I1362</f>
        <v>0</v>
      </c>
    </row>
  </sheetData>
  <autoFilter ref="M2:U1362"/>
  <sortState ref="A1234:X1243">
    <sortCondition ref="D1265:D1274"/>
  </sortState>
  <mergeCells count="116">
    <mergeCell ref="A1220:L1220"/>
    <mergeCell ref="A938:L938"/>
    <mergeCell ref="A925:L925"/>
    <mergeCell ref="A933:L933"/>
    <mergeCell ref="A929:L929"/>
    <mergeCell ref="A991:L991"/>
    <mergeCell ref="A994:L994"/>
    <mergeCell ref="A697:L697"/>
    <mergeCell ref="A713:L713"/>
    <mergeCell ref="A781:L781"/>
    <mergeCell ref="A791:L791"/>
    <mergeCell ref="A796:L796"/>
    <mergeCell ref="A759:L759"/>
    <mergeCell ref="A1009:L1009"/>
    <mergeCell ref="A945:L945"/>
    <mergeCell ref="A959:L959"/>
    <mergeCell ref="A969:L969"/>
    <mergeCell ref="A974:L974"/>
    <mergeCell ref="A849:L849"/>
    <mergeCell ref="A889:L889"/>
    <mergeCell ref="A895:L895"/>
    <mergeCell ref="A910:L910"/>
    <mergeCell ref="A818:L818"/>
    <mergeCell ref="A882:L882"/>
    <mergeCell ref="A1353:L1353"/>
    <mergeCell ref="A1014:L1014"/>
    <mergeCell ref="A1205:L1205"/>
    <mergeCell ref="A1299:L1299"/>
    <mergeCell ref="A1295:L1295"/>
    <mergeCell ref="A1261:L1261"/>
    <mergeCell ref="A1112:L1112"/>
    <mergeCell ref="A1137:L1137"/>
    <mergeCell ref="A1003:L1003"/>
    <mergeCell ref="A1342:L1342"/>
    <mergeCell ref="A1285:L1285"/>
    <mergeCell ref="A1291:L1291"/>
    <mergeCell ref="A1274:L1274"/>
    <mergeCell ref="A1094:L1094"/>
    <mergeCell ref="A1263:L1263"/>
    <mergeCell ref="A1057:L1057"/>
    <mergeCell ref="A1310:L1310"/>
    <mergeCell ref="A1246:L1246"/>
    <mergeCell ref="A1182:L1182"/>
    <mergeCell ref="A1098:L1098"/>
    <mergeCell ref="A1089:L1089"/>
    <mergeCell ref="A1083:L1083"/>
    <mergeCell ref="A1078:L1078"/>
    <mergeCell ref="A1233:L1233"/>
    <mergeCell ref="A1361:L1361"/>
    <mergeCell ref="A720:L720"/>
    <mergeCell ref="A835:L835"/>
    <mergeCell ref="A861:L861"/>
    <mergeCell ref="A1043:L1043"/>
    <mergeCell ref="A858:L858"/>
    <mergeCell ref="A1319:L1319"/>
    <mergeCell ref="A1337:L1337"/>
    <mergeCell ref="A1019:L1019"/>
    <mergeCell ref="A1029:L1029"/>
    <mergeCell ref="A1035:L1035"/>
    <mergeCell ref="A1065:L1065"/>
    <mergeCell ref="A1072:L1072"/>
    <mergeCell ref="A1325:L1325"/>
    <mergeCell ref="A901:L901"/>
    <mergeCell ref="A913:L913"/>
    <mergeCell ref="A723:L723"/>
    <mergeCell ref="A735:L735"/>
    <mergeCell ref="A740:L740"/>
    <mergeCell ref="A746:L746"/>
    <mergeCell ref="A753:L753"/>
    <mergeCell ref="A1052:L1052"/>
    <mergeCell ref="A776:L776"/>
    <mergeCell ref="A917:L917"/>
    <mergeCell ref="A842:L842"/>
    <mergeCell ref="A265:L265"/>
    <mergeCell ref="A304:L304"/>
    <mergeCell ref="A368:L368"/>
    <mergeCell ref="A275:L275"/>
    <mergeCell ref="A406:L406"/>
    <mergeCell ref="A814:L814"/>
    <mergeCell ref="A810:L810"/>
    <mergeCell ref="A806:L806"/>
    <mergeCell ref="A802:L802"/>
    <mergeCell ref="A731:L731"/>
    <mergeCell ref="A429:L429"/>
    <mergeCell ref="A443:L443"/>
    <mergeCell ref="A451:L451"/>
    <mergeCell ref="A525:L525"/>
    <mergeCell ref="A765:L765"/>
    <mergeCell ref="A561:L561"/>
    <mergeCell ref="A569:L569"/>
    <mergeCell ref="A581:L581"/>
    <mergeCell ref="A643:L643"/>
    <mergeCell ref="A632:L632"/>
    <mergeCell ref="A595:L595"/>
    <mergeCell ref="A592:L592"/>
    <mergeCell ref="A674:L674"/>
    <mergeCell ref="A665:L665"/>
    <mergeCell ref="A686:L686"/>
    <mergeCell ref="A538:L538"/>
    <mergeCell ref="I1:L1"/>
    <mergeCell ref="E1:H1"/>
    <mergeCell ref="A662:L662"/>
    <mergeCell ref="A787:L787"/>
    <mergeCell ref="A80:L80"/>
    <mergeCell ref="A183:L183"/>
    <mergeCell ref="A202:L202"/>
    <mergeCell ref="A215:L215"/>
    <mergeCell ref="A247:L247"/>
    <mergeCell ref="A260:L260"/>
    <mergeCell ref="A34:L34"/>
    <mergeCell ref="A223:L223"/>
    <mergeCell ref="A244:L244"/>
    <mergeCell ref="A36:L36"/>
    <mergeCell ref="A178:L178"/>
    <mergeCell ref="A3:L3"/>
    <mergeCell ref="A21:L21"/>
  </mergeCells>
  <conditionalFormatting sqref="D1264:L1273 C560:D560 C416:L416 C419:D419 C420:L421 C427:D428 C426:L426 C375:L375 C377:D377 E1092:L1092 C545:D545 C550:D550 C552:D557 C408:D415 C417:D417 C422:D425">
    <cfRule type="expression" dxfId="862" priority="809">
      <formula>$T375=TRUE</formula>
    </cfRule>
  </conditionalFormatting>
  <conditionalFormatting sqref="D1264:L1273 C560:D560 C416:L416 C419:D419 C420:L421 C427:D428 C426:L426 C375:L375 C377:D377 E1092:L1092 C545:D545 C550:D550 C552:D557 C408:D415 C417:D417 C422:D425">
    <cfRule type="expression" dxfId="861" priority="808">
      <formula>$U375=TRUE</formula>
    </cfRule>
  </conditionalFormatting>
  <conditionalFormatting sqref="C1273">
    <cfRule type="expression" dxfId="860" priority="807">
      <formula>$U1273=TRUE</formula>
    </cfRule>
  </conditionalFormatting>
  <conditionalFormatting sqref="C1273">
    <cfRule type="expression" dxfId="859" priority="806">
      <formula>$T1273=TRUE</formula>
    </cfRule>
  </conditionalFormatting>
  <conditionalFormatting sqref="C1269">
    <cfRule type="expression" dxfId="858" priority="805">
      <formula>$U1269=TRUE</formula>
    </cfRule>
  </conditionalFormatting>
  <conditionalFormatting sqref="C1269">
    <cfRule type="expression" dxfId="857" priority="804">
      <formula>$T1269=TRUE</formula>
    </cfRule>
  </conditionalFormatting>
  <conditionalFormatting sqref="C1272">
    <cfRule type="expression" dxfId="856" priority="803">
      <formula>$U1272=TRUE</formula>
    </cfRule>
  </conditionalFormatting>
  <conditionalFormatting sqref="C1272">
    <cfRule type="expression" dxfId="855" priority="802">
      <formula>$T1272=TRUE</formula>
    </cfRule>
  </conditionalFormatting>
  <conditionalFormatting sqref="C1270">
    <cfRule type="expression" dxfId="854" priority="788">
      <formula>$T1270=TRUE</formula>
    </cfRule>
  </conditionalFormatting>
  <conditionalFormatting sqref="C1268">
    <cfRule type="expression" dxfId="853" priority="801">
      <formula>$U1268=TRUE</formula>
    </cfRule>
  </conditionalFormatting>
  <conditionalFormatting sqref="C1268">
    <cfRule type="expression" dxfId="852" priority="800">
      <formula>$T1268=TRUE</formula>
    </cfRule>
  </conditionalFormatting>
  <conditionalFormatting sqref="C1267">
    <cfRule type="expression" dxfId="851" priority="799">
      <formula>$U1267=TRUE</formula>
    </cfRule>
  </conditionalFormatting>
  <conditionalFormatting sqref="C1267">
    <cfRule type="expression" dxfId="850" priority="798">
      <formula>$T1267=TRUE</formula>
    </cfRule>
  </conditionalFormatting>
  <conditionalFormatting sqref="C1265">
    <cfRule type="expression" dxfId="849" priority="797">
      <formula>$U1265=TRUE</formula>
    </cfRule>
  </conditionalFormatting>
  <conditionalFormatting sqref="C1265">
    <cfRule type="expression" dxfId="848" priority="796">
      <formula>$T1265=TRUE</formula>
    </cfRule>
  </conditionalFormatting>
  <conditionalFormatting sqref="C1271">
    <cfRule type="expression" dxfId="847" priority="795">
      <formula>$U1271=TRUE</formula>
    </cfRule>
  </conditionalFormatting>
  <conditionalFormatting sqref="C1271">
    <cfRule type="expression" dxfId="846" priority="794">
      <formula>$T1271=TRUE</formula>
    </cfRule>
  </conditionalFormatting>
  <conditionalFormatting sqref="C1266">
    <cfRule type="expression" dxfId="845" priority="793">
      <formula>$U1266=TRUE</formula>
    </cfRule>
  </conditionalFormatting>
  <conditionalFormatting sqref="C1266">
    <cfRule type="expression" dxfId="844" priority="792">
      <formula>$T1266=TRUE</formula>
    </cfRule>
  </conditionalFormatting>
  <conditionalFormatting sqref="C1264">
    <cfRule type="expression" dxfId="843" priority="791">
      <formula>$U1264=TRUE</formula>
    </cfRule>
  </conditionalFormatting>
  <conditionalFormatting sqref="C1264">
    <cfRule type="expression" dxfId="842" priority="790">
      <formula>$T1264=TRUE</formula>
    </cfRule>
  </conditionalFormatting>
  <conditionalFormatting sqref="C1270">
    <cfRule type="expression" dxfId="841" priority="789">
      <formula>$U1270=TRUE</formula>
    </cfRule>
  </conditionalFormatting>
  <conditionalFormatting sqref="C997:L997">
    <cfRule type="expression" dxfId="840" priority="785">
      <formula>$T997=TRUE</formula>
    </cfRule>
  </conditionalFormatting>
  <conditionalFormatting sqref="C997:L997">
    <cfRule type="expression" dxfId="839" priority="784">
      <formula>$U997=TRUE</formula>
    </cfRule>
  </conditionalFormatting>
  <conditionalFormatting sqref="C1139:L1139">
    <cfRule type="expression" dxfId="838" priority="783">
      <formula>$T1139=TRUE</formula>
    </cfRule>
  </conditionalFormatting>
  <conditionalFormatting sqref="C1139:L1139">
    <cfRule type="expression" dxfId="837" priority="782">
      <formula>$U1139=TRUE</formula>
    </cfRule>
  </conditionalFormatting>
  <conditionalFormatting sqref="C1180:L1180">
    <cfRule type="expression" dxfId="836" priority="781">
      <formula>$T1180=TRUE</formula>
    </cfRule>
  </conditionalFormatting>
  <conditionalFormatting sqref="C1180:L1180">
    <cfRule type="expression" dxfId="835" priority="780">
      <formula>$U1180=TRUE</formula>
    </cfRule>
  </conditionalFormatting>
  <conditionalFormatting sqref="C1179:L1179">
    <cfRule type="expression" dxfId="834" priority="779">
      <formula>$T1179=TRUE</formula>
    </cfRule>
  </conditionalFormatting>
  <conditionalFormatting sqref="C1179:L1179">
    <cfRule type="expression" dxfId="833" priority="778">
      <formula>$U1179=TRUE</formula>
    </cfRule>
  </conditionalFormatting>
  <conditionalFormatting sqref="C1145:L1145">
    <cfRule type="expression" dxfId="832" priority="777">
      <formula>$T1145=TRUE</formula>
    </cfRule>
  </conditionalFormatting>
  <conditionalFormatting sqref="C1145:L1145">
    <cfRule type="expression" dxfId="831" priority="776">
      <formula>$U1145=TRUE</formula>
    </cfRule>
  </conditionalFormatting>
  <conditionalFormatting sqref="C344:L344">
    <cfRule type="expression" dxfId="830" priority="775">
      <formula>$T344=TRUE</formula>
    </cfRule>
  </conditionalFormatting>
  <conditionalFormatting sqref="C344:L344">
    <cfRule type="expression" dxfId="829" priority="774">
      <formula>$U344=TRUE</formula>
    </cfRule>
  </conditionalFormatting>
  <conditionalFormatting sqref="E334:L334">
    <cfRule type="expression" dxfId="828" priority="773">
      <formula>$T334=TRUE</formula>
    </cfRule>
  </conditionalFormatting>
  <conditionalFormatting sqref="E334:L334">
    <cfRule type="expression" dxfId="827" priority="772">
      <formula>$U334=TRUE</formula>
    </cfRule>
  </conditionalFormatting>
  <conditionalFormatting sqref="C334:D334">
    <cfRule type="expression" dxfId="826" priority="771">
      <formula>$U334=TRUE</formula>
    </cfRule>
  </conditionalFormatting>
  <conditionalFormatting sqref="C334:D334">
    <cfRule type="expression" dxfId="825" priority="770">
      <formula>$T334=TRUE</formula>
    </cfRule>
  </conditionalFormatting>
  <conditionalFormatting sqref="E383:L383">
    <cfRule type="expression" dxfId="824" priority="769">
      <formula>$T383=TRUE</formula>
    </cfRule>
  </conditionalFormatting>
  <conditionalFormatting sqref="E383:L383">
    <cfRule type="expression" dxfId="823" priority="768">
      <formula>$U383=TRUE</formula>
    </cfRule>
  </conditionalFormatting>
  <conditionalFormatting sqref="C383:D383">
    <cfRule type="expression" dxfId="822" priority="767">
      <formula>$U383=TRUE</formula>
    </cfRule>
  </conditionalFormatting>
  <conditionalFormatting sqref="C383:D383">
    <cfRule type="expression" dxfId="821" priority="766">
      <formula>$T383=TRUE</formula>
    </cfRule>
  </conditionalFormatting>
  <conditionalFormatting sqref="C830:L830">
    <cfRule type="expression" dxfId="820" priority="765">
      <formula>$T830=TRUE</formula>
    </cfRule>
  </conditionalFormatting>
  <conditionalFormatting sqref="C830:L830">
    <cfRule type="expression" dxfId="819" priority="764">
      <formula>$U830=TRUE</formula>
    </cfRule>
  </conditionalFormatting>
  <conditionalFormatting sqref="C831:D831">
    <cfRule type="expression" dxfId="818" priority="763">
      <formula>$U831=TRUE</formula>
    </cfRule>
  </conditionalFormatting>
  <conditionalFormatting sqref="C831:D831">
    <cfRule type="expression" dxfId="817" priority="762">
      <formula>$T831=TRUE</formula>
    </cfRule>
  </conditionalFormatting>
  <conditionalFormatting sqref="C666:L666">
    <cfRule type="expression" dxfId="816" priority="755">
      <formula>$U666=TRUE</formula>
    </cfRule>
  </conditionalFormatting>
  <conditionalFormatting sqref="C666:L666">
    <cfRule type="expression" dxfId="815" priority="754">
      <formula>$T666=TRUE</formula>
    </cfRule>
  </conditionalFormatting>
  <conditionalFormatting sqref="C667:L667">
    <cfRule type="expression" dxfId="814" priority="753">
      <formula>$U667=TRUE</formula>
    </cfRule>
  </conditionalFormatting>
  <conditionalFormatting sqref="C667:L667">
    <cfRule type="expression" dxfId="813" priority="752">
      <formula>$T667=TRUE</formula>
    </cfRule>
  </conditionalFormatting>
  <conditionalFormatting sqref="C668:L668">
    <cfRule type="expression" dxfId="812" priority="751">
      <formula>$U668=TRUE</formula>
    </cfRule>
  </conditionalFormatting>
  <conditionalFormatting sqref="C668:L668">
    <cfRule type="expression" dxfId="811" priority="750">
      <formula>$T668=TRUE</formula>
    </cfRule>
  </conditionalFormatting>
  <conditionalFormatting sqref="C669:L669">
    <cfRule type="expression" dxfId="810" priority="749">
      <formula>$U669=TRUE</formula>
    </cfRule>
  </conditionalFormatting>
  <conditionalFormatting sqref="C669:L669">
    <cfRule type="expression" dxfId="809" priority="748">
      <formula>$T669=TRUE</formula>
    </cfRule>
  </conditionalFormatting>
  <conditionalFormatting sqref="C670:L670">
    <cfRule type="expression" dxfId="808" priority="747">
      <formula>$U670=TRUE</formula>
    </cfRule>
  </conditionalFormatting>
  <conditionalFormatting sqref="C670:L670">
    <cfRule type="expression" dxfId="807" priority="746">
      <formula>$T670=TRUE</formula>
    </cfRule>
  </conditionalFormatting>
  <conditionalFormatting sqref="C671:L671">
    <cfRule type="expression" dxfId="806" priority="745">
      <formula>$U671=TRUE</formula>
    </cfRule>
  </conditionalFormatting>
  <conditionalFormatting sqref="C671:L671">
    <cfRule type="expression" dxfId="805" priority="744">
      <formula>$T671=TRUE</formula>
    </cfRule>
  </conditionalFormatting>
  <conditionalFormatting sqref="C672:L672">
    <cfRule type="expression" dxfId="804" priority="743">
      <formula>$U672=TRUE</formula>
    </cfRule>
  </conditionalFormatting>
  <conditionalFormatting sqref="C672:L672">
    <cfRule type="expression" dxfId="803" priority="742">
      <formula>$T672=TRUE</formula>
    </cfRule>
  </conditionalFormatting>
  <conditionalFormatting sqref="C673:L673">
    <cfRule type="expression" dxfId="802" priority="741">
      <formula>$U673=TRUE</formula>
    </cfRule>
  </conditionalFormatting>
  <conditionalFormatting sqref="C673:L673">
    <cfRule type="expression" dxfId="801" priority="740">
      <formula>$T673=TRUE</formula>
    </cfRule>
  </conditionalFormatting>
  <conditionalFormatting sqref="C28:D28">
    <cfRule type="expression" dxfId="800" priority="717">
      <formula>$U28=TRUE</formula>
    </cfRule>
  </conditionalFormatting>
  <conditionalFormatting sqref="C28:D28">
    <cfRule type="expression" dxfId="799" priority="716">
      <formula>$T28=TRUE</formula>
    </cfRule>
  </conditionalFormatting>
  <conditionalFormatting sqref="C29:D29">
    <cfRule type="expression" dxfId="798" priority="715">
      <formula>$U29=TRUE</formula>
    </cfRule>
  </conditionalFormatting>
  <conditionalFormatting sqref="C29:D29">
    <cfRule type="expression" dxfId="797" priority="714">
      <formula>$T29=TRUE</formula>
    </cfRule>
  </conditionalFormatting>
  <conditionalFormatting sqref="E146:L146">
    <cfRule type="expression" dxfId="796" priority="713">
      <formula>$T146=TRUE</formula>
    </cfRule>
  </conditionalFormatting>
  <conditionalFormatting sqref="E146:L146">
    <cfRule type="expression" dxfId="795" priority="712">
      <formula>$U146=TRUE</formula>
    </cfRule>
  </conditionalFormatting>
  <conditionalFormatting sqref="C146:D146">
    <cfRule type="expression" dxfId="794" priority="711">
      <formula>$U146=TRUE</formula>
    </cfRule>
  </conditionalFormatting>
  <conditionalFormatting sqref="C146:D146">
    <cfRule type="expression" dxfId="793" priority="710">
      <formula>$T146=TRUE</formula>
    </cfRule>
  </conditionalFormatting>
  <conditionalFormatting sqref="E105:L105">
    <cfRule type="expression" dxfId="792" priority="679">
      <formula>$T105=TRUE</formula>
    </cfRule>
  </conditionalFormatting>
  <conditionalFormatting sqref="E105:L105">
    <cfRule type="expression" dxfId="791" priority="678">
      <formula>$U105=TRUE</formula>
    </cfRule>
  </conditionalFormatting>
  <conditionalFormatting sqref="E468:L468">
    <cfRule type="expression" dxfId="790" priority="677">
      <formula>$T468=TRUE</formula>
    </cfRule>
  </conditionalFormatting>
  <conditionalFormatting sqref="E468:L468">
    <cfRule type="expression" dxfId="789" priority="676">
      <formula>$U468=TRUE</formula>
    </cfRule>
  </conditionalFormatting>
  <conditionalFormatting sqref="C1301:L1301">
    <cfRule type="expression" dxfId="788" priority="671">
      <formula>$T1301=TRUE</formula>
    </cfRule>
  </conditionalFormatting>
  <conditionalFormatting sqref="C1301:L1301">
    <cfRule type="expression" dxfId="787" priority="670">
      <formula>$U1301=TRUE</formula>
    </cfRule>
  </conditionalFormatting>
  <conditionalFormatting sqref="E1327:L1327">
    <cfRule type="expression" dxfId="786" priority="669">
      <formula>$T1327=TRUE</formula>
    </cfRule>
  </conditionalFormatting>
  <conditionalFormatting sqref="E1327:L1327">
    <cfRule type="expression" dxfId="785" priority="668">
      <formula>$U1327=TRUE</formula>
    </cfRule>
  </conditionalFormatting>
  <conditionalFormatting sqref="C1327:D1327">
    <cfRule type="expression" dxfId="784" priority="667">
      <formula>$U1327=TRUE</formula>
    </cfRule>
  </conditionalFormatting>
  <conditionalFormatting sqref="C1327:D1327">
    <cfRule type="expression" dxfId="783" priority="666">
      <formula>$T1327=TRUE</formula>
    </cfRule>
  </conditionalFormatting>
  <conditionalFormatting sqref="E637:L637">
    <cfRule type="expression" dxfId="782" priority="665">
      <formula>$T637=TRUE</formula>
    </cfRule>
  </conditionalFormatting>
  <conditionalFormatting sqref="E637:L637">
    <cfRule type="expression" dxfId="781" priority="664">
      <formula>$U637=TRUE</formula>
    </cfRule>
  </conditionalFormatting>
  <conditionalFormatting sqref="C637:D637">
    <cfRule type="expression" dxfId="780" priority="663">
      <formula>$U637=TRUE</formula>
    </cfRule>
  </conditionalFormatting>
  <conditionalFormatting sqref="C637:D637">
    <cfRule type="expression" dxfId="779" priority="662">
      <formula>$T637=TRUE</formula>
    </cfRule>
  </conditionalFormatting>
  <conditionalFormatting sqref="C627:L627">
    <cfRule type="expression" dxfId="778" priority="661">
      <formula>$T627=TRUE</formula>
    </cfRule>
  </conditionalFormatting>
  <conditionalFormatting sqref="C627:L627">
    <cfRule type="expression" dxfId="777" priority="660">
      <formula>$U627=TRUE</formula>
    </cfRule>
  </conditionalFormatting>
  <conditionalFormatting sqref="E262:L262">
    <cfRule type="expression" dxfId="776" priority="659">
      <formula>$T262=TRUE</formula>
    </cfRule>
  </conditionalFormatting>
  <conditionalFormatting sqref="E262:L262">
    <cfRule type="expression" dxfId="775" priority="658">
      <formula>$U262=TRUE</formula>
    </cfRule>
  </conditionalFormatting>
  <conditionalFormatting sqref="E50:L50">
    <cfRule type="expression" dxfId="774" priority="641">
      <formula>$T50=TRUE</formula>
    </cfRule>
  </conditionalFormatting>
  <conditionalFormatting sqref="E50:L50">
    <cfRule type="expression" dxfId="773" priority="640">
      <formula>$U50=TRUE</formula>
    </cfRule>
  </conditionalFormatting>
  <conditionalFormatting sqref="E49:L49">
    <cfRule type="expression" dxfId="772" priority="639">
      <formula>$T49=TRUE</formula>
    </cfRule>
  </conditionalFormatting>
  <conditionalFormatting sqref="E49:L49">
    <cfRule type="expression" dxfId="771" priority="638">
      <formula>$U49=TRUE</formula>
    </cfRule>
  </conditionalFormatting>
  <conditionalFormatting sqref="C49">
    <cfRule type="expression" dxfId="770" priority="637">
      <formula>$U49=TRUE</formula>
    </cfRule>
  </conditionalFormatting>
  <conditionalFormatting sqref="C49">
    <cfRule type="expression" dxfId="769" priority="636">
      <formula>$T49=TRUE</formula>
    </cfRule>
  </conditionalFormatting>
  <conditionalFormatting sqref="D49">
    <cfRule type="expression" dxfId="768" priority="635">
      <formula>$U49=TRUE</formula>
    </cfRule>
  </conditionalFormatting>
  <conditionalFormatting sqref="D49">
    <cfRule type="expression" dxfId="767" priority="634">
      <formula>$T49=TRUE</formula>
    </cfRule>
  </conditionalFormatting>
  <conditionalFormatting sqref="C50">
    <cfRule type="expression" dxfId="766" priority="633">
      <formula>$U50=TRUE</formula>
    </cfRule>
  </conditionalFormatting>
  <conditionalFormatting sqref="C50">
    <cfRule type="expression" dxfId="765" priority="632">
      <formula>$T50=TRUE</formula>
    </cfRule>
  </conditionalFormatting>
  <conditionalFormatting sqref="D50">
    <cfRule type="expression" dxfId="764" priority="631">
      <formula>$U50=TRUE</formula>
    </cfRule>
  </conditionalFormatting>
  <conditionalFormatting sqref="D50">
    <cfRule type="expression" dxfId="763" priority="630">
      <formula>$T50=TRUE</formula>
    </cfRule>
  </conditionalFormatting>
  <conditionalFormatting sqref="C153:L153">
    <cfRule type="expression" dxfId="762" priority="629">
      <formula>$T153=TRUE</formula>
    </cfRule>
  </conditionalFormatting>
  <conditionalFormatting sqref="C153:L153">
    <cfRule type="expression" dxfId="761" priority="628">
      <formula>$U153=TRUE</formula>
    </cfRule>
  </conditionalFormatting>
  <conditionalFormatting sqref="E211:L211">
    <cfRule type="expression" dxfId="760" priority="627">
      <formula>$T211=TRUE</formula>
    </cfRule>
  </conditionalFormatting>
  <conditionalFormatting sqref="E211:L211">
    <cfRule type="expression" dxfId="759" priority="626">
      <formula>$U211=TRUE</formula>
    </cfRule>
  </conditionalFormatting>
  <conditionalFormatting sqref="C211:D211">
    <cfRule type="expression" dxfId="758" priority="625">
      <formula>$U211=TRUE</formula>
    </cfRule>
  </conditionalFormatting>
  <conditionalFormatting sqref="C211:D211">
    <cfRule type="expression" dxfId="757" priority="624">
      <formula>$T211=TRUE</formula>
    </cfRule>
  </conditionalFormatting>
  <conditionalFormatting sqref="E1208:L1208">
    <cfRule type="expression" dxfId="756" priority="623">
      <formula>$T1208=TRUE</formula>
    </cfRule>
  </conditionalFormatting>
  <conditionalFormatting sqref="E1208:L1208">
    <cfRule type="expression" dxfId="755" priority="622">
      <formula>$U1208=TRUE</formula>
    </cfRule>
  </conditionalFormatting>
  <conditionalFormatting sqref="D1208">
    <cfRule type="expression" dxfId="754" priority="621">
      <formula>$U1208=TRUE</formula>
    </cfRule>
  </conditionalFormatting>
  <conditionalFormatting sqref="D1208">
    <cfRule type="expression" dxfId="753" priority="620">
      <formula>$T1208=TRUE</formula>
    </cfRule>
  </conditionalFormatting>
  <conditionalFormatting sqref="C1058:D1058">
    <cfRule type="expression" dxfId="752" priority="587">
      <formula>$U1058=TRUE</formula>
    </cfRule>
  </conditionalFormatting>
  <conditionalFormatting sqref="C1058:D1058">
    <cfRule type="expression" dxfId="751" priority="586">
      <formula>$T1058=TRUE</formula>
    </cfRule>
  </conditionalFormatting>
  <conditionalFormatting sqref="C1082:L1082">
    <cfRule type="expression" dxfId="750" priority="585">
      <formula>$T1082=TRUE</formula>
    </cfRule>
  </conditionalFormatting>
  <conditionalFormatting sqref="C1082:L1082">
    <cfRule type="expression" dxfId="749" priority="584">
      <formula>$U1082=TRUE</formula>
    </cfRule>
  </conditionalFormatting>
  <conditionalFormatting sqref="C1080:L1080">
    <cfRule type="expression" dxfId="748" priority="583">
      <formula>$T1080=TRUE</formula>
    </cfRule>
  </conditionalFormatting>
  <conditionalFormatting sqref="C1080:L1080">
    <cfRule type="expression" dxfId="747" priority="582">
      <formula>$U1080=TRUE</formula>
    </cfRule>
  </conditionalFormatting>
  <conditionalFormatting sqref="C1092">
    <cfRule type="expression" dxfId="746" priority="581">
      <formula>$T1092=TRUE</formula>
    </cfRule>
  </conditionalFormatting>
  <conditionalFormatting sqref="C1092">
    <cfRule type="expression" dxfId="745" priority="580">
      <formula>$U1092=TRUE</formula>
    </cfRule>
  </conditionalFormatting>
  <conditionalFormatting sqref="D1092">
    <cfRule type="expression" dxfId="744" priority="579">
      <formula>$T1092=TRUE</formula>
    </cfRule>
  </conditionalFormatting>
  <conditionalFormatting sqref="D1092">
    <cfRule type="expression" dxfId="743" priority="578">
      <formula>$U1092=TRUE</formula>
    </cfRule>
  </conditionalFormatting>
  <conditionalFormatting sqref="C1181:L1181">
    <cfRule type="expression" dxfId="742" priority="573">
      <formula>$T1181=TRUE</formula>
    </cfRule>
  </conditionalFormatting>
  <conditionalFormatting sqref="C1181:L1181">
    <cfRule type="expression" dxfId="741" priority="572">
      <formula>$U1181=TRUE</formula>
    </cfRule>
  </conditionalFormatting>
  <conditionalFormatting sqref="E371:L371">
    <cfRule type="expression" dxfId="740" priority="563">
      <formula>$T371=TRUE</formula>
    </cfRule>
  </conditionalFormatting>
  <conditionalFormatting sqref="E371:L371">
    <cfRule type="expression" dxfId="739" priority="562">
      <formula>$U371=TRUE</formula>
    </cfRule>
  </conditionalFormatting>
  <conditionalFormatting sqref="C371:D371">
    <cfRule type="expression" dxfId="738" priority="551">
      <formula>$U371=TRUE</formula>
    </cfRule>
  </conditionalFormatting>
  <conditionalFormatting sqref="C371:D371">
    <cfRule type="expression" dxfId="737" priority="550">
      <formula>$T371=TRUE</formula>
    </cfRule>
  </conditionalFormatting>
  <conditionalFormatting sqref="E316:L316">
    <cfRule type="expression" dxfId="736" priority="549">
      <formula>$T316=TRUE</formula>
    </cfRule>
  </conditionalFormatting>
  <conditionalFormatting sqref="E316:L316">
    <cfRule type="expression" dxfId="735" priority="548">
      <formula>$U316=TRUE</formula>
    </cfRule>
  </conditionalFormatting>
  <conditionalFormatting sqref="E317:L317">
    <cfRule type="expression" dxfId="734" priority="547">
      <formula>$T317=TRUE</formula>
    </cfRule>
  </conditionalFormatting>
  <conditionalFormatting sqref="E317:L317">
    <cfRule type="expression" dxfId="733" priority="546">
      <formula>$U317=TRUE</formula>
    </cfRule>
  </conditionalFormatting>
  <conditionalFormatting sqref="E312:L312">
    <cfRule type="expression" dxfId="732" priority="545">
      <formula>$T312=TRUE</formula>
    </cfRule>
  </conditionalFormatting>
  <conditionalFormatting sqref="E312:L312">
    <cfRule type="expression" dxfId="731" priority="544">
      <formula>$U312=TRUE</formula>
    </cfRule>
  </conditionalFormatting>
  <conditionalFormatting sqref="C312:D312">
    <cfRule type="expression" dxfId="730" priority="543">
      <formula>$U312=TRUE</formula>
    </cfRule>
  </conditionalFormatting>
  <conditionalFormatting sqref="C312:D312">
    <cfRule type="expression" dxfId="729" priority="542">
      <formula>$T312=TRUE</formula>
    </cfRule>
  </conditionalFormatting>
  <conditionalFormatting sqref="C318:D318">
    <cfRule type="expression" dxfId="728" priority="541">
      <formula>$U318=TRUE</formula>
    </cfRule>
  </conditionalFormatting>
  <conditionalFormatting sqref="C318:D318">
    <cfRule type="expression" dxfId="727" priority="540">
      <formula>$T318=TRUE</formula>
    </cfRule>
  </conditionalFormatting>
  <conditionalFormatting sqref="C317:D317">
    <cfRule type="expression" dxfId="726" priority="539">
      <formula>$U317=TRUE</formula>
    </cfRule>
  </conditionalFormatting>
  <conditionalFormatting sqref="C317:D317">
    <cfRule type="expression" dxfId="725" priority="538">
      <formula>$T317=TRUE</formula>
    </cfRule>
  </conditionalFormatting>
  <conditionalFormatting sqref="C316:D316">
    <cfRule type="expression" dxfId="724" priority="537">
      <formula>$U316=TRUE</formula>
    </cfRule>
  </conditionalFormatting>
  <conditionalFormatting sqref="C316:D316">
    <cfRule type="expression" dxfId="723" priority="536">
      <formula>$T316=TRUE</formula>
    </cfRule>
  </conditionalFormatting>
  <conditionalFormatting sqref="C843:L843">
    <cfRule type="expression" dxfId="722" priority="525">
      <formula>$U843=TRUE</formula>
    </cfRule>
  </conditionalFormatting>
  <conditionalFormatting sqref="C843:L843">
    <cfRule type="expression" dxfId="721" priority="524">
      <formula>$T843=TRUE</formula>
    </cfRule>
  </conditionalFormatting>
  <conditionalFormatting sqref="C844:L844">
    <cfRule type="expression" dxfId="720" priority="523">
      <formula>$U844=TRUE</formula>
    </cfRule>
  </conditionalFormatting>
  <conditionalFormatting sqref="C844:L844">
    <cfRule type="expression" dxfId="719" priority="522">
      <formula>$T844=TRUE</formula>
    </cfRule>
  </conditionalFormatting>
  <conditionalFormatting sqref="C845:L845">
    <cfRule type="expression" dxfId="718" priority="521">
      <formula>$U845=TRUE</formula>
    </cfRule>
  </conditionalFormatting>
  <conditionalFormatting sqref="C845:L845">
    <cfRule type="expression" dxfId="717" priority="520">
      <formula>$T845=TRUE</formula>
    </cfRule>
  </conditionalFormatting>
  <conditionalFormatting sqref="C846:L846">
    <cfRule type="expression" dxfId="716" priority="519">
      <formula>$U846=TRUE</formula>
    </cfRule>
  </conditionalFormatting>
  <conditionalFormatting sqref="C846:L846">
    <cfRule type="expression" dxfId="715" priority="518">
      <formula>$T846=TRUE</formula>
    </cfRule>
  </conditionalFormatting>
  <conditionalFormatting sqref="C847:L847">
    <cfRule type="expression" dxfId="714" priority="517">
      <formula>$U847=TRUE</formula>
    </cfRule>
  </conditionalFormatting>
  <conditionalFormatting sqref="C847:L847">
    <cfRule type="expression" dxfId="713" priority="516">
      <formula>$T847=TRUE</formula>
    </cfRule>
  </conditionalFormatting>
  <conditionalFormatting sqref="C848:L848">
    <cfRule type="expression" dxfId="712" priority="515">
      <formula>$U848=TRUE</formula>
    </cfRule>
  </conditionalFormatting>
  <conditionalFormatting sqref="C848:L848">
    <cfRule type="expression" dxfId="711" priority="514">
      <formula>$T848=TRUE</formula>
    </cfRule>
  </conditionalFormatting>
  <conditionalFormatting sqref="C4:L4 C35:L35 E179:L179 C203:L208 C216:L222 C245:L246 C266:L274 C430:L433 C444:L450 C526:L537 C562:L564 C570:L580 C582:L591 C593:L594 C596:L597 C633:L642 C644:L648 C663:L664 C666:L673 C675:L685 C687:L696 C714:L719 C721:L722 C724:L730 C732:L734 C736:L739 C741:L745 C747:L752 C754:L758 C760:L764 C766:L775 C777:L780 C782:L786 C788:L788 C792:L795 C797:L801 C819:L821 C836:L841 C843:L848 C850:L857 C859:L860 C883:L888 C890:L894 C896:L900 C902:L909 C914:L916 C926:L928 C930:L932 C934:L937 C939:L944 C946:L958 C960:L968 C970:L973 C975:L990 C992:L993 C995:L1002 C1004:L1008 C1015:L1018 C1020:L1028 C1030:L1034 C1036:L1042 C1044:L1051 E1053:L1053 C1058:L1058 C1066:L1071 C1073:L1073 C1079:L1082 C1084:L1088 C1090:L1093 C1099:L1111 C1113:L1113 E1183:L1183 C1221:L1232 C1234:L1245 C1247:L1260 C1262:L1262 C1264:L1273 C1275:L1284 C1286:L1290 C1292:L1294 C1296:L1298 C1300:L1309 C1311:L1318 E1326:L1326 C1338:L1341 C1343:L1352 C1354:L1360 E712:L712 C918:L923 E1055:L1056 C1060:L1060 E1061:L1064 C1095:L1097 C698:L710 E105:L105 C181:L182 C825:L834 C1077:L1077 E1076:L1076 C1334:L1334 C1329:L1332 E1324:L1324 C1320:L1320 C1128:L1130 G545 E560:L560 C210:L214 E468:L468 C566:L568 C369:L379 D402:L402 C248:L259 E261:L264 C608:L631 C600:L605 E607:L607 E599:L599 C650:L661 C790:L790 C435:L438 C440:L442 C1132:L1136 C1138:L1181 C1203:L1203 C911:L912 C1327:L1327 C862:L881 H540:L545 E550:L550 E552:L558 G541:G542 H551:L551 C1116:L1126 C1114 E1114:L1114 C1199:L1199 D1200:L1201 D1185:L1198 D1204:L1204 D1206:L1219 C15:L16 E14:L14 C8:L8 E7:L7 C10:L10 C20:L20 E19:L19 E11:L11 C28:L33 C12:L12 C27 E27:L27 C22:L26 C37:L76 E78:L79 C197:L201 C184:L195 E242:L243 C81:L104 C106:L119 C146:L173 E176:L177 C121:L144 C224:L240 E302:L303 C276:L300 E366:L367 C305:L364 E404:L405 C381:L401 E408:L417 E419:L428 C452:L467 E523:L524 C469:L521">
    <cfRule type="expression" dxfId="710" priority="513">
      <formula>$T4=TRUE</formula>
    </cfRule>
    <cfRule type="expression" dxfId="709" priority="810">
      <formula>$U4=TRUE</formula>
    </cfRule>
  </conditionalFormatting>
  <conditionalFormatting sqref="C711:L711">
    <cfRule type="expression" dxfId="708" priority="511">
      <formula>$T711=TRUE</formula>
    </cfRule>
    <cfRule type="expression" dxfId="707" priority="512">
      <formula>$U711=TRUE</formula>
    </cfRule>
  </conditionalFormatting>
  <conditionalFormatting sqref="C712:D712">
    <cfRule type="expression" dxfId="706" priority="509">
      <formula>$T712=TRUE</formula>
    </cfRule>
    <cfRule type="expression" dxfId="705" priority="510">
      <formula>$U712=TRUE</formula>
    </cfRule>
  </conditionalFormatting>
  <conditionalFormatting sqref="C1010:L1011">
    <cfRule type="expression" dxfId="704" priority="505">
      <formula>$T1010=TRUE</formula>
    </cfRule>
    <cfRule type="expression" dxfId="703" priority="506">
      <formula>$U1010=TRUE</formula>
    </cfRule>
  </conditionalFormatting>
  <conditionalFormatting sqref="C1012:L1012">
    <cfRule type="expression" dxfId="702" priority="503">
      <formula>$T1012=TRUE</formula>
    </cfRule>
    <cfRule type="expression" dxfId="701" priority="504">
      <formula>$U1012=TRUE</formula>
    </cfRule>
  </conditionalFormatting>
  <conditionalFormatting sqref="C1013:L1013">
    <cfRule type="expression" dxfId="700" priority="501">
      <formula>$T1013=TRUE</formula>
    </cfRule>
    <cfRule type="expression" dxfId="699" priority="502">
      <formula>$U1013=TRUE</formula>
    </cfRule>
  </conditionalFormatting>
  <conditionalFormatting sqref="C924:L924">
    <cfRule type="expression" dxfId="698" priority="499">
      <formula>$T924=TRUE</formula>
    </cfRule>
  </conditionalFormatting>
  <conditionalFormatting sqref="C924:L924">
    <cfRule type="expression" dxfId="697" priority="498">
      <formula>$U924=TRUE</formula>
    </cfRule>
  </conditionalFormatting>
  <conditionalFormatting sqref="C924:L924">
    <cfRule type="expression" dxfId="696" priority="497">
      <formula>$T924=TRUE</formula>
    </cfRule>
    <cfRule type="expression" dxfId="695" priority="500">
      <formula>$U924=TRUE</formula>
    </cfRule>
  </conditionalFormatting>
  <conditionalFormatting sqref="E1054:L1054">
    <cfRule type="expression" dxfId="694" priority="485">
      <formula>$T1054=TRUE</formula>
    </cfRule>
    <cfRule type="expression" dxfId="693" priority="486">
      <formula>$U1054=TRUE</formula>
    </cfRule>
  </conditionalFormatting>
  <conditionalFormatting sqref="C1054:D1054">
    <cfRule type="expression" dxfId="692" priority="483">
      <formula>$T1054=TRUE</formula>
    </cfRule>
    <cfRule type="expression" dxfId="691" priority="484">
      <formula>$U1054=TRUE</formula>
    </cfRule>
  </conditionalFormatting>
  <conditionalFormatting sqref="C1056:D1056">
    <cfRule type="expression" dxfId="690" priority="481">
      <formula>$T1056=TRUE</formula>
    </cfRule>
    <cfRule type="expression" dxfId="689" priority="482">
      <formula>$U1056=TRUE</formula>
    </cfRule>
  </conditionalFormatting>
  <conditionalFormatting sqref="C1053:D1053">
    <cfRule type="expression" dxfId="688" priority="477">
      <formula>$T1053=TRUE</formula>
    </cfRule>
    <cfRule type="expression" dxfId="687" priority="478">
      <formula>$U1053=TRUE</formula>
    </cfRule>
  </conditionalFormatting>
  <conditionalFormatting sqref="C1055:D1055">
    <cfRule type="expression" dxfId="686" priority="479">
      <formula>$T1055=TRUE</formula>
    </cfRule>
    <cfRule type="expression" dxfId="685" priority="480">
      <formula>$U1055=TRUE</formula>
    </cfRule>
  </conditionalFormatting>
  <conditionalFormatting sqref="C1059:D1059">
    <cfRule type="expression" dxfId="684" priority="473">
      <formula>$U1059=TRUE</formula>
    </cfRule>
  </conditionalFormatting>
  <conditionalFormatting sqref="C1059:D1059">
    <cfRule type="expression" dxfId="683" priority="472">
      <formula>$T1059=TRUE</formula>
    </cfRule>
  </conditionalFormatting>
  <conditionalFormatting sqref="C1059:L1059">
    <cfRule type="expression" dxfId="682" priority="471">
      <formula>$T1059=TRUE</formula>
    </cfRule>
    <cfRule type="expression" dxfId="681" priority="474">
      <formula>$U1059=TRUE</formula>
    </cfRule>
  </conditionalFormatting>
  <conditionalFormatting sqref="C1061:D1061">
    <cfRule type="expression" dxfId="680" priority="469">
      <formula>$U1061=TRUE</formula>
    </cfRule>
  </conditionalFormatting>
  <conditionalFormatting sqref="C1061:D1061">
    <cfRule type="expression" dxfId="679" priority="468">
      <formula>$T1061=TRUE</formula>
    </cfRule>
  </conditionalFormatting>
  <conditionalFormatting sqref="C1061:D1061">
    <cfRule type="expression" dxfId="678" priority="467">
      <formula>$T1061=TRUE</formula>
    </cfRule>
    <cfRule type="expression" dxfId="677" priority="470">
      <formula>$U1061=TRUE</formula>
    </cfRule>
  </conditionalFormatting>
  <conditionalFormatting sqref="C1063:D1063">
    <cfRule type="expression" dxfId="676" priority="463">
      <formula>$T1063=TRUE</formula>
    </cfRule>
    <cfRule type="expression" dxfId="675" priority="464">
      <formula>$U1063=TRUE</formula>
    </cfRule>
  </conditionalFormatting>
  <conditionalFormatting sqref="C1064:D1064">
    <cfRule type="expression" dxfId="674" priority="459">
      <formula>$T1064=TRUE</formula>
    </cfRule>
    <cfRule type="expression" dxfId="673" priority="460">
      <formula>$U1064=TRUE</formula>
    </cfRule>
  </conditionalFormatting>
  <conditionalFormatting sqref="C1062:D1062">
    <cfRule type="expression" dxfId="672" priority="455">
      <formula>$T1062=TRUE</formula>
    </cfRule>
    <cfRule type="expression" dxfId="671" priority="456">
      <formula>$U1062=TRUE</formula>
    </cfRule>
  </conditionalFormatting>
  <conditionalFormatting sqref="D9:L9">
    <cfRule type="expression" dxfId="670" priority="447">
      <formula>$T9=TRUE</formula>
    </cfRule>
    <cfRule type="expression" dxfId="669" priority="448">
      <formula>$U9=TRUE</formula>
    </cfRule>
  </conditionalFormatting>
  <conditionalFormatting sqref="C9">
    <cfRule type="expression" dxfId="668" priority="445">
      <formula>$T9=TRUE</formula>
    </cfRule>
    <cfRule type="expression" dxfId="667" priority="446">
      <formula>$U9=TRUE</formula>
    </cfRule>
  </conditionalFormatting>
  <conditionalFormatting sqref="C105:D105">
    <cfRule type="expression" dxfId="666" priority="443">
      <formula>$U105=TRUE</formula>
    </cfRule>
  </conditionalFormatting>
  <conditionalFormatting sqref="C105:D105">
    <cfRule type="expression" dxfId="665" priority="442">
      <formula>$T105=TRUE</formula>
    </cfRule>
  </conditionalFormatting>
  <conditionalFormatting sqref="C105:D105">
    <cfRule type="expression" dxfId="664" priority="441">
      <formula>$T105=TRUE</formula>
    </cfRule>
    <cfRule type="expression" dxfId="663" priority="444">
      <formula>$U105=TRUE</formula>
    </cfRule>
  </conditionalFormatting>
  <conditionalFormatting sqref="C180:L180">
    <cfRule type="expression" dxfId="662" priority="439">
      <formula>$T180=TRUE</formula>
    </cfRule>
    <cfRule type="expression" dxfId="661" priority="440">
      <formula>$U180=TRUE</formula>
    </cfRule>
  </conditionalFormatting>
  <conditionalFormatting sqref="C179:D179">
    <cfRule type="expression" dxfId="660" priority="437">
      <formula>$T179=TRUE</formula>
    </cfRule>
    <cfRule type="expression" dxfId="659" priority="438">
      <formula>$U179=TRUE</formula>
    </cfRule>
  </conditionalFormatting>
  <conditionalFormatting sqref="E822:L822">
    <cfRule type="expression" dxfId="658" priority="435">
      <formula>$T822=TRUE</formula>
    </cfRule>
    <cfRule type="expression" dxfId="657" priority="436">
      <formula>$U822=TRUE</formula>
    </cfRule>
  </conditionalFormatting>
  <conditionalFormatting sqref="E823:L823">
    <cfRule type="expression" dxfId="656" priority="433">
      <formula>$T823=TRUE</formula>
    </cfRule>
    <cfRule type="expression" dxfId="655" priority="434">
      <formula>$U823=TRUE</formula>
    </cfRule>
  </conditionalFormatting>
  <conditionalFormatting sqref="E824:L824">
    <cfRule type="expression" dxfId="654" priority="431">
      <formula>$T824=TRUE</formula>
    </cfRule>
    <cfRule type="expression" dxfId="653" priority="432">
      <formula>$U824=TRUE</formula>
    </cfRule>
  </conditionalFormatting>
  <conditionalFormatting sqref="C822:D824">
    <cfRule type="expression" dxfId="652" priority="429">
      <formula>$T822=TRUE</formula>
    </cfRule>
    <cfRule type="expression" dxfId="651" priority="430">
      <formula>$U822=TRUE</formula>
    </cfRule>
  </conditionalFormatting>
  <conditionalFormatting sqref="C1074:L1074">
    <cfRule type="expression" dxfId="650" priority="427">
      <formula>$T1074=TRUE</formula>
    </cfRule>
    <cfRule type="expression" dxfId="649" priority="428">
      <formula>$U1074=TRUE</formula>
    </cfRule>
  </conditionalFormatting>
  <conditionalFormatting sqref="E1075:L1075">
    <cfRule type="expression" dxfId="648" priority="425">
      <formula>$T1075=TRUE</formula>
    </cfRule>
    <cfRule type="expression" dxfId="647" priority="426">
      <formula>$U1075=TRUE</formula>
    </cfRule>
  </conditionalFormatting>
  <conditionalFormatting sqref="C1075:D1076">
    <cfRule type="expression" dxfId="646" priority="423">
      <formula>$T1075=TRUE</formula>
    </cfRule>
    <cfRule type="expression" dxfId="645" priority="424">
      <formula>$U1075=TRUE</formula>
    </cfRule>
  </conditionalFormatting>
  <conditionalFormatting sqref="E1333:L1333">
    <cfRule type="expression" dxfId="644" priority="421">
      <formula>$T1333=TRUE</formula>
    </cfRule>
    <cfRule type="expression" dxfId="643" priority="422">
      <formula>$U1333=TRUE</formula>
    </cfRule>
  </conditionalFormatting>
  <conditionalFormatting sqref="C1333:D1333">
    <cfRule type="expression" dxfId="642" priority="419">
      <formula>$T1333=TRUE</formula>
    </cfRule>
    <cfRule type="expression" dxfId="641" priority="420">
      <formula>$U1333=TRUE</formula>
    </cfRule>
  </conditionalFormatting>
  <conditionalFormatting sqref="E1328:L1328">
    <cfRule type="expression" dxfId="640" priority="417">
      <formula>$T1328=TRUE</formula>
    </cfRule>
    <cfRule type="expression" dxfId="639" priority="418">
      <formula>$U1328=TRUE</formula>
    </cfRule>
  </conditionalFormatting>
  <conditionalFormatting sqref="C1328:D1328">
    <cfRule type="expression" dxfId="638" priority="415">
      <formula>$T1328=TRUE</formula>
    </cfRule>
    <cfRule type="expression" dxfId="637" priority="416">
      <formula>$U1328=TRUE</formula>
    </cfRule>
  </conditionalFormatting>
  <conditionalFormatting sqref="C1326:D1326">
    <cfRule type="expression" dxfId="636" priority="411">
      <formula>$T1326=TRUE</formula>
    </cfRule>
    <cfRule type="expression" dxfId="635" priority="412">
      <formula>$U1326=TRUE</formula>
    </cfRule>
  </conditionalFormatting>
  <conditionalFormatting sqref="E1323:L1323">
    <cfRule type="expression" dxfId="634" priority="409">
      <formula>$T1323=TRUE</formula>
    </cfRule>
    <cfRule type="expression" dxfId="633" priority="410">
      <formula>$U1323=TRUE</formula>
    </cfRule>
  </conditionalFormatting>
  <conditionalFormatting sqref="C1321:L1321">
    <cfRule type="expression" dxfId="632" priority="407">
      <formula>$T1321=TRUE</formula>
    </cfRule>
    <cfRule type="expression" dxfId="631" priority="408">
      <formula>$U1321=TRUE</formula>
    </cfRule>
  </conditionalFormatting>
  <conditionalFormatting sqref="E1322:L1322">
    <cfRule type="expression" dxfId="630" priority="405">
      <formula>$T1322=TRUE</formula>
    </cfRule>
    <cfRule type="expression" dxfId="629" priority="406">
      <formula>$U1322=TRUE</formula>
    </cfRule>
  </conditionalFormatting>
  <conditionalFormatting sqref="D1324">
    <cfRule type="expression" dxfId="628" priority="395">
      <formula>$T1324=TRUE</formula>
    </cfRule>
    <cfRule type="expression" dxfId="627" priority="396">
      <formula>$U1324=TRUE</formula>
    </cfRule>
  </conditionalFormatting>
  <conditionalFormatting sqref="C1324">
    <cfRule type="expression" dxfId="626" priority="397">
      <formula>$T1324=TRUE</formula>
    </cfRule>
    <cfRule type="expression" dxfId="625" priority="398">
      <formula>$U1324=TRUE</formula>
    </cfRule>
  </conditionalFormatting>
  <conditionalFormatting sqref="E1127:L1127">
    <cfRule type="expression" dxfId="624" priority="393">
      <formula>$T1127=TRUE</formula>
    </cfRule>
    <cfRule type="expression" dxfId="623" priority="394">
      <formula>$U1127=TRUE</formula>
    </cfRule>
  </conditionalFormatting>
  <conditionalFormatting sqref="C1127:D1127">
    <cfRule type="expression" dxfId="622" priority="391">
      <formula>$T1127=TRUE</formula>
    </cfRule>
    <cfRule type="expression" dxfId="621" priority="392">
      <formula>$U1127=TRUE</formula>
    </cfRule>
  </conditionalFormatting>
  <conditionalFormatting sqref="E539:L539">
    <cfRule type="expression" dxfId="620" priority="385">
      <formula>$T539=TRUE</formula>
    </cfRule>
    <cfRule type="expression" dxfId="619" priority="386">
      <formula>$U539=TRUE</formula>
    </cfRule>
  </conditionalFormatting>
  <conditionalFormatting sqref="E545:F545">
    <cfRule type="expression" dxfId="618" priority="381">
      <formula>$T545=TRUE</formula>
    </cfRule>
    <cfRule type="expression" dxfId="617" priority="382">
      <formula>$U545=TRUE</formula>
    </cfRule>
  </conditionalFormatting>
  <conditionalFormatting sqref="C539:D539">
    <cfRule type="expression" dxfId="616" priority="374">
      <formula>$U539=TRUE</formula>
    </cfRule>
  </conditionalFormatting>
  <conditionalFormatting sqref="C539:D539">
    <cfRule type="expression" dxfId="615" priority="373">
      <formula>$T539=TRUE</formula>
    </cfRule>
  </conditionalFormatting>
  <conditionalFormatting sqref="C558:D558">
    <cfRule type="expression" dxfId="614" priority="370">
      <formula>$U558=TRUE</formula>
    </cfRule>
  </conditionalFormatting>
  <conditionalFormatting sqref="C558:D558">
    <cfRule type="expression" dxfId="613" priority="369">
      <formula>$T558=TRUE</formula>
    </cfRule>
  </conditionalFormatting>
  <conditionalFormatting sqref="G540">
    <cfRule type="expression" dxfId="612" priority="367">
      <formula>$T540=TRUE</formula>
    </cfRule>
    <cfRule type="expression" dxfId="611" priority="368">
      <formula>$U540=TRUE</formula>
    </cfRule>
  </conditionalFormatting>
  <conditionalFormatting sqref="E540:F540">
    <cfRule type="expression" dxfId="610" priority="365">
      <formula>$T540=TRUE</formula>
    </cfRule>
    <cfRule type="expression" dxfId="609" priority="366">
      <formula>$U540=TRUE</formula>
    </cfRule>
  </conditionalFormatting>
  <conditionalFormatting sqref="C540:D540">
    <cfRule type="expression" dxfId="608" priority="364">
      <formula>$U540=TRUE</formula>
    </cfRule>
  </conditionalFormatting>
  <conditionalFormatting sqref="C540:D540">
    <cfRule type="expression" dxfId="607" priority="363">
      <formula>$T540=TRUE</formula>
    </cfRule>
  </conditionalFormatting>
  <conditionalFormatting sqref="E542:F542">
    <cfRule type="expression" dxfId="606" priority="361">
      <formula>$T542=TRUE</formula>
    </cfRule>
    <cfRule type="expression" dxfId="605" priority="362">
      <formula>$U542=TRUE</formula>
    </cfRule>
  </conditionalFormatting>
  <conditionalFormatting sqref="E541:F541">
    <cfRule type="expression" dxfId="604" priority="359">
      <formula>$T541=TRUE</formula>
    </cfRule>
    <cfRule type="expression" dxfId="603" priority="360">
      <formula>$U541=TRUE</formula>
    </cfRule>
  </conditionalFormatting>
  <conditionalFormatting sqref="C541:D542">
    <cfRule type="expression" dxfId="602" priority="358">
      <formula>$U541=TRUE</formula>
    </cfRule>
  </conditionalFormatting>
  <conditionalFormatting sqref="C541:D542">
    <cfRule type="expression" dxfId="601" priority="357">
      <formula>$T541=TRUE</formula>
    </cfRule>
  </conditionalFormatting>
  <conditionalFormatting sqref="G543">
    <cfRule type="expression" dxfId="600" priority="355">
      <formula>$T543=TRUE</formula>
    </cfRule>
    <cfRule type="expression" dxfId="599" priority="356">
      <formula>$U543=TRUE</formula>
    </cfRule>
  </conditionalFormatting>
  <conditionalFormatting sqref="E543:F543">
    <cfRule type="expression" dxfId="598" priority="353">
      <formula>$T543=TRUE</formula>
    </cfRule>
    <cfRule type="expression" dxfId="597" priority="354">
      <formula>$U543=TRUE</formula>
    </cfRule>
  </conditionalFormatting>
  <conditionalFormatting sqref="C543:D543">
    <cfRule type="expression" dxfId="596" priority="352">
      <formula>$U543=TRUE</formula>
    </cfRule>
  </conditionalFormatting>
  <conditionalFormatting sqref="C543:D543">
    <cfRule type="expression" dxfId="595" priority="351">
      <formula>$T543=TRUE</formula>
    </cfRule>
  </conditionalFormatting>
  <conditionalFormatting sqref="C544:D544">
    <cfRule type="expression" dxfId="594" priority="349">
      <formula>$T544=TRUE</formula>
    </cfRule>
  </conditionalFormatting>
  <conditionalFormatting sqref="C544:D544">
    <cfRule type="expression" dxfId="593" priority="348">
      <formula>$U544=TRUE</formula>
    </cfRule>
  </conditionalFormatting>
  <conditionalFormatting sqref="G544">
    <cfRule type="expression" dxfId="592" priority="347">
      <formula>$T544=TRUE</formula>
    </cfRule>
    <cfRule type="expression" dxfId="591" priority="350">
      <formula>$U544=TRUE</formula>
    </cfRule>
  </conditionalFormatting>
  <conditionalFormatting sqref="E544:F544">
    <cfRule type="expression" dxfId="590" priority="345">
      <formula>$T544=TRUE</formula>
    </cfRule>
    <cfRule type="expression" dxfId="589" priority="346">
      <formula>$U544=TRUE</formula>
    </cfRule>
  </conditionalFormatting>
  <conditionalFormatting sqref="C546:D546">
    <cfRule type="expression" dxfId="588" priority="343">
      <formula>$T546=TRUE</formula>
    </cfRule>
  </conditionalFormatting>
  <conditionalFormatting sqref="C546:D546">
    <cfRule type="expression" dxfId="587" priority="342">
      <formula>$U546=TRUE</formula>
    </cfRule>
  </conditionalFormatting>
  <conditionalFormatting sqref="E546:L546">
    <cfRule type="expression" dxfId="586" priority="341">
      <formula>$T546=TRUE</formula>
    </cfRule>
    <cfRule type="expression" dxfId="585" priority="344">
      <formula>$U546=TRUE</formula>
    </cfRule>
  </conditionalFormatting>
  <conditionalFormatting sqref="C547:D547">
    <cfRule type="expression" dxfId="584" priority="339">
      <formula>$T547=TRUE</formula>
    </cfRule>
  </conditionalFormatting>
  <conditionalFormatting sqref="C547:D547">
    <cfRule type="expression" dxfId="583" priority="338">
      <formula>$U547=TRUE</formula>
    </cfRule>
  </conditionalFormatting>
  <conditionalFormatting sqref="E547:L547">
    <cfRule type="expression" dxfId="582" priority="337">
      <formula>$T547=TRUE</formula>
    </cfRule>
    <cfRule type="expression" dxfId="581" priority="340">
      <formula>$U547=TRUE</formula>
    </cfRule>
  </conditionalFormatting>
  <conditionalFormatting sqref="C548:D548">
    <cfRule type="expression" dxfId="580" priority="335">
      <formula>$T548=TRUE</formula>
    </cfRule>
  </conditionalFormatting>
  <conditionalFormatting sqref="C548:D548">
    <cfRule type="expression" dxfId="579" priority="334">
      <formula>$U548=TRUE</formula>
    </cfRule>
  </conditionalFormatting>
  <conditionalFormatting sqref="E548:L548">
    <cfRule type="expression" dxfId="578" priority="333">
      <formula>$T548=TRUE</formula>
    </cfRule>
    <cfRule type="expression" dxfId="577" priority="336">
      <formula>$U548=TRUE</formula>
    </cfRule>
  </conditionalFormatting>
  <conditionalFormatting sqref="C549:D549">
    <cfRule type="expression" dxfId="576" priority="331">
      <formula>$T549=TRUE</formula>
    </cfRule>
  </conditionalFormatting>
  <conditionalFormatting sqref="C549:D549">
    <cfRule type="expression" dxfId="575" priority="330">
      <formula>$U549=TRUE</formula>
    </cfRule>
  </conditionalFormatting>
  <conditionalFormatting sqref="E549:L549">
    <cfRule type="expression" dxfId="574" priority="329">
      <formula>$T549=TRUE</formula>
    </cfRule>
    <cfRule type="expression" dxfId="573" priority="332">
      <formula>$U549=TRUE</formula>
    </cfRule>
  </conditionalFormatting>
  <conditionalFormatting sqref="C559:D559">
    <cfRule type="expression" dxfId="572" priority="327">
      <formula>$T559=TRUE</formula>
    </cfRule>
  </conditionalFormatting>
  <conditionalFormatting sqref="C559:D559">
    <cfRule type="expression" dxfId="571" priority="326">
      <formula>$U559=TRUE</formula>
    </cfRule>
  </conditionalFormatting>
  <conditionalFormatting sqref="E559:L559">
    <cfRule type="expression" dxfId="570" priority="325">
      <formula>$T559=TRUE</formula>
    </cfRule>
    <cfRule type="expression" dxfId="569" priority="328">
      <formula>$U559=TRUE</formula>
    </cfRule>
  </conditionalFormatting>
  <conditionalFormatting sqref="G551">
    <cfRule type="expression" dxfId="568" priority="323">
      <formula>$T551=TRUE</formula>
    </cfRule>
    <cfRule type="expression" dxfId="567" priority="324">
      <formula>$U551=TRUE</formula>
    </cfRule>
  </conditionalFormatting>
  <conditionalFormatting sqref="E551:F551">
    <cfRule type="expression" dxfId="566" priority="321">
      <formula>$T551=TRUE</formula>
    </cfRule>
    <cfRule type="expression" dxfId="565" priority="322">
      <formula>$U551=TRUE</formula>
    </cfRule>
  </conditionalFormatting>
  <conditionalFormatting sqref="C551:D551">
    <cfRule type="expression" dxfId="564" priority="320">
      <formula>$U551=TRUE</formula>
    </cfRule>
  </conditionalFormatting>
  <conditionalFormatting sqref="C551:D551">
    <cfRule type="expression" dxfId="563" priority="319">
      <formula>$T551=TRUE</formula>
    </cfRule>
  </conditionalFormatting>
  <conditionalFormatting sqref="E209:L209">
    <cfRule type="expression" dxfId="562" priority="317">
      <formula>$T209=TRUE</formula>
    </cfRule>
    <cfRule type="expression" dxfId="561" priority="318">
      <formula>$U209=TRUE</formula>
    </cfRule>
  </conditionalFormatting>
  <conditionalFormatting sqref="E196:L196">
    <cfRule type="expression" dxfId="560" priority="315">
      <formula>$T196=TRUE</formula>
    </cfRule>
    <cfRule type="expression" dxfId="559" priority="316">
      <formula>$U196=TRUE</formula>
    </cfRule>
  </conditionalFormatting>
  <conditionalFormatting sqref="C196">
    <cfRule type="expression" dxfId="558" priority="313">
      <formula>$T196=TRUE</formula>
    </cfRule>
    <cfRule type="expression" dxfId="557" priority="314">
      <formula>$U196=TRUE</formula>
    </cfRule>
  </conditionalFormatting>
  <conditionalFormatting sqref="D196">
    <cfRule type="expression" dxfId="556" priority="311">
      <formula>$U196=TRUE</formula>
    </cfRule>
  </conditionalFormatting>
  <conditionalFormatting sqref="D196">
    <cfRule type="expression" dxfId="555" priority="310">
      <formula>$T196=TRUE</formula>
    </cfRule>
  </conditionalFormatting>
  <conditionalFormatting sqref="D196">
    <cfRule type="expression" dxfId="554" priority="309">
      <formula>$T196=TRUE</formula>
    </cfRule>
    <cfRule type="expression" dxfId="553" priority="312">
      <formula>$U196=TRUE</formula>
    </cfRule>
  </conditionalFormatting>
  <conditionalFormatting sqref="C209">
    <cfRule type="expression" dxfId="552" priority="307">
      <formula>$T209=TRUE</formula>
    </cfRule>
    <cfRule type="expression" dxfId="551" priority="308">
      <formula>$U209=TRUE</formula>
    </cfRule>
  </conditionalFormatting>
  <conditionalFormatting sqref="D209">
    <cfRule type="expression" dxfId="550" priority="305">
      <formula>$U209=TRUE</formula>
    </cfRule>
  </conditionalFormatting>
  <conditionalFormatting sqref="D209">
    <cfRule type="expression" dxfId="549" priority="304">
      <formula>$T209=TRUE</formula>
    </cfRule>
  </conditionalFormatting>
  <conditionalFormatting sqref="D209">
    <cfRule type="expression" dxfId="548" priority="303">
      <formula>$T209=TRUE</formula>
    </cfRule>
    <cfRule type="expression" dxfId="547" priority="306">
      <formula>$U209=TRUE</formula>
    </cfRule>
  </conditionalFormatting>
  <conditionalFormatting sqref="C468:D468">
    <cfRule type="expression" dxfId="546" priority="301">
      <formula>$U468=TRUE</formula>
    </cfRule>
  </conditionalFormatting>
  <conditionalFormatting sqref="C468:D468">
    <cfRule type="expression" dxfId="545" priority="300">
      <formula>$T468=TRUE</formula>
    </cfRule>
  </conditionalFormatting>
  <conditionalFormatting sqref="C468:D468">
    <cfRule type="expression" dxfId="544" priority="299">
      <formula>$T468=TRUE</formula>
    </cfRule>
    <cfRule type="expression" dxfId="543" priority="302">
      <formula>$U468=TRUE</formula>
    </cfRule>
  </conditionalFormatting>
  <conditionalFormatting sqref="C1322">
    <cfRule type="expression" dxfId="542" priority="297">
      <formula>$T1322=TRUE</formula>
    </cfRule>
    <cfRule type="expression" dxfId="541" priority="298">
      <formula>$U1322=TRUE</formula>
    </cfRule>
  </conditionalFormatting>
  <conditionalFormatting sqref="D1322">
    <cfRule type="expression" dxfId="540" priority="295">
      <formula>$T1322=TRUE</formula>
    </cfRule>
    <cfRule type="expression" dxfId="539" priority="296">
      <formula>$U1322=TRUE</formula>
    </cfRule>
  </conditionalFormatting>
  <conditionalFormatting sqref="C1323:D1323">
    <cfRule type="expression" dxfId="538" priority="293">
      <formula>$T1323=TRUE</formula>
    </cfRule>
    <cfRule type="expression" dxfId="537" priority="294">
      <formula>$U1323=TRUE</formula>
    </cfRule>
  </conditionalFormatting>
  <conditionalFormatting sqref="E565:L565">
    <cfRule type="expression" dxfId="536" priority="291">
      <formula>$T565=TRUE</formula>
    </cfRule>
    <cfRule type="expression" dxfId="535" priority="292">
      <formula>$U565=TRUE</formula>
    </cfRule>
  </conditionalFormatting>
  <conditionalFormatting sqref="C565:D565">
    <cfRule type="expression" dxfId="534" priority="289">
      <formula>$T565=TRUE</formula>
    </cfRule>
    <cfRule type="expression" dxfId="533" priority="290">
      <formula>$U565=TRUE</formula>
    </cfRule>
  </conditionalFormatting>
  <conditionalFormatting sqref="E407:L407">
    <cfRule type="expression" dxfId="532" priority="269">
      <formula>$T407=TRUE</formula>
    </cfRule>
    <cfRule type="expression" dxfId="531" priority="288">
      <formula>$U407=TRUE</formula>
    </cfRule>
  </conditionalFormatting>
  <conditionalFormatting sqref="C407:D407">
    <cfRule type="expression" dxfId="530" priority="268">
      <formula>$U407=TRUE</formula>
    </cfRule>
  </conditionalFormatting>
  <conditionalFormatting sqref="C407:D407">
    <cfRule type="expression" dxfId="529" priority="267">
      <formula>$T407=TRUE</formula>
    </cfRule>
  </conditionalFormatting>
  <conditionalFormatting sqref="C418:D418">
    <cfRule type="expression" dxfId="528" priority="263">
      <formula>$T418=TRUE</formula>
    </cfRule>
  </conditionalFormatting>
  <conditionalFormatting sqref="C418:D418">
    <cfRule type="expression" dxfId="527" priority="262">
      <formula>$U418=TRUE</formula>
    </cfRule>
  </conditionalFormatting>
  <conditionalFormatting sqref="E418:L418">
    <cfRule type="expression" dxfId="526" priority="261">
      <formula>$T418=TRUE</formula>
    </cfRule>
    <cfRule type="expression" dxfId="525" priority="264">
      <formula>$U418=TRUE</formula>
    </cfRule>
  </conditionalFormatting>
  <conditionalFormatting sqref="E380:L380">
    <cfRule type="expression" dxfId="524" priority="259">
      <formula>$T380=TRUE</formula>
    </cfRule>
    <cfRule type="expression" dxfId="523" priority="260">
      <formula>$U380=TRUE</formula>
    </cfRule>
  </conditionalFormatting>
  <conditionalFormatting sqref="C380:D380">
    <cfRule type="expression" dxfId="522" priority="257">
      <formula>$T380=TRUE</formula>
    </cfRule>
    <cfRule type="expression" dxfId="521" priority="258">
      <formula>$U380=TRUE</formula>
    </cfRule>
  </conditionalFormatting>
  <conditionalFormatting sqref="C402">
    <cfRule type="expression" dxfId="520" priority="255">
      <formula>$T402=TRUE</formula>
    </cfRule>
    <cfRule type="expression" dxfId="519" priority="256">
      <formula>$U402=TRUE</formula>
    </cfRule>
  </conditionalFormatting>
  <conditionalFormatting sqref="C264:D264">
    <cfRule type="expression" dxfId="518" priority="253">
      <formula>$T264=TRUE</formula>
    </cfRule>
    <cfRule type="expression" dxfId="517" priority="254">
      <formula>$U264=TRUE</formula>
    </cfRule>
  </conditionalFormatting>
  <conditionalFormatting sqref="C263:D263">
    <cfRule type="expression" dxfId="516" priority="251">
      <formula>$U263=TRUE</formula>
    </cfRule>
  </conditionalFormatting>
  <conditionalFormatting sqref="C263:D263">
    <cfRule type="expression" dxfId="515" priority="250">
      <formula>$T263=TRUE</formula>
    </cfRule>
  </conditionalFormatting>
  <conditionalFormatting sqref="C263:D263">
    <cfRule type="expression" dxfId="514" priority="249">
      <formula>$T263=TRUE</formula>
    </cfRule>
    <cfRule type="expression" dxfId="513" priority="252">
      <formula>$U263=TRUE</formula>
    </cfRule>
  </conditionalFormatting>
  <conditionalFormatting sqref="C262:D262">
    <cfRule type="expression" dxfId="512" priority="247">
      <formula>$T262=TRUE</formula>
    </cfRule>
    <cfRule type="expression" dxfId="511" priority="248">
      <formula>$U262=TRUE</formula>
    </cfRule>
  </conditionalFormatting>
  <conditionalFormatting sqref="C261:D261">
    <cfRule type="expression" dxfId="510" priority="245">
      <formula>$U261=TRUE</formula>
    </cfRule>
  </conditionalFormatting>
  <conditionalFormatting sqref="C261:D261">
    <cfRule type="expression" dxfId="509" priority="244">
      <formula>$T261=TRUE</formula>
    </cfRule>
  </conditionalFormatting>
  <conditionalFormatting sqref="C261:D261">
    <cfRule type="expression" dxfId="508" priority="243">
      <formula>$T261=TRUE</formula>
    </cfRule>
    <cfRule type="expression" dxfId="507" priority="246">
      <formula>$U261=TRUE</formula>
    </cfRule>
  </conditionalFormatting>
  <conditionalFormatting sqref="C606:L606">
    <cfRule type="expression" dxfId="506" priority="241">
      <formula>$T606=TRUE</formula>
    </cfRule>
    <cfRule type="expression" dxfId="505" priority="242">
      <formula>$U606=TRUE</formula>
    </cfRule>
  </conditionalFormatting>
  <conditionalFormatting sqref="C598:L598">
    <cfRule type="expression" dxfId="504" priority="239">
      <formula>$T598=TRUE</formula>
    </cfRule>
    <cfRule type="expression" dxfId="503" priority="240">
      <formula>$U598=TRUE</formula>
    </cfRule>
  </conditionalFormatting>
  <conditionalFormatting sqref="C607:D607">
    <cfRule type="expression" dxfId="502" priority="237">
      <formula>$T607=TRUE</formula>
    </cfRule>
    <cfRule type="expression" dxfId="501" priority="238">
      <formula>$U607=TRUE</formula>
    </cfRule>
  </conditionalFormatting>
  <conditionalFormatting sqref="C599:D599">
    <cfRule type="expression" dxfId="500" priority="235">
      <formula>$T599=TRUE</formula>
    </cfRule>
    <cfRule type="expression" dxfId="499" priority="236">
      <formula>$U599=TRUE</formula>
    </cfRule>
  </conditionalFormatting>
  <conditionalFormatting sqref="E649:L649">
    <cfRule type="expression" dxfId="498" priority="233">
      <formula>$T649=TRUE</formula>
    </cfRule>
    <cfRule type="expression" dxfId="497" priority="234">
      <formula>$U649=TRUE</formula>
    </cfRule>
  </conditionalFormatting>
  <conditionalFormatting sqref="C649:D649">
    <cfRule type="expression" dxfId="496" priority="231">
      <formula>$T649=TRUE</formula>
    </cfRule>
    <cfRule type="expression" dxfId="495" priority="232">
      <formula>$U649=TRUE</formula>
    </cfRule>
  </conditionalFormatting>
  <conditionalFormatting sqref="C807:L807">
    <cfRule type="expression" dxfId="494" priority="217">
      <formula>$T807=TRUE</formula>
    </cfRule>
    <cfRule type="expression" dxfId="493" priority="218">
      <formula>$U807=TRUE</formula>
    </cfRule>
  </conditionalFormatting>
  <conditionalFormatting sqref="C809:L809">
    <cfRule type="expression" dxfId="492" priority="213">
      <formula>$T809=TRUE</formula>
    </cfRule>
    <cfRule type="expression" dxfId="491" priority="214">
      <formula>$U809=TRUE</formula>
    </cfRule>
  </conditionalFormatting>
  <conditionalFormatting sqref="C808:L808">
    <cfRule type="expression" dxfId="490" priority="215">
      <formula>$T808=TRUE</formula>
    </cfRule>
    <cfRule type="expression" dxfId="489" priority="216">
      <formula>$U808=TRUE</formula>
    </cfRule>
  </conditionalFormatting>
  <conditionalFormatting sqref="C811:L811">
    <cfRule type="expression" dxfId="488" priority="211">
      <formula>$T811=TRUE</formula>
    </cfRule>
    <cfRule type="expression" dxfId="487" priority="212">
      <formula>$U811=TRUE</formula>
    </cfRule>
  </conditionalFormatting>
  <conditionalFormatting sqref="C812:L812">
    <cfRule type="expression" dxfId="486" priority="209">
      <formula>$T812=TRUE</formula>
    </cfRule>
    <cfRule type="expression" dxfId="485" priority="210">
      <formula>$U812=TRUE</formula>
    </cfRule>
  </conditionalFormatting>
  <conditionalFormatting sqref="C813:L813">
    <cfRule type="expression" dxfId="484" priority="207">
      <formula>$T813=TRUE</formula>
    </cfRule>
    <cfRule type="expression" dxfId="483" priority="208">
      <formula>$U813=TRUE</formula>
    </cfRule>
  </conditionalFormatting>
  <conditionalFormatting sqref="C815:L815">
    <cfRule type="expression" dxfId="482" priority="205">
      <formula>$T815=TRUE</formula>
    </cfRule>
    <cfRule type="expression" dxfId="481" priority="206">
      <formula>$U815=TRUE</formula>
    </cfRule>
  </conditionalFormatting>
  <conditionalFormatting sqref="C816:L816">
    <cfRule type="expression" dxfId="480" priority="203">
      <formula>$T816=TRUE</formula>
    </cfRule>
    <cfRule type="expression" dxfId="479" priority="204">
      <formula>$U816=TRUE</formula>
    </cfRule>
  </conditionalFormatting>
  <conditionalFormatting sqref="C817:L817">
    <cfRule type="expression" dxfId="478" priority="201">
      <formula>$T817=TRUE</formula>
    </cfRule>
    <cfRule type="expression" dxfId="477" priority="202">
      <formula>$U817=TRUE</formula>
    </cfRule>
  </conditionalFormatting>
  <conditionalFormatting sqref="G803:L805">
    <cfRule type="expression" dxfId="476" priority="199">
      <formula>$T803=TRUE</formula>
    </cfRule>
    <cfRule type="expression" dxfId="475" priority="200">
      <formula>$U803=TRUE</formula>
    </cfRule>
  </conditionalFormatting>
  <conditionalFormatting sqref="C803:F805">
    <cfRule type="expression" dxfId="474" priority="197">
      <formula>$T803=TRUE</formula>
    </cfRule>
    <cfRule type="expression" dxfId="473" priority="198">
      <formula>$U803=TRUE</formula>
    </cfRule>
  </conditionalFormatting>
  <conditionalFormatting sqref="E789:L789">
    <cfRule type="expression" dxfId="472" priority="193">
      <formula>$T789=TRUE</formula>
    </cfRule>
    <cfRule type="expression" dxfId="471" priority="194">
      <formula>$U789=TRUE</formula>
    </cfRule>
  </conditionalFormatting>
  <conditionalFormatting sqref="C789:D789">
    <cfRule type="expression" dxfId="470" priority="191">
      <formula>$T789=TRUE</formula>
    </cfRule>
    <cfRule type="expression" dxfId="469" priority="192">
      <formula>$U789=TRUE</formula>
    </cfRule>
  </conditionalFormatting>
  <conditionalFormatting sqref="E434:L434">
    <cfRule type="expression" dxfId="468" priority="189">
      <formula>$T434=TRUE</formula>
    </cfRule>
    <cfRule type="expression" dxfId="467" priority="190">
      <formula>$U434=TRUE</formula>
    </cfRule>
  </conditionalFormatting>
  <conditionalFormatting sqref="E439:L439">
    <cfRule type="expression" dxfId="466" priority="185">
      <formula>$T439=TRUE</formula>
    </cfRule>
    <cfRule type="expression" dxfId="465" priority="186">
      <formula>$U439=TRUE</formula>
    </cfRule>
  </conditionalFormatting>
  <conditionalFormatting sqref="C439">
    <cfRule type="expression" dxfId="464" priority="183">
      <formula>$T439=TRUE</formula>
    </cfRule>
  </conditionalFormatting>
  <conditionalFormatting sqref="C439">
    <cfRule type="expression" dxfId="463" priority="182">
      <formula>$U439=TRUE</formula>
    </cfRule>
  </conditionalFormatting>
  <conditionalFormatting sqref="D439">
    <cfRule type="expression" dxfId="462" priority="181">
      <formula>$T439=TRUE</formula>
    </cfRule>
  </conditionalFormatting>
  <conditionalFormatting sqref="D439">
    <cfRule type="expression" dxfId="461" priority="180">
      <formula>$U439=TRUE</formula>
    </cfRule>
  </conditionalFormatting>
  <conditionalFormatting sqref="C439:D439">
    <cfRule type="expression" dxfId="460" priority="179">
      <formula>$T439=TRUE</formula>
    </cfRule>
    <cfRule type="expression" dxfId="459" priority="184">
      <formula>$U439=TRUE</formula>
    </cfRule>
  </conditionalFormatting>
  <conditionalFormatting sqref="E1131:L1131">
    <cfRule type="expression" dxfId="458" priority="177">
      <formula>$T1131=TRUE</formula>
    </cfRule>
    <cfRule type="expression" dxfId="457" priority="178">
      <formula>$U1131=TRUE</formula>
    </cfRule>
  </conditionalFormatting>
  <conditionalFormatting sqref="C1131:D1131">
    <cfRule type="expression" dxfId="456" priority="175">
      <formula>$T1131=TRUE</formula>
    </cfRule>
    <cfRule type="expression" dxfId="455" priority="176">
      <formula>$U1131=TRUE</formula>
    </cfRule>
  </conditionalFormatting>
  <conditionalFormatting sqref="D1184:L1184">
    <cfRule type="expression" dxfId="454" priority="173">
      <formula>$T1184=TRUE</formula>
    </cfRule>
    <cfRule type="expression" dxfId="453" priority="174">
      <formula>$U1184=TRUE</formula>
    </cfRule>
  </conditionalFormatting>
  <conditionalFormatting sqref="D1183">
    <cfRule type="expression" dxfId="452" priority="171">
      <formula>$T1183=TRUE</formula>
    </cfRule>
    <cfRule type="expression" dxfId="451" priority="172">
      <formula>$U1183=TRUE</formula>
    </cfRule>
  </conditionalFormatting>
  <conditionalFormatting sqref="E1202:L1202">
    <cfRule type="expression" dxfId="450" priority="169">
      <formula>$T1202=TRUE</formula>
    </cfRule>
    <cfRule type="expression" dxfId="449" priority="170">
      <formula>$U1202=TRUE</formula>
    </cfRule>
  </conditionalFormatting>
  <conditionalFormatting sqref="D1202">
    <cfRule type="expression" dxfId="448" priority="167">
      <formula>$T1202=TRUE</formula>
    </cfRule>
    <cfRule type="expression" dxfId="447" priority="168">
      <formula>$U1202=TRUE</formula>
    </cfRule>
  </conditionalFormatting>
  <conditionalFormatting sqref="C1335:L1335">
    <cfRule type="expression" dxfId="446" priority="165">
      <formula>$T1335=TRUE</formula>
    </cfRule>
    <cfRule type="expression" dxfId="445" priority="166">
      <formula>$U1335=TRUE</formula>
    </cfRule>
  </conditionalFormatting>
  <conditionalFormatting sqref="C1336:L1336">
    <cfRule type="expression" dxfId="444" priority="163">
      <formula>$T1336=TRUE</formula>
    </cfRule>
    <cfRule type="expression" dxfId="443" priority="164">
      <formula>$U1336=TRUE</formula>
    </cfRule>
  </conditionalFormatting>
  <conditionalFormatting sqref="C1115:L1115">
    <cfRule type="expression" dxfId="442" priority="161">
      <formula>$T1115=TRUE</formula>
    </cfRule>
    <cfRule type="expression" dxfId="441" priority="162">
      <formula>$U1115=TRUE</formula>
    </cfRule>
  </conditionalFormatting>
  <conditionalFormatting sqref="D1114">
    <cfRule type="expression" dxfId="440" priority="159">
      <formula>$T1114=TRUE</formula>
    </cfRule>
    <cfRule type="expression" dxfId="439" priority="160">
      <formula>$U1114=TRUE</formula>
    </cfRule>
  </conditionalFormatting>
  <conditionalFormatting sqref="C1195">
    <cfRule type="expression" dxfId="438" priority="157">
      <formula>$T1195=TRUE</formula>
    </cfRule>
    <cfRule type="expression" dxfId="437" priority="158">
      <formula>$U1195=TRUE</formula>
    </cfRule>
  </conditionalFormatting>
  <conditionalFormatting sqref="C1187">
    <cfRule type="expression" dxfId="436" priority="155">
      <formula>$T1187=TRUE</formula>
    </cfRule>
    <cfRule type="expression" dxfId="435" priority="156">
      <formula>$U1187=TRUE</formula>
    </cfRule>
  </conditionalFormatting>
  <conditionalFormatting sqref="C1198">
    <cfRule type="expression" dxfId="434" priority="153">
      <formula>$T1198=TRUE</formula>
    </cfRule>
    <cfRule type="expression" dxfId="433" priority="154">
      <formula>$U1198=TRUE</formula>
    </cfRule>
  </conditionalFormatting>
  <conditionalFormatting sqref="C1189">
    <cfRule type="expression" dxfId="432" priority="151">
      <formula>$T1189=TRUE</formula>
    </cfRule>
    <cfRule type="expression" dxfId="431" priority="152">
      <formula>$U1189=TRUE</formula>
    </cfRule>
  </conditionalFormatting>
  <conditionalFormatting sqref="C1197">
    <cfRule type="expression" dxfId="430" priority="149">
      <formula>$T1197=TRUE</formula>
    </cfRule>
    <cfRule type="expression" dxfId="429" priority="150">
      <formula>$U1197=TRUE</formula>
    </cfRule>
  </conditionalFormatting>
  <conditionalFormatting sqref="C1188">
    <cfRule type="expression" dxfId="428" priority="147">
      <formula>$T1188=TRUE</formula>
    </cfRule>
    <cfRule type="expression" dxfId="427" priority="148">
      <formula>$U1188=TRUE</formula>
    </cfRule>
  </conditionalFormatting>
  <conditionalFormatting sqref="C1200">
    <cfRule type="expression" dxfId="426" priority="145">
      <formula>$T1200=TRUE</formula>
    </cfRule>
    <cfRule type="expression" dxfId="425" priority="146">
      <formula>$U1200=TRUE</formula>
    </cfRule>
  </conditionalFormatting>
  <conditionalFormatting sqref="C1190">
    <cfRule type="expression" dxfId="424" priority="143">
      <formula>$T1190=TRUE</formula>
    </cfRule>
    <cfRule type="expression" dxfId="423" priority="144">
      <formula>$U1190=TRUE</formula>
    </cfRule>
  </conditionalFormatting>
  <conditionalFormatting sqref="C1191">
    <cfRule type="expression" dxfId="422" priority="141">
      <formula>$T1191=TRUE</formula>
    </cfRule>
    <cfRule type="expression" dxfId="421" priority="142">
      <formula>$U1191=TRUE</formula>
    </cfRule>
  </conditionalFormatting>
  <conditionalFormatting sqref="C1192">
    <cfRule type="expression" dxfId="420" priority="139">
      <formula>$T1192=TRUE</formula>
    </cfRule>
    <cfRule type="expression" dxfId="419" priority="140">
      <formula>$U1192=TRUE</formula>
    </cfRule>
  </conditionalFormatting>
  <conditionalFormatting sqref="C1185">
    <cfRule type="expression" dxfId="418" priority="137">
      <formula>$T1185=TRUE</formula>
    </cfRule>
    <cfRule type="expression" dxfId="417" priority="138">
      <formula>$U1185=TRUE</formula>
    </cfRule>
  </conditionalFormatting>
  <conditionalFormatting sqref="C1193">
    <cfRule type="expression" dxfId="416" priority="135">
      <formula>$T1193=TRUE</formula>
    </cfRule>
    <cfRule type="expression" dxfId="415" priority="136">
      <formula>$U1193=TRUE</formula>
    </cfRule>
  </conditionalFormatting>
  <conditionalFormatting sqref="C1186">
    <cfRule type="expression" dxfId="414" priority="133">
      <formula>$T1186=TRUE</formula>
    </cfRule>
    <cfRule type="expression" dxfId="413" priority="134">
      <formula>$U1186=TRUE</formula>
    </cfRule>
  </conditionalFormatting>
  <conditionalFormatting sqref="C1204">
    <cfRule type="expression" dxfId="412" priority="131">
      <formula>$T1204=TRUE</formula>
    </cfRule>
    <cfRule type="expression" dxfId="411" priority="132">
      <formula>$U1204=TRUE</formula>
    </cfRule>
  </conditionalFormatting>
  <conditionalFormatting sqref="C1202">
    <cfRule type="expression" dxfId="410" priority="129">
      <formula>$T1202=TRUE</formula>
    </cfRule>
    <cfRule type="expression" dxfId="409" priority="130">
      <formula>$U1202=TRUE</formula>
    </cfRule>
  </conditionalFormatting>
  <conditionalFormatting sqref="C1183">
    <cfRule type="expression" dxfId="408" priority="127">
      <formula>$T1183=TRUE</formula>
    </cfRule>
    <cfRule type="expression" dxfId="407" priority="128">
      <formula>$U1183=TRUE</formula>
    </cfRule>
  </conditionalFormatting>
  <conditionalFormatting sqref="C1194">
    <cfRule type="expression" dxfId="406" priority="125">
      <formula>$T1194=TRUE</formula>
    </cfRule>
    <cfRule type="expression" dxfId="405" priority="126">
      <formula>$U1194=TRUE</formula>
    </cfRule>
  </conditionalFormatting>
  <conditionalFormatting sqref="C1196">
    <cfRule type="expression" dxfId="404" priority="123">
      <formula>$T1196=TRUE</formula>
    </cfRule>
    <cfRule type="expression" dxfId="403" priority="124">
      <formula>$U1196=TRUE</formula>
    </cfRule>
  </conditionalFormatting>
  <conditionalFormatting sqref="C1201">
    <cfRule type="expression" dxfId="402" priority="121">
      <formula>$T1201=TRUE</formula>
    </cfRule>
    <cfRule type="expression" dxfId="401" priority="122">
      <formula>$U1201=TRUE</formula>
    </cfRule>
  </conditionalFormatting>
  <conditionalFormatting sqref="C1184">
    <cfRule type="expression" dxfId="400" priority="119">
      <formula>$T1184=TRUE</formula>
    </cfRule>
    <cfRule type="expression" dxfId="399" priority="120">
      <formula>$U1184=TRUE</formula>
    </cfRule>
  </conditionalFormatting>
  <conditionalFormatting sqref="C1213">
    <cfRule type="expression" dxfId="398" priority="117">
      <formula>$T1213=TRUE</formula>
    </cfRule>
    <cfRule type="expression" dxfId="397" priority="118">
      <formula>$U1213=TRUE</formula>
    </cfRule>
  </conditionalFormatting>
  <conditionalFormatting sqref="C1207">
    <cfRule type="expression" dxfId="396" priority="115">
      <formula>$T1207=TRUE</formula>
    </cfRule>
    <cfRule type="expression" dxfId="395" priority="116">
      <formula>$U1207=TRUE</formula>
    </cfRule>
  </conditionalFormatting>
  <conditionalFormatting sqref="C1217">
    <cfRule type="expression" dxfId="394" priority="113">
      <formula>$T1217=TRUE</formula>
    </cfRule>
    <cfRule type="expression" dxfId="393" priority="114">
      <formula>$U1217=TRUE</formula>
    </cfRule>
  </conditionalFormatting>
  <conditionalFormatting sqref="C1209">
    <cfRule type="expression" dxfId="392" priority="111">
      <formula>$T1209=TRUE</formula>
    </cfRule>
    <cfRule type="expression" dxfId="391" priority="112">
      <formula>$U1209=TRUE</formula>
    </cfRule>
  </conditionalFormatting>
  <conditionalFormatting sqref="C1215">
    <cfRule type="expression" dxfId="390" priority="109">
      <formula>$U1215=TRUE</formula>
    </cfRule>
  </conditionalFormatting>
  <conditionalFormatting sqref="C1215">
    <cfRule type="expression" dxfId="389" priority="108">
      <formula>$T1215=TRUE</formula>
    </cfRule>
  </conditionalFormatting>
  <conditionalFormatting sqref="C1215">
    <cfRule type="expression" dxfId="388" priority="107">
      <formula>$T1215=TRUE</formula>
    </cfRule>
    <cfRule type="expression" dxfId="387" priority="110">
      <formula>$U1215=TRUE</formula>
    </cfRule>
  </conditionalFormatting>
  <conditionalFormatting sqref="C1208">
    <cfRule type="expression" dxfId="386" priority="105">
      <formula>$T1208=TRUE</formula>
    </cfRule>
    <cfRule type="expression" dxfId="385" priority="106">
      <formula>$U1208=TRUE</formula>
    </cfRule>
  </conditionalFormatting>
  <conditionalFormatting sqref="C1218">
    <cfRule type="expression" dxfId="384" priority="103">
      <formula>$T1218=TRUE</formula>
    </cfRule>
    <cfRule type="expression" dxfId="383" priority="104">
      <formula>$U1218=TRUE</formula>
    </cfRule>
  </conditionalFormatting>
  <conditionalFormatting sqref="C1210">
    <cfRule type="expression" dxfId="382" priority="101">
      <formula>$T1210=TRUE</formula>
    </cfRule>
    <cfRule type="expression" dxfId="381" priority="102">
      <formula>$U1210=TRUE</formula>
    </cfRule>
  </conditionalFormatting>
  <conditionalFormatting sqref="C1211">
    <cfRule type="expression" dxfId="380" priority="99">
      <formula>$T1211=TRUE</formula>
    </cfRule>
    <cfRule type="expression" dxfId="379" priority="100">
      <formula>$U1211=TRUE</formula>
    </cfRule>
  </conditionalFormatting>
  <conditionalFormatting sqref="C1206">
    <cfRule type="expression" dxfId="378" priority="97">
      <formula>$T1206=TRUE</formula>
    </cfRule>
    <cfRule type="expression" dxfId="377" priority="98">
      <formula>$U1206=TRUE</formula>
    </cfRule>
  </conditionalFormatting>
  <conditionalFormatting sqref="C1212">
    <cfRule type="expression" dxfId="376" priority="95">
      <formula>$T1212=TRUE</formula>
    </cfRule>
    <cfRule type="expression" dxfId="375" priority="96">
      <formula>$U1212=TRUE</formula>
    </cfRule>
  </conditionalFormatting>
  <conditionalFormatting sqref="C1214">
    <cfRule type="expression" dxfId="374" priority="93">
      <formula>$T1214=TRUE</formula>
    </cfRule>
    <cfRule type="expression" dxfId="373" priority="94">
      <formula>$U1214=TRUE</formula>
    </cfRule>
  </conditionalFormatting>
  <conditionalFormatting sqref="C1219">
    <cfRule type="expression" dxfId="372" priority="91">
      <formula>$T1219=TRUE</formula>
    </cfRule>
    <cfRule type="expression" dxfId="371" priority="92">
      <formula>$U1219=TRUE</formula>
    </cfRule>
  </conditionalFormatting>
  <conditionalFormatting sqref="C1216">
    <cfRule type="expression" dxfId="370" priority="89">
      <formula>$T1216=TRUE</formula>
    </cfRule>
    <cfRule type="expression" dxfId="369" priority="90">
      <formula>$U1216=TRUE</formula>
    </cfRule>
  </conditionalFormatting>
  <conditionalFormatting sqref="C13:L13">
    <cfRule type="expression" dxfId="368" priority="87">
      <formula>$T13=TRUE</formula>
    </cfRule>
    <cfRule type="expression" dxfId="367" priority="88">
      <formula>$U13=TRUE</formula>
    </cfRule>
  </conditionalFormatting>
  <conditionalFormatting sqref="C14:D14">
    <cfRule type="expression" dxfId="366" priority="85">
      <formula>$T14=TRUE</formula>
    </cfRule>
    <cfRule type="expression" dxfId="365" priority="86">
      <formula>$U14=TRUE</formula>
    </cfRule>
  </conditionalFormatting>
  <conditionalFormatting sqref="E5:L5">
    <cfRule type="expression" dxfId="364" priority="81">
      <formula>$T5=TRUE</formula>
    </cfRule>
    <cfRule type="expression" dxfId="363" priority="82">
      <formula>$U5=TRUE</formula>
    </cfRule>
  </conditionalFormatting>
  <conditionalFormatting sqref="C5:D5">
    <cfRule type="expression" dxfId="362" priority="79">
      <formula>$T5=TRUE</formula>
    </cfRule>
    <cfRule type="expression" dxfId="361" priority="80">
      <formula>$U5=TRUE</formula>
    </cfRule>
  </conditionalFormatting>
  <conditionalFormatting sqref="C6:L6">
    <cfRule type="expression" dxfId="360" priority="77">
      <formula>$T6=TRUE</formula>
    </cfRule>
    <cfRule type="expression" dxfId="359" priority="78">
      <formula>$U6=TRUE</formula>
    </cfRule>
  </conditionalFormatting>
  <conditionalFormatting sqref="C7:D7">
    <cfRule type="expression" dxfId="358" priority="75">
      <formula>$T7=TRUE</formula>
    </cfRule>
    <cfRule type="expression" dxfId="357" priority="76">
      <formula>$U7=TRUE</formula>
    </cfRule>
  </conditionalFormatting>
  <conditionalFormatting sqref="C17:L17">
    <cfRule type="expression" dxfId="356" priority="73">
      <formula>$T17=TRUE</formula>
    </cfRule>
    <cfRule type="expression" dxfId="355" priority="74">
      <formula>$U17=TRUE</formula>
    </cfRule>
  </conditionalFormatting>
  <conditionalFormatting sqref="C19:D19">
    <cfRule type="expression" dxfId="354" priority="71">
      <formula>$T19=TRUE</formula>
    </cfRule>
    <cfRule type="expression" dxfId="353" priority="72">
      <formula>$U19=TRUE</formula>
    </cfRule>
  </conditionalFormatting>
  <conditionalFormatting sqref="C11:D11">
    <cfRule type="expression" dxfId="352" priority="69">
      <formula>$T11=TRUE</formula>
    </cfRule>
    <cfRule type="expression" dxfId="351" priority="70">
      <formula>$U11=TRUE</formula>
    </cfRule>
  </conditionalFormatting>
  <conditionalFormatting sqref="E18:L18">
    <cfRule type="expression" dxfId="350" priority="67">
      <formula>$T18=TRUE</formula>
    </cfRule>
    <cfRule type="expression" dxfId="349" priority="68">
      <formula>$U18=TRUE</formula>
    </cfRule>
  </conditionalFormatting>
  <conditionalFormatting sqref="C18:D18">
    <cfRule type="expression" dxfId="348" priority="65">
      <formula>$T18=TRUE</formula>
    </cfRule>
    <cfRule type="expression" dxfId="347" priority="66">
      <formula>$U18=TRUE</formula>
    </cfRule>
  </conditionalFormatting>
  <conditionalFormatting sqref="D27">
    <cfRule type="expression" dxfId="346" priority="61">
      <formula>$T27=TRUE</formula>
    </cfRule>
    <cfRule type="expression" dxfId="345" priority="62">
      <formula>$U27=TRUE</formula>
    </cfRule>
  </conditionalFormatting>
  <conditionalFormatting sqref="C77:L77">
    <cfRule type="expression" dxfId="344" priority="55">
      <formula>$T77=TRUE</formula>
    </cfRule>
    <cfRule type="expression" dxfId="343" priority="56">
      <formula>$U77=TRUE</formula>
    </cfRule>
  </conditionalFormatting>
  <conditionalFormatting sqref="C78:D78">
    <cfRule type="expression" dxfId="342" priority="53">
      <formula>$T78=TRUE</formula>
    </cfRule>
    <cfRule type="expression" dxfId="341" priority="54">
      <formula>$U78=TRUE</formula>
    </cfRule>
  </conditionalFormatting>
  <conditionalFormatting sqref="C79">
    <cfRule type="expression" dxfId="340" priority="51">
      <formula>$T79=TRUE</formula>
    </cfRule>
    <cfRule type="expression" dxfId="339" priority="52">
      <formula>$U79=TRUE</formula>
    </cfRule>
  </conditionalFormatting>
  <conditionalFormatting sqref="D79">
    <cfRule type="expression" dxfId="338" priority="49">
      <formula>$T79=TRUE</formula>
    </cfRule>
    <cfRule type="expression" dxfId="337" priority="50">
      <formula>$U79=TRUE</formula>
    </cfRule>
  </conditionalFormatting>
  <conditionalFormatting sqref="E145:L145">
    <cfRule type="expression" dxfId="336" priority="47">
      <formula>$T145=TRUE</formula>
    </cfRule>
  </conditionalFormatting>
  <conditionalFormatting sqref="E145:L145">
    <cfRule type="expression" dxfId="335" priority="46">
      <formula>$U145=TRUE</formula>
    </cfRule>
  </conditionalFormatting>
  <conditionalFormatting sqref="C145:D145">
    <cfRule type="expression" dxfId="334" priority="45">
      <formula>$U145=TRUE</formula>
    </cfRule>
  </conditionalFormatting>
  <conditionalFormatting sqref="C145:D145">
    <cfRule type="expression" dxfId="333" priority="44">
      <formula>$T145=TRUE</formula>
    </cfRule>
  </conditionalFormatting>
  <conditionalFormatting sqref="C145:L145">
    <cfRule type="expression" dxfId="332" priority="43">
      <formula>$T145=TRUE</formula>
    </cfRule>
    <cfRule type="expression" dxfId="331" priority="48">
      <formula>$U145=TRUE</formula>
    </cfRule>
  </conditionalFormatting>
  <conditionalFormatting sqref="C120:L120">
    <cfRule type="expression" dxfId="330" priority="41">
      <formula>$T120=TRUE</formula>
    </cfRule>
    <cfRule type="expression" dxfId="329" priority="42">
      <formula>$U120=TRUE</formula>
    </cfRule>
  </conditionalFormatting>
  <conditionalFormatting sqref="C241:L241">
    <cfRule type="expression" dxfId="312" priority="39">
      <formula>$T241=TRUE</formula>
    </cfRule>
    <cfRule type="expression" dxfId="311" priority="40">
      <formula>$U241=TRUE</formula>
    </cfRule>
  </conditionalFormatting>
  <conditionalFormatting sqref="C242:D242">
    <cfRule type="expression" dxfId="310" priority="37">
      <formula>$T242=TRUE</formula>
    </cfRule>
    <cfRule type="expression" dxfId="309" priority="38">
      <formula>$U242=TRUE</formula>
    </cfRule>
  </conditionalFormatting>
  <conditionalFormatting sqref="C243:D243">
    <cfRule type="expression" dxfId="308" priority="35">
      <formula>$T243=TRUE</formula>
    </cfRule>
    <cfRule type="expression" dxfId="307" priority="36">
      <formula>$U243=TRUE</formula>
    </cfRule>
  </conditionalFormatting>
  <conditionalFormatting sqref="C174:L174">
    <cfRule type="expression" dxfId="306" priority="33">
      <formula>$T174=TRUE</formula>
    </cfRule>
    <cfRule type="expression" dxfId="305" priority="34">
      <formula>$U174=TRUE</formula>
    </cfRule>
  </conditionalFormatting>
  <conditionalFormatting sqref="E175:L175">
    <cfRule type="expression" dxfId="304" priority="31">
      <formula>$T175=TRUE</formula>
    </cfRule>
    <cfRule type="expression" dxfId="303" priority="32">
      <formula>$U175=TRUE</formula>
    </cfRule>
  </conditionalFormatting>
  <conditionalFormatting sqref="C175:D175">
    <cfRule type="expression" dxfId="302" priority="29">
      <formula>$T175=TRUE</formula>
    </cfRule>
    <cfRule type="expression" dxfId="301" priority="30">
      <formula>$U175=TRUE</formula>
    </cfRule>
  </conditionalFormatting>
  <conditionalFormatting sqref="C176:D177">
    <cfRule type="expression" dxfId="300" priority="27">
      <formula>$T176=TRUE</formula>
    </cfRule>
    <cfRule type="expression" dxfId="299" priority="28">
      <formula>$U176=TRUE</formula>
    </cfRule>
  </conditionalFormatting>
  <conditionalFormatting sqref="C301:L301">
    <cfRule type="expression" dxfId="298" priority="25">
      <formula>$T301=TRUE</formula>
    </cfRule>
    <cfRule type="expression" dxfId="297" priority="26">
      <formula>$U301=TRUE</formula>
    </cfRule>
  </conditionalFormatting>
  <conditionalFormatting sqref="C302:D302">
    <cfRule type="expression" dxfId="296" priority="23">
      <formula>$T302=TRUE</formula>
    </cfRule>
    <cfRule type="expression" dxfId="295" priority="24">
      <formula>$U302=TRUE</formula>
    </cfRule>
  </conditionalFormatting>
  <conditionalFormatting sqref="C303:D303">
    <cfRule type="expression" dxfId="294" priority="21">
      <formula>$T303=TRUE</formula>
    </cfRule>
    <cfRule type="expression" dxfId="293" priority="22">
      <formula>$U303=TRUE</formula>
    </cfRule>
  </conditionalFormatting>
  <conditionalFormatting sqref="C365:L365">
    <cfRule type="expression" dxfId="292" priority="19">
      <formula>$T365=TRUE</formula>
    </cfRule>
    <cfRule type="expression" dxfId="291" priority="20">
      <formula>$U365=TRUE</formula>
    </cfRule>
  </conditionalFormatting>
  <conditionalFormatting sqref="C366:D366">
    <cfRule type="expression" dxfId="290" priority="17">
      <formula>$T366=TRUE</formula>
    </cfRule>
    <cfRule type="expression" dxfId="289" priority="18">
      <formula>$U366=TRUE</formula>
    </cfRule>
  </conditionalFormatting>
  <conditionalFormatting sqref="C367:D367">
    <cfRule type="expression" dxfId="288" priority="15">
      <formula>$T367=TRUE</formula>
    </cfRule>
    <cfRule type="expression" dxfId="287" priority="16">
      <formula>$U367=TRUE</formula>
    </cfRule>
  </conditionalFormatting>
  <conditionalFormatting sqref="C403:L403">
    <cfRule type="expression" dxfId="286" priority="13">
      <formula>$T403=TRUE</formula>
    </cfRule>
    <cfRule type="expression" dxfId="285" priority="14">
      <formula>$U403=TRUE</formula>
    </cfRule>
  </conditionalFormatting>
  <conditionalFormatting sqref="C404:D404">
    <cfRule type="expression" dxfId="284" priority="11">
      <formula>$T404=TRUE</formula>
    </cfRule>
    <cfRule type="expression" dxfId="283" priority="12">
      <formula>$U404=TRUE</formula>
    </cfRule>
  </conditionalFormatting>
  <conditionalFormatting sqref="C405:D405">
    <cfRule type="expression" dxfId="282" priority="9">
      <formula>$T405=TRUE</formula>
    </cfRule>
    <cfRule type="expression" dxfId="281" priority="10">
      <formula>$U405=TRUE</formula>
    </cfRule>
  </conditionalFormatting>
  <conditionalFormatting sqref="C434:D434">
    <cfRule type="expression" dxfId="280" priority="7">
      <formula>$T434=TRUE</formula>
    </cfRule>
    <cfRule type="expression" dxfId="279" priority="8">
      <formula>$U434=TRUE</formula>
    </cfRule>
  </conditionalFormatting>
  <conditionalFormatting sqref="C522:L522">
    <cfRule type="expression" dxfId="278" priority="5">
      <formula>$T522=TRUE</formula>
    </cfRule>
    <cfRule type="expression" dxfId="277" priority="6">
      <formula>$U522=TRUE</formula>
    </cfRule>
  </conditionalFormatting>
  <conditionalFormatting sqref="C523:D523">
    <cfRule type="expression" dxfId="276" priority="3">
      <formula>$T523=TRUE</formula>
    </cfRule>
    <cfRule type="expression" dxfId="275" priority="4">
      <formula>$U523=TRUE</formula>
    </cfRule>
  </conditionalFormatting>
  <conditionalFormatting sqref="C524:D524">
    <cfRule type="expression" dxfId="274" priority="1">
      <formula>$T524=TRUE</formula>
    </cfRule>
    <cfRule type="expression" dxfId="273" priority="2">
      <formula>$U524=TRUE</formula>
    </cfRule>
  </conditionalFormatting>
  <pageMargins left="0.5" right="0.5" top="0.5" bottom="0.5" header="0.3" footer="0.3"/>
  <pageSetup scale="74" fitToHeight="0" orientation="portrait" horizontalDpi="4294967293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61" id="{B53F8CFD-3018-4485-B02B-3CA54509064B}">
            <xm:f>UPCs!$U669=TRUE</xm:f>
            <x14:dxf>
              <fill>
                <patternFill>
                  <bgColor rgb="FFFFFF00"/>
                </patternFill>
              </fill>
            </x14:dxf>
          </x14:cfRule>
          <xm:sqref>C678:L680</xm:sqref>
        </x14:conditionalFormatting>
        <x14:conditionalFormatting xmlns:xm="http://schemas.microsoft.com/office/excel/2006/main">
          <x14:cfRule type="expression" priority="760" id="{C1F082FC-4330-4A83-91E1-DDC201A396AD}">
            <xm:f>UPCs!$T669=TRUE</xm:f>
            <x14:dxf>
              <font>
                <color rgb="FFFF0000"/>
              </font>
            </x14:dxf>
          </x14:cfRule>
          <xm:sqref>C678:L680</xm:sqref>
        </x14:conditionalFormatting>
        <x14:conditionalFormatting xmlns:xm="http://schemas.microsoft.com/office/excel/2006/main">
          <x14:cfRule type="expression" priority="739" id="{CF7968A1-9EDA-4313-83E8-F3A43A6BA3C4}">
            <xm:f>UPCs!$U1309=TRUE</xm:f>
            <x14:dxf>
              <fill>
                <patternFill>
                  <bgColor rgb="FFFFFF00"/>
                </patternFill>
              </fill>
            </x14:dxf>
          </x14:cfRule>
          <xm:sqref>C1305:L1305</xm:sqref>
        </x14:conditionalFormatting>
        <x14:conditionalFormatting xmlns:xm="http://schemas.microsoft.com/office/excel/2006/main">
          <x14:cfRule type="expression" priority="738" id="{A336D0E4-BFBF-4828-9E0B-D4A29B3ED742}">
            <xm:f>UPCs!$T1309=TRUE</xm:f>
            <x14:dxf>
              <font>
                <color rgb="FFFF0000"/>
              </font>
            </x14:dxf>
          </x14:cfRule>
          <xm:sqref>C1305:L1305</xm:sqref>
        </x14:conditionalFormatting>
        <x14:conditionalFormatting xmlns:xm="http://schemas.microsoft.com/office/excel/2006/main">
          <x14:cfRule type="expression" priority="1290" id="{CF7968A1-9EDA-4313-83E8-F3A43A6BA3C4}">
            <xm:f>UPCs!#REF!=TRUE</xm:f>
            <x14:dxf>
              <fill>
                <patternFill>
                  <bgColor rgb="FFFFFF00"/>
                </patternFill>
              </fill>
            </x14:dxf>
          </x14:cfRule>
          <xm:sqref>C1169:L1169</xm:sqref>
        </x14:conditionalFormatting>
        <x14:conditionalFormatting xmlns:xm="http://schemas.microsoft.com/office/excel/2006/main">
          <x14:cfRule type="expression" priority="1293" id="{A336D0E4-BFBF-4828-9E0B-D4A29B3ED742}">
            <xm:f>UPCs!#REF!=TRUE</xm:f>
            <x14:dxf>
              <font>
                <color rgb="FFFF0000"/>
              </font>
            </x14:dxf>
          </x14:cfRule>
          <xm:sqref>C1169:L1169</xm:sqref>
        </x14:conditionalFormatting>
        <x14:conditionalFormatting xmlns:xm="http://schemas.microsoft.com/office/excel/2006/main">
          <x14:cfRule type="expression" priority="1308" id="{CF7968A1-9EDA-4313-83E8-F3A43A6BA3C4}">
            <xm:f>UPCs!$U1068=TRUE</xm:f>
            <x14:dxf>
              <fill>
                <patternFill>
                  <bgColor rgb="FFFFFF00"/>
                </patternFill>
              </fill>
            </x14:dxf>
          </x14:cfRule>
          <xm:sqref>C1060:D1060 E1059:L1063 C1062:D1063</xm:sqref>
        </x14:conditionalFormatting>
        <x14:conditionalFormatting xmlns:xm="http://schemas.microsoft.com/office/excel/2006/main">
          <x14:cfRule type="expression" priority="1309" id="{A336D0E4-BFBF-4828-9E0B-D4A29B3ED742}">
            <xm:f>UPCs!$T1068=TRUE</xm:f>
            <x14:dxf>
              <font>
                <color rgb="FFFF0000"/>
              </font>
            </x14:dxf>
          </x14:cfRule>
          <xm:sqref>C1060:D1060 E1059:L1063 C1062:D1063</xm:sqref>
        </x14:conditionalFormatting>
        <x14:conditionalFormatting xmlns:xm="http://schemas.microsoft.com/office/excel/2006/main">
          <x14:cfRule type="expression" priority="2177" id="{CF7968A1-9EDA-4313-83E8-F3A43A6BA3C4}">
            <xm:f>UPCs!$U811=TRUE</xm:f>
            <x14:dxf>
              <fill>
                <patternFill>
                  <bgColor rgb="FFFFFF00"/>
                </patternFill>
              </fill>
            </x14:dxf>
          </x14:cfRule>
          <xm:sqref>C788:L788 C790:L790 E789:L789</xm:sqref>
        </x14:conditionalFormatting>
        <x14:conditionalFormatting xmlns:xm="http://schemas.microsoft.com/office/excel/2006/main">
          <x14:cfRule type="expression" priority="2178" id="{A336D0E4-BFBF-4828-9E0B-D4A29B3ED742}">
            <xm:f>UPCs!$T811=TRUE</xm:f>
            <x14:dxf>
              <font>
                <color rgb="FFFF0000"/>
              </font>
            </x14:dxf>
          </x14:cfRule>
          <xm:sqref>C788:L788 C790:L790 E789:L789</xm:sqref>
        </x14:conditionalFormatting>
        <x14:conditionalFormatting xmlns:xm="http://schemas.microsoft.com/office/excel/2006/main">
          <x14:cfRule type="expression" priority="4118" id="{CF7968A1-9EDA-4313-83E8-F3A43A6BA3C4}">
            <xm:f>UPCs!$U665=TRUE</xm:f>
            <x14:dxf>
              <fill>
                <patternFill>
                  <bgColor rgb="FFFFFF00"/>
                </patternFill>
              </fill>
            </x14:dxf>
          </x14:cfRule>
          <xm:sqref>C663:L664</xm:sqref>
        </x14:conditionalFormatting>
        <x14:conditionalFormatting xmlns:xm="http://schemas.microsoft.com/office/excel/2006/main">
          <x14:cfRule type="expression" priority="4121" id="{A336D0E4-BFBF-4828-9E0B-D4A29B3ED742}">
            <xm:f>UPCs!$T665=TRUE</xm:f>
            <x14:dxf>
              <font>
                <color rgb="FFFF0000"/>
              </font>
            </x14:dxf>
          </x14:cfRule>
          <xm:sqref>C663:L664</xm:sqref>
        </x14:conditionalFormatting>
        <x14:conditionalFormatting xmlns:xm="http://schemas.microsoft.com/office/excel/2006/main">
          <x14:cfRule type="expression" priority="4160" id="{CF7968A1-9EDA-4313-83E8-F3A43A6BA3C4}">
            <xm:f>UPCs!$U1068=TRUE</xm:f>
            <x14:dxf>
              <fill>
                <patternFill>
                  <bgColor rgb="FFFFFF00"/>
                </patternFill>
              </fill>
            </x14:dxf>
          </x14:cfRule>
          <xm:sqref>C1152:L1152 E1058:L1058 C1064:L1064</xm:sqref>
        </x14:conditionalFormatting>
        <x14:conditionalFormatting xmlns:xm="http://schemas.microsoft.com/office/excel/2006/main">
          <x14:cfRule type="expression" priority="4161" id="{A336D0E4-BFBF-4828-9E0B-D4A29B3ED742}">
            <xm:f>UPCs!$T1068=TRUE</xm:f>
            <x14:dxf>
              <font>
                <color rgb="FFFF0000"/>
              </font>
            </x14:dxf>
          </x14:cfRule>
          <xm:sqref>C1152:L1152 E1058:L1058 C1064:L1064</xm:sqref>
        </x14:conditionalFormatting>
        <x14:conditionalFormatting xmlns:xm="http://schemas.microsoft.com/office/excel/2006/main">
          <x14:cfRule type="expression" priority="4452" id="{B53F8CFD-3018-4485-B02B-3CA54509064B}">
            <xm:f>UPCs!$U118=TRUE</xm:f>
            <x14:dxf>
              <fill>
                <patternFill>
                  <bgColor rgb="FFFFFF00"/>
                </patternFill>
              </fill>
            </x14:dxf>
          </x14:cfRule>
          <xm:sqref>C87:L87</xm:sqref>
        </x14:conditionalFormatting>
        <x14:conditionalFormatting xmlns:xm="http://schemas.microsoft.com/office/excel/2006/main">
          <x14:cfRule type="expression" priority="4453" id="{C1F082FC-4330-4A83-91E1-DDC201A396AD}">
            <xm:f>UPCs!$T118=TRUE</xm:f>
            <x14:dxf>
              <font>
                <color rgb="FFFF0000"/>
              </font>
            </x14:dxf>
          </x14:cfRule>
          <xm:sqref>C87:L87</xm:sqref>
        </x14:conditionalFormatting>
        <x14:conditionalFormatting xmlns:xm="http://schemas.microsoft.com/office/excel/2006/main">
          <x14:cfRule type="expression" priority="5024" id="{CF7968A1-9EDA-4313-83E8-F3A43A6BA3C4}">
            <xm:f>UPCs!$U359=TRUE</xm:f>
            <x14:dxf>
              <fill>
                <patternFill>
                  <bgColor rgb="FFFFFF00"/>
                </patternFill>
              </fill>
            </x14:dxf>
          </x14:cfRule>
          <xm:sqref>C345:L345</xm:sqref>
        </x14:conditionalFormatting>
        <x14:conditionalFormatting xmlns:xm="http://schemas.microsoft.com/office/excel/2006/main">
          <x14:cfRule type="expression" priority="5027" id="{A336D0E4-BFBF-4828-9E0B-D4A29B3ED742}">
            <xm:f>UPCs!$T359=TRUE</xm:f>
            <x14:dxf>
              <font>
                <color rgb="FFFF0000"/>
              </font>
            </x14:dxf>
          </x14:cfRule>
          <xm:sqref>C345:L345</xm:sqref>
        </x14:conditionalFormatting>
        <x14:conditionalFormatting xmlns:xm="http://schemas.microsoft.com/office/excel/2006/main">
          <x14:cfRule type="expression" priority="5034" id="{CF7968A1-9EDA-4313-83E8-F3A43A6BA3C4}">
            <xm:f>UPCs!$U347=TRUE</xm:f>
            <x14:dxf>
              <fill>
                <patternFill>
                  <bgColor rgb="FFFFFF00"/>
                </patternFill>
              </fill>
            </x14:dxf>
          </x14:cfRule>
          <xm:sqref>C340:L340</xm:sqref>
        </x14:conditionalFormatting>
        <x14:conditionalFormatting xmlns:xm="http://schemas.microsoft.com/office/excel/2006/main">
          <x14:cfRule type="expression" priority="5035" id="{A336D0E4-BFBF-4828-9E0B-D4A29B3ED742}">
            <xm:f>UPCs!$T347=TRUE</xm:f>
            <x14:dxf>
              <font>
                <color rgb="FFFF0000"/>
              </font>
            </x14:dxf>
          </x14:cfRule>
          <xm:sqref>C340:L340</xm:sqref>
        </x14:conditionalFormatting>
        <x14:conditionalFormatting xmlns:xm="http://schemas.microsoft.com/office/excel/2006/main">
          <x14:cfRule type="expression" priority="5057" id="{B53F8CFD-3018-4485-B02B-3CA54509064B}">
            <xm:f>UPCs!$U109=TRUE</xm:f>
            <x14:dxf>
              <fill>
                <patternFill>
                  <bgColor rgb="FFFFFF00"/>
                </patternFill>
              </fill>
            </x14:dxf>
          </x14:cfRule>
          <xm:sqref>C116:L116</xm:sqref>
        </x14:conditionalFormatting>
        <x14:conditionalFormatting xmlns:xm="http://schemas.microsoft.com/office/excel/2006/main">
          <x14:cfRule type="expression" priority="5058" id="{C1F082FC-4330-4A83-91E1-DDC201A396AD}">
            <xm:f>UPCs!$T109=TRUE</xm:f>
            <x14:dxf>
              <font>
                <color rgb="FFFF0000"/>
              </font>
            </x14:dxf>
          </x14:cfRule>
          <xm:sqref>C116:L116</xm:sqref>
        </x14:conditionalFormatting>
        <x14:conditionalFormatting xmlns:xm="http://schemas.microsoft.com/office/excel/2006/main">
          <x14:cfRule type="expression" priority="5065" id="{CF7968A1-9EDA-4313-83E8-F3A43A6BA3C4}">
            <xm:f>UPCs!$U275=TRUE</xm:f>
            <x14:dxf>
              <fill>
                <patternFill>
                  <bgColor rgb="FFFFFF00"/>
                </patternFill>
              </fill>
            </x14:dxf>
          </x14:cfRule>
          <xm:sqref>C270:L270 C273:L273</xm:sqref>
        </x14:conditionalFormatting>
        <x14:conditionalFormatting xmlns:xm="http://schemas.microsoft.com/office/excel/2006/main">
          <x14:cfRule type="expression" priority="5067" id="{A336D0E4-BFBF-4828-9E0B-D4A29B3ED742}">
            <xm:f>UPCs!$T275=TRUE</xm:f>
            <x14:dxf>
              <font>
                <color rgb="FFFF0000"/>
              </font>
            </x14:dxf>
          </x14:cfRule>
          <xm:sqref>C270:L270 C273:L273</xm:sqref>
        </x14:conditionalFormatting>
        <x14:conditionalFormatting xmlns:xm="http://schemas.microsoft.com/office/excel/2006/main">
          <x14:cfRule type="expression" priority="5077" id="{CF7968A1-9EDA-4313-83E8-F3A43A6BA3C4}">
            <xm:f>UPCs!$U129=TRUE</xm:f>
            <x14:dxf>
              <fill>
                <patternFill>
                  <bgColor rgb="FFFFFF00"/>
                </patternFill>
              </fill>
            </x14:dxf>
          </x14:cfRule>
          <xm:sqref>C293:L293 C118:L118</xm:sqref>
        </x14:conditionalFormatting>
        <x14:conditionalFormatting xmlns:xm="http://schemas.microsoft.com/office/excel/2006/main">
          <x14:cfRule type="expression" priority="5081" id="{A336D0E4-BFBF-4828-9E0B-D4A29B3ED742}">
            <xm:f>UPCs!$T129=TRUE</xm:f>
            <x14:dxf>
              <font>
                <color rgb="FFFF0000"/>
              </font>
            </x14:dxf>
          </x14:cfRule>
          <xm:sqref>C293:L293 C118:L118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1500"/>
  <sheetViews>
    <sheetView workbookViewId="0">
      <selection activeCell="D2" sqref="D2"/>
    </sheetView>
  </sheetViews>
  <sheetFormatPr defaultRowHeight="15" x14ac:dyDescent="0.25"/>
  <cols>
    <col min="1" max="1" width="13.42578125" bestFit="1" customWidth="1"/>
    <col min="2" max="2" width="13.42578125" style="62" customWidth="1"/>
    <col min="3" max="4" width="13.42578125" style="183" customWidth="1"/>
    <col min="5" max="5" width="13.42578125" bestFit="1" customWidth="1"/>
    <col min="6" max="6" width="14.5703125" customWidth="1"/>
    <col min="7" max="7" width="13.5703125" customWidth="1"/>
    <col min="8" max="8" width="34.42578125" customWidth="1"/>
    <col min="9" max="10" width="13.42578125" bestFit="1" customWidth="1"/>
    <col min="11" max="11" width="33.85546875" customWidth="1"/>
    <col min="12" max="12" width="24.7109375" customWidth="1"/>
    <col min="13" max="13" width="19.28515625" bestFit="1" customWidth="1"/>
    <col min="14" max="14" width="23" customWidth="1"/>
    <col min="15" max="15" width="29.5703125" customWidth="1"/>
    <col min="16" max="16" width="27" customWidth="1"/>
    <col min="17" max="18" width="25" customWidth="1"/>
    <col min="19" max="19" width="24.28515625" customWidth="1"/>
    <col min="20" max="20" width="23.5703125" customWidth="1"/>
    <col min="21" max="21" width="21.28515625" customWidth="1"/>
    <col min="22" max="22" width="26.5703125" customWidth="1"/>
    <col min="23" max="23" width="13.42578125" bestFit="1" customWidth="1"/>
    <col min="24" max="24" width="16" customWidth="1"/>
    <col min="25" max="25" width="13.42578125" bestFit="1" customWidth="1"/>
    <col min="26" max="26" width="30.28515625" customWidth="1"/>
    <col min="27" max="28" width="13.42578125" bestFit="1" customWidth="1"/>
    <col min="29" max="29" width="33.7109375" customWidth="1"/>
    <col min="30" max="33" width="13.42578125" bestFit="1" customWidth="1"/>
    <col min="34" max="34" width="33.7109375" customWidth="1"/>
    <col min="35" max="35" width="13.42578125" bestFit="1" customWidth="1"/>
  </cols>
  <sheetData>
    <row r="1" spans="1:35" x14ac:dyDescent="0.25">
      <c r="A1" s="274" t="s">
        <v>4405</v>
      </c>
      <c r="B1" s="275" t="s">
        <v>4404</v>
      </c>
      <c r="C1" t="s">
        <v>4403</v>
      </c>
      <c r="D1" t="s">
        <v>4692</v>
      </c>
      <c r="E1" t="s">
        <v>4371</v>
      </c>
      <c r="F1" t="s">
        <v>4372</v>
      </c>
      <c r="G1" t="s">
        <v>4373</v>
      </c>
      <c r="H1" t="s">
        <v>4374</v>
      </c>
      <c r="I1" t="s">
        <v>4375</v>
      </c>
      <c r="J1" t="s">
        <v>4376</v>
      </c>
      <c r="K1" t="s">
        <v>4377</v>
      </c>
      <c r="L1" t="s">
        <v>4381</v>
      </c>
      <c r="M1" t="s">
        <v>4382</v>
      </c>
      <c r="N1" t="s">
        <v>4383</v>
      </c>
      <c r="O1" t="s">
        <v>4384</v>
      </c>
      <c r="P1" t="s">
        <v>4385</v>
      </c>
      <c r="Q1" t="s">
        <v>4386</v>
      </c>
      <c r="R1" t="s">
        <v>4387</v>
      </c>
      <c r="S1" t="s">
        <v>4388</v>
      </c>
      <c r="T1" t="s">
        <v>4389</v>
      </c>
      <c r="U1" t="s">
        <v>4390</v>
      </c>
      <c r="V1" t="s">
        <v>4391</v>
      </c>
      <c r="W1" t="s">
        <v>4362</v>
      </c>
      <c r="X1" t="s">
        <v>4392</v>
      </c>
      <c r="Y1" t="s">
        <v>3539</v>
      </c>
      <c r="Z1" t="s">
        <v>4378</v>
      </c>
      <c r="AA1" t="s">
        <v>4393</v>
      </c>
      <c r="AB1" t="s">
        <v>4394</v>
      </c>
      <c r="AC1" t="s">
        <v>4379</v>
      </c>
      <c r="AD1" t="s">
        <v>4395</v>
      </c>
      <c r="AE1" t="s">
        <v>4396</v>
      </c>
      <c r="AF1" t="s">
        <v>4397</v>
      </c>
      <c r="AG1" t="s">
        <v>4398</v>
      </c>
      <c r="AH1" t="s">
        <v>4380</v>
      </c>
      <c r="AI1" t="s">
        <v>4399</v>
      </c>
    </row>
    <row r="2" spans="1:35" x14ac:dyDescent="0.25">
      <c r="A2" s="264" t="str">
        <f>HLOOKUP(Overview!$P$8,$B$1:$AI$1500,2,FALSE)</f>
        <v xml:space="preserve">          20023307</v>
      </c>
      <c r="B2" s="264"/>
      <c r="C2" s="183">
        <v>10001236</v>
      </c>
      <c r="D2" s="287" t="s">
        <v>4347</v>
      </c>
      <c r="E2" s="264" t="s">
        <v>3610</v>
      </c>
      <c r="F2" s="264" t="s">
        <v>3610</v>
      </c>
      <c r="G2" s="264" t="s">
        <v>3610</v>
      </c>
      <c r="H2" s="264" t="s">
        <v>4169</v>
      </c>
      <c r="I2" s="264" t="s">
        <v>3610</v>
      </c>
      <c r="J2" s="264" t="s">
        <v>4170</v>
      </c>
      <c r="K2" s="264" t="s">
        <v>4170</v>
      </c>
      <c r="L2" s="264" t="s">
        <v>4171</v>
      </c>
      <c r="M2" s="264" t="s">
        <v>4171</v>
      </c>
      <c r="N2" s="264" t="s">
        <v>4171</v>
      </c>
      <c r="O2" s="264" t="s">
        <v>4170</v>
      </c>
      <c r="P2" s="252" t="s">
        <v>4171</v>
      </c>
      <c r="Q2" s="264" t="s">
        <v>4170</v>
      </c>
      <c r="R2" s="264" t="s">
        <v>4170</v>
      </c>
      <c r="S2" s="264" t="s">
        <v>4170</v>
      </c>
      <c r="T2" s="264" t="s">
        <v>4170</v>
      </c>
      <c r="U2" s="264" t="s">
        <v>2047</v>
      </c>
      <c r="V2" s="264" t="s">
        <v>4170</v>
      </c>
      <c r="W2" s="264" t="s">
        <v>3610</v>
      </c>
      <c r="X2" s="264" t="s">
        <v>4170</v>
      </c>
      <c r="Y2" s="264" t="s">
        <v>3610</v>
      </c>
      <c r="Z2" s="265" t="s">
        <v>3613</v>
      </c>
      <c r="AA2" s="265" t="s">
        <v>3610</v>
      </c>
      <c r="AB2" s="265" t="s">
        <v>3610</v>
      </c>
      <c r="AC2" s="265" t="s">
        <v>4171</v>
      </c>
      <c r="AD2" s="265" t="s">
        <v>3610</v>
      </c>
      <c r="AE2" s="265" t="s">
        <v>2047</v>
      </c>
      <c r="AF2" s="265" t="s">
        <v>4170</v>
      </c>
      <c r="AG2" s="265" t="s">
        <v>3610</v>
      </c>
      <c r="AH2" s="265" t="s">
        <v>3610</v>
      </c>
      <c r="AI2" s="265" t="s">
        <v>2047</v>
      </c>
    </row>
    <row r="3" spans="1:35" x14ac:dyDescent="0.25">
      <c r="A3" s="264" t="str">
        <f>HLOOKUP(Overview!$P$8,$B$1:$AI$1500,3,FALSE)</f>
        <v xml:space="preserve">          20023308</v>
      </c>
      <c r="B3" s="252"/>
      <c r="C3" s="183">
        <v>10001238</v>
      </c>
      <c r="D3" s="288" t="s">
        <v>4348</v>
      </c>
      <c r="E3" s="252" t="s">
        <v>3611</v>
      </c>
      <c r="F3" s="252" t="s">
        <v>3611</v>
      </c>
      <c r="G3" s="252" t="s">
        <v>3611</v>
      </c>
      <c r="H3" s="252" t="s">
        <v>4172</v>
      </c>
      <c r="I3" s="252" t="s">
        <v>3611</v>
      </c>
      <c r="J3" s="252" t="s">
        <v>4171</v>
      </c>
      <c r="K3" s="252" t="s">
        <v>2047</v>
      </c>
      <c r="L3" s="252" t="s">
        <v>2047</v>
      </c>
      <c r="M3" s="252" t="s">
        <v>4173</v>
      </c>
      <c r="N3" s="252" t="s">
        <v>4173</v>
      </c>
      <c r="O3" s="252" t="s">
        <v>4171</v>
      </c>
      <c r="P3" s="252" t="s">
        <v>2047</v>
      </c>
      <c r="Q3" s="252" t="s">
        <v>4171</v>
      </c>
      <c r="R3" s="252" t="s">
        <v>4171</v>
      </c>
      <c r="S3" s="252" t="s">
        <v>4171</v>
      </c>
      <c r="T3" s="252" t="s">
        <v>4171</v>
      </c>
      <c r="U3" s="252" t="s">
        <v>1833</v>
      </c>
      <c r="V3" s="252" t="s">
        <v>2047</v>
      </c>
      <c r="W3" s="252" t="s">
        <v>3611</v>
      </c>
      <c r="X3" s="252" t="s">
        <v>2047</v>
      </c>
      <c r="Y3" s="252" t="s">
        <v>3611</v>
      </c>
      <c r="Z3" s="266" t="s">
        <v>2047</v>
      </c>
      <c r="AA3" s="266" t="s">
        <v>3611</v>
      </c>
      <c r="AB3" s="266" t="s">
        <v>3612</v>
      </c>
      <c r="AC3" s="266" t="s">
        <v>2047</v>
      </c>
      <c r="AD3" s="266" t="s">
        <v>3611</v>
      </c>
      <c r="AE3" s="266" t="s">
        <v>3614</v>
      </c>
      <c r="AF3" s="266" t="s">
        <v>4171</v>
      </c>
      <c r="AG3" s="266" t="s">
        <v>3611</v>
      </c>
      <c r="AH3" s="266" t="s">
        <v>3611</v>
      </c>
      <c r="AI3" s="266" t="s">
        <v>3614</v>
      </c>
    </row>
    <row r="4" spans="1:35" x14ac:dyDescent="0.25">
      <c r="A4" s="264" t="str">
        <f>HLOOKUP(Overview!$P$8,$B$1:$AI$1500,4,FALSE)</f>
        <v xml:space="preserve">          20023317</v>
      </c>
      <c r="B4" s="264"/>
      <c r="C4" s="183">
        <v>10001251</v>
      </c>
      <c r="D4" s="287" t="s">
        <v>2301</v>
      </c>
      <c r="E4" s="264" t="s">
        <v>3612</v>
      </c>
      <c r="F4" s="264" t="s">
        <v>3612</v>
      </c>
      <c r="G4" s="264" t="s">
        <v>3612</v>
      </c>
      <c r="H4" s="264" t="s">
        <v>4174</v>
      </c>
      <c r="I4" s="264" t="s">
        <v>3612</v>
      </c>
      <c r="J4" s="264" t="s">
        <v>4175</v>
      </c>
      <c r="K4" s="264" t="s">
        <v>2045</v>
      </c>
      <c r="L4" s="264" t="s">
        <v>2045</v>
      </c>
      <c r="M4" s="264" t="s">
        <v>2047</v>
      </c>
      <c r="N4" s="264" t="s">
        <v>2047</v>
      </c>
      <c r="O4" s="264" t="s">
        <v>2047</v>
      </c>
      <c r="P4" s="264" t="s">
        <v>3614</v>
      </c>
      <c r="Q4" s="264" t="s">
        <v>2047</v>
      </c>
      <c r="R4" s="264" t="s">
        <v>4173</v>
      </c>
      <c r="S4" s="264" t="s">
        <v>2047</v>
      </c>
      <c r="T4" s="264" t="s">
        <v>2047</v>
      </c>
      <c r="U4" s="264" t="s">
        <v>2183</v>
      </c>
      <c r="V4" s="264" t="s">
        <v>2045</v>
      </c>
      <c r="W4" s="264" t="s">
        <v>3612</v>
      </c>
      <c r="X4" s="264" t="s">
        <v>2045</v>
      </c>
      <c r="Y4" s="264" t="s">
        <v>3612</v>
      </c>
      <c r="Z4" s="265" t="s">
        <v>2045</v>
      </c>
      <c r="AA4" s="265" t="s">
        <v>3612</v>
      </c>
      <c r="AB4" s="265" t="s">
        <v>3613</v>
      </c>
      <c r="AC4" s="265" t="s">
        <v>1921</v>
      </c>
      <c r="AD4" s="265" t="s">
        <v>3612</v>
      </c>
      <c r="AE4" s="265" t="s">
        <v>2277</v>
      </c>
      <c r="AF4" s="265" t="s">
        <v>2047</v>
      </c>
      <c r="AG4" s="265" t="s">
        <v>3612</v>
      </c>
      <c r="AH4" s="265" t="s">
        <v>3612</v>
      </c>
      <c r="AI4" s="265" t="s">
        <v>2277</v>
      </c>
    </row>
    <row r="5" spans="1:35" x14ac:dyDescent="0.25">
      <c r="A5" s="264" t="str">
        <f>HLOOKUP(Overview!$P$8,$B$1:$AI$1500,5,FALSE)</f>
        <v xml:space="preserve">          20023318</v>
      </c>
      <c r="B5" s="252"/>
      <c r="C5" s="183">
        <v>10001255</v>
      </c>
      <c r="D5" s="288" t="s">
        <v>2179</v>
      </c>
      <c r="E5" s="252" t="s">
        <v>3613</v>
      </c>
      <c r="F5" s="252" t="s">
        <v>3613</v>
      </c>
      <c r="G5" s="252" t="s">
        <v>3613</v>
      </c>
      <c r="H5" s="252" t="s">
        <v>4176</v>
      </c>
      <c r="I5" s="252" t="s">
        <v>3613</v>
      </c>
      <c r="J5" s="252" t="s">
        <v>4173</v>
      </c>
      <c r="K5" s="252" t="s">
        <v>4169</v>
      </c>
      <c r="L5" s="252" t="s">
        <v>1833</v>
      </c>
      <c r="M5" s="252" t="s">
        <v>2045</v>
      </c>
      <c r="N5" s="252" t="s">
        <v>3614</v>
      </c>
      <c r="O5" s="252" t="s">
        <v>2045</v>
      </c>
      <c r="P5" s="252" t="s">
        <v>2045</v>
      </c>
      <c r="Q5" s="252" t="s">
        <v>2045</v>
      </c>
      <c r="R5" s="252" t="s">
        <v>2047</v>
      </c>
      <c r="S5" s="252" t="s">
        <v>1833</v>
      </c>
      <c r="T5" s="252" t="s">
        <v>1833</v>
      </c>
      <c r="U5" s="252" t="s">
        <v>1921</v>
      </c>
      <c r="V5" s="252" t="s">
        <v>4169</v>
      </c>
      <c r="W5" s="252" t="s">
        <v>3613</v>
      </c>
      <c r="X5" s="252" t="s">
        <v>4169</v>
      </c>
      <c r="Y5" s="252" t="s">
        <v>3613</v>
      </c>
      <c r="Z5" s="266" t="s">
        <v>1833</v>
      </c>
      <c r="AA5" s="266" t="s">
        <v>3613</v>
      </c>
      <c r="AB5" s="266" t="s">
        <v>2047</v>
      </c>
      <c r="AC5" s="266" t="s">
        <v>2322</v>
      </c>
      <c r="AD5" s="266" t="s">
        <v>3613</v>
      </c>
      <c r="AE5" s="266" t="s">
        <v>4177</v>
      </c>
      <c r="AF5" s="266" t="s">
        <v>3614</v>
      </c>
      <c r="AG5" s="266" t="s">
        <v>3613</v>
      </c>
      <c r="AH5" s="266" t="s">
        <v>3613</v>
      </c>
      <c r="AI5" s="266" t="s">
        <v>4177</v>
      </c>
    </row>
    <row r="6" spans="1:35" x14ac:dyDescent="0.25">
      <c r="A6" s="264" t="str">
        <f>HLOOKUP(Overview!$P$8,$B$1:$AI$1500,6,FALSE)</f>
        <v xml:space="preserve">          20023319</v>
      </c>
      <c r="B6" s="252"/>
      <c r="C6" s="183">
        <v>10000017</v>
      </c>
      <c r="D6" s="287" t="s">
        <v>2225</v>
      </c>
      <c r="E6" s="264" t="s">
        <v>4178</v>
      </c>
      <c r="F6" s="264" t="s">
        <v>2047</v>
      </c>
      <c r="G6" s="264" t="s">
        <v>2047</v>
      </c>
      <c r="H6" s="264" t="s">
        <v>2117</v>
      </c>
      <c r="I6" s="264" t="s">
        <v>2047</v>
      </c>
      <c r="J6" s="264" t="s">
        <v>2047</v>
      </c>
      <c r="K6" s="264" t="s">
        <v>1833</v>
      </c>
      <c r="L6" s="264" t="s">
        <v>1921</v>
      </c>
      <c r="M6" s="264" t="s">
        <v>1833</v>
      </c>
      <c r="N6" s="264" t="s">
        <v>2045</v>
      </c>
      <c r="O6" s="264" t="s">
        <v>1833</v>
      </c>
      <c r="P6" s="264" t="s">
        <v>1833</v>
      </c>
      <c r="Q6" s="264" t="s">
        <v>1833</v>
      </c>
      <c r="R6" s="264" t="s">
        <v>1833</v>
      </c>
      <c r="S6" s="264" t="s">
        <v>1921</v>
      </c>
      <c r="T6" s="264" t="s">
        <v>1921</v>
      </c>
      <c r="U6" s="264" t="s">
        <v>2280</v>
      </c>
      <c r="V6" s="264" t="s">
        <v>1833</v>
      </c>
      <c r="W6" s="264" t="s">
        <v>2047</v>
      </c>
      <c r="X6" s="264" t="s">
        <v>1833</v>
      </c>
      <c r="Y6" s="264" t="s">
        <v>2047</v>
      </c>
      <c r="Z6" s="265" t="s">
        <v>2183</v>
      </c>
      <c r="AA6" s="265" t="s">
        <v>2047</v>
      </c>
      <c r="AB6" s="265" t="s">
        <v>2277</v>
      </c>
      <c r="AC6" s="265" t="s">
        <v>2296</v>
      </c>
      <c r="AD6" s="265" t="s">
        <v>2047</v>
      </c>
      <c r="AE6" s="265" t="s">
        <v>2045</v>
      </c>
      <c r="AF6" s="265" t="s">
        <v>2045</v>
      </c>
      <c r="AG6" s="265" t="s">
        <v>4178</v>
      </c>
      <c r="AH6" s="265" t="s">
        <v>2047</v>
      </c>
      <c r="AI6" s="265" t="s">
        <v>2045</v>
      </c>
    </row>
    <row r="7" spans="1:35" x14ac:dyDescent="0.25">
      <c r="A7" s="264" t="str">
        <f>HLOOKUP(Overview!$P$8,$B$1:$AI$1500,7,FALSE)</f>
        <v xml:space="preserve">          20023320</v>
      </c>
      <c r="B7" s="252"/>
      <c r="C7" s="183">
        <v>10001266</v>
      </c>
      <c r="D7" s="288" t="s">
        <v>2298</v>
      </c>
      <c r="E7" s="252" t="s">
        <v>4170</v>
      </c>
      <c r="F7" s="252" t="s">
        <v>3614</v>
      </c>
      <c r="G7" s="252" t="s">
        <v>3614</v>
      </c>
      <c r="H7" s="252" t="s">
        <v>2071</v>
      </c>
      <c r="I7" s="252" t="s">
        <v>2277</v>
      </c>
      <c r="J7" s="252" t="s">
        <v>2045</v>
      </c>
      <c r="K7" s="252" t="s">
        <v>1921</v>
      </c>
      <c r="L7" s="252" t="s">
        <v>2296</v>
      </c>
      <c r="M7" s="252" t="s">
        <v>2183</v>
      </c>
      <c r="N7" s="252" t="s">
        <v>1833</v>
      </c>
      <c r="O7" s="252" t="s">
        <v>1921</v>
      </c>
      <c r="P7" s="252" t="s">
        <v>2183</v>
      </c>
      <c r="Q7" s="252" t="s">
        <v>2183</v>
      </c>
      <c r="R7" s="252" t="s">
        <v>2183</v>
      </c>
      <c r="S7" s="252" t="s">
        <v>1811</v>
      </c>
      <c r="T7" s="252" t="s">
        <v>2280</v>
      </c>
      <c r="U7" s="252" t="s">
        <v>1811</v>
      </c>
      <c r="V7" s="252" t="s">
        <v>2183</v>
      </c>
      <c r="W7" s="252" t="s">
        <v>3614</v>
      </c>
      <c r="X7" s="252" t="s">
        <v>2342</v>
      </c>
      <c r="Y7" s="252" t="s">
        <v>3614</v>
      </c>
      <c r="Z7" s="266" t="s">
        <v>2342</v>
      </c>
      <c r="AA7" s="266" t="s">
        <v>3614</v>
      </c>
      <c r="AB7" s="266" t="s">
        <v>2045</v>
      </c>
      <c r="AC7" s="266" t="s">
        <v>2280</v>
      </c>
      <c r="AD7" s="266" t="s">
        <v>4177</v>
      </c>
      <c r="AE7" s="266" t="s">
        <v>1833</v>
      </c>
      <c r="AF7" s="266" t="s">
        <v>4169</v>
      </c>
      <c r="AG7" s="266" t="s">
        <v>2047</v>
      </c>
      <c r="AH7" s="266" t="s">
        <v>2277</v>
      </c>
      <c r="AI7" s="266" t="s">
        <v>1833</v>
      </c>
    </row>
    <row r="8" spans="1:35" x14ac:dyDescent="0.25">
      <c r="A8" s="264" t="str">
        <f>HLOOKUP(Overview!$P$8,$B$1:$AI$1500,8,FALSE)</f>
        <v xml:space="preserve">          20023321</v>
      </c>
      <c r="B8" s="252"/>
      <c r="C8" s="183">
        <v>10119292</v>
      </c>
      <c r="D8" s="287" t="s">
        <v>2289</v>
      </c>
      <c r="E8" s="264" t="s">
        <v>4171</v>
      </c>
      <c r="F8" s="264" t="s">
        <v>2277</v>
      </c>
      <c r="G8" s="264" t="s">
        <v>2277</v>
      </c>
      <c r="H8" s="264" t="s">
        <v>2005</v>
      </c>
      <c r="I8" s="264" t="s">
        <v>2045</v>
      </c>
      <c r="J8" s="264" t="s">
        <v>1833</v>
      </c>
      <c r="K8" s="264" t="s">
        <v>2296</v>
      </c>
      <c r="L8" s="264" t="s">
        <v>1923</v>
      </c>
      <c r="M8" s="264" t="s">
        <v>1921</v>
      </c>
      <c r="N8" s="264" t="s">
        <v>2183</v>
      </c>
      <c r="O8" s="264" t="s">
        <v>2296</v>
      </c>
      <c r="P8" s="264" t="s">
        <v>1921</v>
      </c>
      <c r="Q8" s="264" t="s">
        <v>1921</v>
      </c>
      <c r="R8" s="264" t="s">
        <v>2342</v>
      </c>
      <c r="S8" s="264" t="s">
        <v>1819</v>
      </c>
      <c r="T8" s="264" t="s">
        <v>1923</v>
      </c>
      <c r="U8" s="264" t="s">
        <v>1819</v>
      </c>
      <c r="V8" s="264" t="s">
        <v>1921</v>
      </c>
      <c r="W8" s="264" t="s">
        <v>2277</v>
      </c>
      <c r="X8" s="264" t="s">
        <v>4179</v>
      </c>
      <c r="Y8" s="264" t="s">
        <v>2277</v>
      </c>
      <c r="Z8" s="265" t="s">
        <v>1921</v>
      </c>
      <c r="AA8" s="265" t="s">
        <v>2277</v>
      </c>
      <c r="AB8" s="265" t="s">
        <v>1833</v>
      </c>
      <c r="AC8" s="265" t="s">
        <v>1923</v>
      </c>
      <c r="AD8" s="265" t="s">
        <v>2045</v>
      </c>
      <c r="AE8" s="265" t="s">
        <v>2183</v>
      </c>
      <c r="AF8" s="265" t="s">
        <v>1833</v>
      </c>
      <c r="AG8" s="265" t="s">
        <v>3614</v>
      </c>
      <c r="AH8" s="265" t="s">
        <v>2045</v>
      </c>
      <c r="AI8" s="265" t="s">
        <v>2183</v>
      </c>
    </row>
    <row r="9" spans="1:35" x14ac:dyDescent="0.25">
      <c r="A9" s="264" t="str">
        <f>HLOOKUP(Overview!$P$8,$B$1:$AI$1500,9,FALSE)</f>
        <v xml:space="preserve">          20025475</v>
      </c>
      <c r="B9" s="252"/>
      <c r="C9" s="183">
        <v>10000020</v>
      </c>
      <c r="D9" s="288" t="s">
        <v>2375</v>
      </c>
      <c r="E9" s="252" t="s">
        <v>4175</v>
      </c>
      <c r="F9" s="252" t="s">
        <v>2045</v>
      </c>
      <c r="G9" s="252" t="s">
        <v>2045</v>
      </c>
      <c r="H9" s="252" t="s">
        <v>2325</v>
      </c>
      <c r="I9" s="252" t="s">
        <v>1833</v>
      </c>
      <c r="J9" s="252" t="s">
        <v>2183</v>
      </c>
      <c r="K9" s="252" t="s">
        <v>4180</v>
      </c>
      <c r="L9" s="252" t="s">
        <v>2130</v>
      </c>
      <c r="M9" s="252" t="s">
        <v>2296</v>
      </c>
      <c r="N9" s="252" t="s">
        <v>2342</v>
      </c>
      <c r="O9" s="252" t="s">
        <v>2280</v>
      </c>
      <c r="P9" s="252" t="s">
        <v>2296</v>
      </c>
      <c r="Q9" s="252" t="s">
        <v>2296</v>
      </c>
      <c r="R9" s="252" t="s">
        <v>1921</v>
      </c>
      <c r="S9" s="252" t="s">
        <v>1847</v>
      </c>
      <c r="T9" s="252" t="s">
        <v>2130</v>
      </c>
      <c r="U9" s="252" t="s">
        <v>1847</v>
      </c>
      <c r="V9" s="252" t="s">
        <v>2296</v>
      </c>
      <c r="W9" s="252" t="s">
        <v>4177</v>
      </c>
      <c r="X9" s="252" t="s">
        <v>4181</v>
      </c>
      <c r="Y9" s="252" t="s">
        <v>2045</v>
      </c>
      <c r="Z9" s="266" t="s">
        <v>2296</v>
      </c>
      <c r="AA9" s="266" t="s">
        <v>2045</v>
      </c>
      <c r="AB9" s="266" t="s">
        <v>2183</v>
      </c>
      <c r="AC9" s="266" t="s">
        <v>1811</v>
      </c>
      <c r="AD9" s="266" t="s">
        <v>1833</v>
      </c>
      <c r="AE9" s="266" t="s">
        <v>2342</v>
      </c>
      <c r="AF9" s="266" t="s">
        <v>4182</v>
      </c>
      <c r="AG9" s="266" t="s">
        <v>2277</v>
      </c>
      <c r="AH9" s="266" t="s">
        <v>1833</v>
      </c>
      <c r="AI9" s="266" t="s">
        <v>1921</v>
      </c>
    </row>
    <row r="10" spans="1:35" x14ac:dyDescent="0.25">
      <c r="A10" s="264" t="str">
        <f>HLOOKUP(Overview!$P$8,$B$1:$AI$1500,10,FALSE)</f>
        <v xml:space="preserve">          20028087</v>
      </c>
      <c r="B10" s="252"/>
      <c r="C10" s="183">
        <v>10000019</v>
      </c>
      <c r="D10" s="287" t="s">
        <v>3512</v>
      </c>
      <c r="E10" s="264" t="s">
        <v>4173</v>
      </c>
      <c r="F10" s="264" t="s">
        <v>1833</v>
      </c>
      <c r="G10" s="264" t="s">
        <v>1833</v>
      </c>
      <c r="H10" s="264" t="s">
        <v>2156</v>
      </c>
      <c r="I10" s="264" t="s">
        <v>4182</v>
      </c>
      <c r="J10" s="264" t="s">
        <v>1921</v>
      </c>
      <c r="K10" s="264" t="s">
        <v>4183</v>
      </c>
      <c r="L10" s="264" t="s">
        <v>2259</v>
      </c>
      <c r="M10" s="264" t="s">
        <v>2280</v>
      </c>
      <c r="N10" s="264" t="s">
        <v>1921</v>
      </c>
      <c r="O10" s="264" t="s">
        <v>1811</v>
      </c>
      <c r="P10" s="264" t="s">
        <v>2280</v>
      </c>
      <c r="Q10" s="264" t="s">
        <v>2280</v>
      </c>
      <c r="R10" s="264" t="s">
        <v>2322</v>
      </c>
      <c r="S10" s="264" t="s">
        <v>1904</v>
      </c>
      <c r="T10" s="264" t="s">
        <v>1811</v>
      </c>
      <c r="U10" s="264" t="s">
        <v>1904</v>
      </c>
      <c r="V10" s="264" t="s">
        <v>2280</v>
      </c>
      <c r="W10" s="264" t="s">
        <v>2045</v>
      </c>
      <c r="X10" s="264" t="s">
        <v>4184</v>
      </c>
      <c r="Y10" s="264" t="s">
        <v>1833</v>
      </c>
      <c r="Z10" s="265" t="s">
        <v>2280</v>
      </c>
      <c r="AA10" s="265" t="s">
        <v>1833</v>
      </c>
      <c r="AB10" s="265" t="s">
        <v>2342</v>
      </c>
      <c r="AC10" s="265" t="s">
        <v>1819</v>
      </c>
      <c r="AD10" s="265" t="s">
        <v>2183</v>
      </c>
      <c r="AE10" s="265" t="s">
        <v>1921</v>
      </c>
      <c r="AF10" s="265" t="s">
        <v>2342</v>
      </c>
      <c r="AG10" s="265" t="s">
        <v>4177</v>
      </c>
      <c r="AH10" s="265" t="s">
        <v>2183</v>
      </c>
      <c r="AI10" s="265" t="s">
        <v>2322</v>
      </c>
    </row>
    <row r="11" spans="1:35" x14ac:dyDescent="0.25">
      <c r="A11" s="264" t="str">
        <f>HLOOKUP(Overview!$P$8,$B$1:$AI$1500,11,FALSE)</f>
        <v xml:space="preserve">          20028088</v>
      </c>
      <c r="B11" s="252"/>
      <c r="C11" s="183">
        <v>10000018</v>
      </c>
      <c r="D11" s="288" t="s">
        <v>3421</v>
      </c>
      <c r="E11" s="252" t="s">
        <v>2047</v>
      </c>
      <c r="F11" s="252" t="s">
        <v>2183</v>
      </c>
      <c r="G11" s="252" t="s">
        <v>2183</v>
      </c>
      <c r="H11" s="252" t="s">
        <v>1931</v>
      </c>
      <c r="I11" s="252" t="s">
        <v>2183</v>
      </c>
      <c r="J11" s="252" t="s">
        <v>2322</v>
      </c>
      <c r="K11" s="252" t="s">
        <v>3900</v>
      </c>
      <c r="L11" s="252" t="s">
        <v>2286</v>
      </c>
      <c r="M11" s="252" t="s">
        <v>1923</v>
      </c>
      <c r="N11" s="252" t="s">
        <v>2322</v>
      </c>
      <c r="O11" s="252" t="s">
        <v>1819</v>
      </c>
      <c r="P11" s="252" t="s">
        <v>1923</v>
      </c>
      <c r="Q11" s="252" t="s">
        <v>1923</v>
      </c>
      <c r="R11" s="252" t="s">
        <v>2296</v>
      </c>
      <c r="S11" s="252" t="s">
        <v>1875</v>
      </c>
      <c r="T11" s="252" t="s">
        <v>1819</v>
      </c>
      <c r="U11" s="252" t="s">
        <v>1875</v>
      </c>
      <c r="V11" s="252" t="s">
        <v>1811</v>
      </c>
      <c r="W11" s="252" t="s">
        <v>4169</v>
      </c>
      <c r="X11" s="252" t="s">
        <v>4185</v>
      </c>
      <c r="Y11" s="252" t="s">
        <v>2183</v>
      </c>
      <c r="Z11" s="266" t="s">
        <v>1923</v>
      </c>
      <c r="AA11" s="266" t="s">
        <v>2183</v>
      </c>
      <c r="AB11" s="266" t="s">
        <v>1921</v>
      </c>
      <c r="AC11" s="266" t="s">
        <v>1847</v>
      </c>
      <c r="AD11" s="266" t="s">
        <v>1921</v>
      </c>
      <c r="AE11" s="266" t="s">
        <v>2408</v>
      </c>
      <c r="AF11" s="266" t="s">
        <v>4179</v>
      </c>
      <c r="AG11" s="266" t="s">
        <v>2045</v>
      </c>
      <c r="AH11" s="266" t="s">
        <v>1921</v>
      </c>
      <c r="AI11" s="266" t="s">
        <v>2296</v>
      </c>
    </row>
    <row r="12" spans="1:35" x14ac:dyDescent="0.25">
      <c r="A12" s="264" t="str">
        <f>HLOOKUP(Overview!$P$8,$B$1:$AI$1500,12,FALSE)</f>
        <v xml:space="preserve">          20028089</v>
      </c>
      <c r="B12" s="252"/>
      <c r="C12" s="183">
        <v>10000021</v>
      </c>
      <c r="D12" s="287" t="s">
        <v>3417</v>
      </c>
      <c r="E12" s="264" t="s">
        <v>3614</v>
      </c>
      <c r="F12" s="264" t="s">
        <v>2342</v>
      </c>
      <c r="G12" s="264" t="s">
        <v>2342</v>
      </c>
      <c r="H12" s="264" t="s">
        <v>1925</v>
      </c>
      <c r="I12" s="264" t="s">
        <v>1921</v>
      </c>
      <c r="J12" s="264" t="s">
        <v>2296</v>
      </c>
      <c r="K12" s="264" t="s">
        <v>1923</v>
      </c>
      <c r="L12" s="264" t="s">
        <v>1811</v>
      </c>
      <c r="M12" s="264" t="s">
        <v>2130</v>
      </c>
      <c r="N12" s="264" t="s">
        <v>2296</v>
      </c>
      <c r="O12" s="264" t="s">
        <v>1847</v>
      </c>
      <c r="P12" s="264" t="s">
        <v>2130</v>
      </c>
      <c r="Q12" s="264" t="s">
        <v>2130</v>
      </c>
      <c r="R12" s="264" t="s">
        <v>4186</v>
      </c>
      <c r="S12" s="264" t="s">
        <v>1901</v>
      </c>
      <c r="T12" s="264" t="s">
        <v>1847</v>
      </c>
      <c r="U12" s="264" t="s">
        <v>1901</v>
      </c>
      <c r="V12" s="264" t="s">
        <v>1819</v>
      </c>
      <c r="W12" s="264" t="s">
        <v>1833</v>
      </c>
      <c r="X12" s="264" t="s">
        <v>4187</v>
      </c>
      <c r="Y12" s="264" t="s">
        <v>2342</v>
      </c>
      <c r="Z12" s="265" t="s">
        <v>2130</v>
      </c>
      <c r="AA12" s="265" t="s">
        <v>2342</v>
      </c>
      <c r="AB12" s="265" t="s">
        <v>2408</v>
      </c>
      <c r="AC12" s="265" t="s">
        <v>1904</v>
      </c>
      <c r="AD12" s="265" t="s">
        <v>3561</v>
      </c>
      <c r="AE12" s="265" t="s">
        <v>2322</v>
      </c>
      <c r="AF12" s="265" t="s">
        <v>4181</v>
      </c>
      <c r="AG12" s="265" t="s">
        <v>1833</v>
      </c>
      <c r="AH12" s="265" t="s">
        <v>1811</v>
      </c>
      <c r="AI12" s="265" t="s">
        <v>3561</v>
      </c>
    </row>
    <row r="13" spans="1:35" x14ac:dyDescent="0.25">
      <c r="A13" s="264" t="str">
        <f>HLOOKUP(Overview!$P$8,$B$1:$AI$1500,13,FALSE)</f>
        <v xml:space="preserve">          20028090</v>
      </c>
      <c r="B13" s="252"/>
      <c r="C13" s="183">
        <v>10060240</v>
      </c>
      <c r="D13" s="288" t="s">
        <v>3510</v>
      </c>
      <c r="E13" s="252" t="s">
        <v>2277</v>
      </c>
      <c r="F13" s="252" t="s">
        <v>1921</v>
      </c>
      <c r="G13" s="252" t="s">
        <v>1921</v>
      </c>
      <c r="H13" s="252" t="s">
        <v>1983</v>
      </c>
      <c r="I13" s="252" t="s">
        <v>4188</v>
      </c>
      <c r="J13" s="252" t="s">
        <v>4186</v>
      </c>
      <c r="K13" s="252" t="s">
        <v>2130</v>
      </c>
      <c r="L13" s="252" t="s">
        <v>1819</v>
      </c>
      <c r="M13" s="252" t="s">
        <v>1811</v>
      </c>
      <c r="N13" s="252" t="s">
        <v>2280</v>
      </c>
      <c r="O13" s="252" t="s">
        <v>1904</v>
      </c>
      <c r="P13" s="252" t="s">
        <v>2259</v>
      </c>
      <c r="Q13" s="252" t="s">
        <v>2259</v>
      </c>
      <c r="R13" s="252" t="s">
        <v>2280</v>
      </c>
      <c r="S13" s="252" t="s">
        <v>1859</v>
      </c>
      <c r="T13" s="252" t="s">
        <v>1904</v>
      </c>
      <c r="U13" s="252" t="s">
        <v>1994</v>
      </c>
      <c r="V13" s="252" t="s">
        <v>1847</v>
      </c>
      <c r="W13" s="252" t="s">
        <v>2183</v>
      </c>
      <c r="X13" s="252" t="s">
        <v>4189</v>
      </c>
      <c r="Y13" s="252" t="s">
        <v>1921</v>
      </c>
      <c r="Z13" s="266" t="s">
        <v>1847</v>
      </c>
      <c r="AA13" s="266" t="s">
        <v>1921</v>
      </c>
      <c r="AB13" s="266" t="s">
        <v>2322</v>
      </c>
      <c r="AC13" s="266" t="s">
        <v>1807</v>
      </c>
      <c r="AD13" s="266" t="s">
        <v>1923</v>
      </c>
      <c r="AE13" s="266" t="s">
        <v>2296</v>
      </c>
      <c r="AF13" s="266" t="s">
        <v>4184</v>
      </c>
      <c r="AG13" s="266" t="s">
        <v>4182</v>
      </c>
      <c r="AH13" s="266" t="s">
        <v>1819</v>
      </c>
      <c r="AI13" s="266" t="s">
        <v>2259</v>
      </c>
    </row>
    <row r="14" spans="1:35" x14ac:dyDescent="0.25">
      <c r="A14" s="264" t="str">
        <f>HLOOKUP(Overview!$P$8,$B$1:$AI$1500,14,FALSE)</f>
        <v xml:space="preserve">          20031544</v>
      </c>
      <c r="B14" s="252"/>
      <c r="C14" s="183">
        <v>10001260</v>
      </c>
      <c r="D14" s="287" t="s">
        <v>4455</v>
      </c>
      <c r="E14" s="264" t="s">
        <v>4177</v>
      </c>
      <c r="F14" s="264" t="s">
        <v>2408</v>
      </c>
      <c r="G14" s="264" t="s">
        <v>2408</v>
      </c>
      <c r="H14" s="264" t="s">
        <v>1873</v>
      </c>
      <c r="I14" s="264" t="s">
        <v>1811</v>
      </c>
      <c r="J14" s="264" t="s">
        <v>2280</v>
      </c>
      <c r="K14" s="264" t="s">
        <v>4190</v>
      </c>
      <c r="L14" s="264" t="s">
        <v>1847</v>
      </c>
      <c r="M14" s="264" t="s">
        <v>1819</v>
      </c>
      <c r="N14" s="264" t="s">
        <v>1923</v>
      </c>
      <c r="O14" s="264" t="s">
        <v>1875</v>
      </c>
      <c r="P14" s="264" t="s">
        <v>3542</v>
      </c>
      <c r="Q14" s="264" t="s">
        <v>3542</v>
      </c>
      <c r="R14" s="264" t="s">
        <v>1923</v>
      </c>
      <c r="S14" s="264" t="s">
        <v>4174</v>
      </c>
      <c r="T14" s="264" t="s">
        <v>1875</v>
      </c>
      <c r="U14" s="264" t="s">
        <v>1807</v>
      </c>
      <c r="V14" s="264" t="s">
        <v>1904</v>
      </c>
      <c r="W14" s="264" t="s">
        <v>2342</v>
      </c>
      <c r="X14" s="264" t="s">
        <v>4191</v>
      </c>
      <c r="Y14" s="264" t="s">
        <v>2408</v>
      </c>
      <c r="Z14" s="265" t="s">
        <v>1904</v>
      </c>
      <c r="AA14" s="265" t="s">
        <v>2408</v>
      </c>
      <c r="AB14" s="265" t="s">
        <v>2296</v>
      </c>
      <c r="AC14" s="265" t="s">
        <v>1859</v>
      </c>
      <c r="AD14" s="265" t="s">
        <v>1811</v>
      </c>
      <c r="AE14" s="265" t="s">
        <v>2280</v>
      </c>
      <c r="AF14" s="265" t="s">
        <v>4185</v>
      </c>
      <c r="AG14" s="265" t="s">
        <v>2183</v>
      </c>
      <c r="AH14" s="265" t="s">
        <v>1847</v>
      </c>
      <c r="AI14" s="265" t="s">
        <v>3542</v>
      </c>
    </row>
    <row r="15" spans="1:35" x14ac:dyDescent="0.25">
      <c r="A15" s="264" t="str">
        <f>HLOOKUP(Overview!$P$8,$B$1:$AI$1500,15,FALSE)</f>
        <v xml:space="preserve">          20031545</v>
      </c>
      <c r="B15" s="252"/>
      <c r="C15" s="183">
        <v>10001259</v>
      </c>
      <c r="D15" s="288" t="s">
        <v>4456</v>
      </c>
      <c r="E15" s="252" t="s">
        <v>2045</v>
      </c>
      <c r="F15" s="252" t="s">
        <v>2322</v>
      </c>
      <c r="G15" s="252" t="s">
        <v>2322</v>
      </c>
      <c r="H15" s="252" t="s">
        <v>1940</v>
      </c>
      <c r="I15" s="252" t="s">
        <v>1819</v>
      </c>
      <c r="J15" s="252" t="s">
        <v>4192</v>
      </c>
      <c r="K15" s="252" t="s">
        <v>1811</v>
      </c>
      <c r="L15" s="252" t="s">
        <v>1904</v>
      </c>
      <c r="M15" s="252" t="s">
        <v>1847</v>
      </c>
      <c r="N15" s="252" t="s">
        <v>4190</v>
      </c>
      <c r="O15" s="252" t="s">
        <v>1901</v>
      </c>
      <c r="P15" s="252" t="s">
        <v>2329</v>
      </c>
      <c r="Q15" s="252" t="s">
        <v>2286</v>
      </c>
      <c r="R15" s="252" t="s">
        <v>4190</v>
      </c>
      <c r="S15" s="252" t="s">
        <v>1895</v>
      </c>
      <c r="T15" s="252" t="s">
        <v>1901</v>
      </c>
      <c r="U15" s="252" t="s">
        <v>1859</v>
      </c>
      <c r="V15" s="252" t="s">
        <v>1875</v>
      </c>
      <c r="W15" s="252" t="s">
        <v>1921</v>
      </c>
      <c r="X15" s="252" t="s">
        <v>4193</v>
      </c>
      <c r="Y15" s="252" t="s">
        <v>2322</v>
      </c>
      <c r="Z15" s="266" t="s">
        <v>1875</v>
      </c>
      <c r="AA15" s="266" t="s">
        <v>2322</v>
      </c>
      <c r="AB15" s="266" t="s">
        <v>2280</v>
      </c>
      <c r="AC15" s="266" t="s">
        <v>4174</v>
      </c>
      <c r="AD15" s="266" t="s">
        <v>1819</v>
      </c>
      <c r="AE15" s="266" t="s">
        <v>4194</v>
      </c>
      <c r="AF15" s="266" t="s">
        <v>4191</v>
      </c>
      <c r="AG15" s="266" t="s">
        <v>2342</v>
      </c>
      <c r="AH15" s="266" t="s">
        <v>1904</v>
      </c>
      <c r="AI15" s="266" t="s">
        <v>2286</v>
      </c>
    </row>
    <row r="16" spans="1:35" x14ac:dyDescent="0.25">
      <c r="A16" s="264" t="str">
        <f>HLOOKUP(Overview!$P$8,$B$1:$AI$1500,16,FALSE)</f>
        <v xml:space="preserve">          10085412</v>
      </c>
      <c r="B16" s="252"/>
      <c r="C16" s="183">
        <v>10001258</v>
      </c>
      <c r="D16" s="287" t="s">
        <v>1908</v>
      </c>
      <c r="E16" s="264" t="s">
        <v>4169</v>
      </c>
      <c r="F16" s="264" t="s">
        <v>2296</v>
      </c>
      <c r="G16" s="264" t="s">
        <v>2296</v>
      </c>
      <c r="H16" s="264" t="s">
        <v>1927</v>
      </c>
      <c r="I16" s="264" t="s">
        <v>1847</v>
      </c>
      <c r="J16" s="264" t="s">
        <v>1923</v>
      </c>
      <c r="K16" s="264" t="s">
        <v>1819</v>
      </c>
      <c r="L16" s="264" t="s">
        <v>1875</v>
      </c>
      <c r="M16" s="264" t="s">
        <v>1904</v>
      </c>
      <c r="N16" s="264" t="s">
        <v>1811</v>
      </c>
      <c r="O16" s="264" t="s">
        <v>1994</v>
      </c>
      <c r="P16" s="264" t="s">
        <v>2286</v>
      </c>
      <c r="Q16" s="264" t="s">
        <v>1811</v>
      </c>
      <c r="R16" s="264" t="s">
        <v>2259</v>
      </c>
      <c r="S16" s="264" t="s">
        <v>1886</v>
      </c>
      <c r="T16" s="264" t="s">
        <v>1807</v>
      </c>
      <c r="U16" s="264" t="s">
        <v>1895</v>
      </c>
      <c r="V16" s="264" t="s">
        <v>1901</v>
      </c>
      <c r="W16" s="264" t="s">
        <v>2322</v>
      </c>
      <c r="X16" s="264" t="s">
        <v>4190</v>
      </c>
      <c r="Y16" s="264" t="s">
        <v>2296</v>
      </c>
      <c r="Z16" s="265" t="s">
        <v>1901</v>
      </c>
      <c r="AA16" s="265" t="s">
        <v>2296</v>
      </c>
      <c r="AB16" s="265" t="s">
        <v>1923</v>
      </c>
      <c r="AC16" s="265" t="s">
        <v>1895</v>
      </c>
      <c r="AD16" s="265" t="s">
        <v>1847</v>
      </c>
      <c r="AE16" s="265" t="s">
        <v>4191</v>
      </c>
      <c r="AF16" s="265" t="s">
        <v>4193</v>
      </c>
      <c r="AG16" s="265" t="s">
        <v>1921</v>
      </c>
      <c r="AH16" s="265" t="s">
        <v>1875</v>
      </c>
      <c r="AI16" s="265" t="s">
        <v>2139</v>
      </c>
    </row>
    <row r="17" spans="1:35" x14ac:dyDescent="0.25">
      <c r="A17" s="264" t="str">
        <f>HLOOKUP(Overview!$P$8,$B$1:$AI$1500,17,FALSE)</f>
        <v xml:space="preserve">          10085413</v>
      </c>
      <c r="B17" s="252"/>
      <c r="C17" s="183">
        <v>10099703</v>
      </c>
      <c r="D17" s="288" t="s">
        <v>2039</v>
      </c>
      <c r="E17" s="252" t="s">
        <v>1833</v>
      </c>
      <c r="F17" s="252" t="s">
        <v>2280</v>
      </c>
      <c r="G17" s="252" t="s">
        <v>2280</v>
      </c>
      <c r="H17" s="252" t="s">
        <v>4195</v>
      </c>
      <c r="I17" s="252" t="s">
        <v>1904</v>
      </c>
      <c r="J17" s="252" t="s">
        <v>2130</v>
      </c>
      <c r="K17" s="252" t="s">
        <v>1847</v>
      </c>
      <c r="L17" s="252" t="s">
        <v>1901</v>
      </c>
      <c r="M17" s="252" t="s">
        <v>1875</v>
      </c>
      <c r="N17" s="252" t="s">
        <v>1819</v>
      </c>
      <c r="O17" s="252" t="s">
        <v>1807</v>
      </c>
      <c r="P17" s="252" t="s">
        <v>1811</v>
      </c>
      <c r="Q17" s="252" t="s">
        <v>1819</v>
      </c>
      <c r="R17" s="252" t="s">
        <v>2286</v>
      </c>
      <c r="S17" s="252" t="s">
        <v>1809</v>
      </c>
      <c r="T17" s="252" t="s">
        <v>1859</v>
      </c>
      <c r="U17" s="252" t="s">
        <v>1809</v>
      </c>
      <c r="V17" s="252" t="s">
        <v>1859</v>
      </c>
      <c r="W17" s="252" t="s">
        <v>2296</v>
      </c>
      <c r="X17" s="252" t="s">
        <v>4196</v>
      </c>
      <c r="Y17" s="252" t="s">
        <v>2280</v>
      </c>
      <c r="Z17" s="266" t="s">
        <v>1994</v>
      </c>
      <c r="AA17" s="266" t="s">
        <v>2280</v>
      </c>
      <c r="AB17" s="266" t="s">
        <v>2130</v>
      </c>
      <c r="AC17" s="266" t="s">
        <v>1809</v>
      </c>
      <c r="AD17" s="266" t="s">
        <v>1904</v>
      </c>
      <c r="AE17" s="266" t="s">
        <v>3561</v>
      </c>
      <c r="AF17" s="266" t="s">
        <v>1923</v>
      </c>
      <c r="AG17" s="266" t="s">
        <v>2408</v>
      </c>
      <c r="AH17" s="266" t="s">
        <v>1901</v>
      </c>
      <c r="AI17" s="266" t="s">
        <v>1811</v>
      </c>
    </row>
    <row r="18" spans="1:35" x14ac:dyDescent="0.25">
      <c r="A18" s="264" t="str">
        <f>HLOOKUP(Overview!$P$8,$B$1:$AI$1500,18,FALSE)</f>
        <v xml:space="preserve">          10085415</v>
      </c>
      <c r="B18" s="252"/>
      <c r="C18" s="183">
        <v>10021949</v>
      </c>
      <c r="D18" s="287" t="s">
        <v>1890</v>
      </c>
      <c r="E18" s="264" t="s">
        <v>4182</v>
      </c>
      <c r="F18" s="264" t="s">
        <v>4183</v>
      </c>
      <c r="G18" s="264" t="s">
        <v>1923</v>
      </c>
      <c r="H18" s="264" t="s">
        <v>4197</v>
      </c>
      <c r="I18" s="264" t="s">
        <v>1875</v>
      </c>
      <c r="J18" s="264" t="s">
        <v>2139</v>
      </c>
      <c r="K18" s="264" t="s">
        <v>1904</v>
      </c>
      <c r="L18" s="264" t="s">
        <v>1994</v>
      </c>
      <c r="M18" s="264" t="s">
        <v>1901</v>
      </c>
      <c r="N18" s="264" t="s">
        <v>1847</v>
      </c>
      <c r="O18" s="264" t="s">
        <v>1859</v>
      </c>
      <c r="P18" s="264" t="s">
        <v>1819</v>
      </c>
      <c r="Q18" s="264" t="s">
        <v>1847</v>
      </c>
      <c r="R18" s="264" t="s">
        <v>1811</v>
      </c>
      <c r="S18" s="264" t="s">
        <v>1815</v>
      </c>
      <c r="T18" s="264" t="s">
        <v>4174</v>
      </c>
      <c r="U18" s="264" t="s">
        <v>1815</v>
      </c>
      <c r="V18" s="264" t="s">
        <v>4174</v>
      </c>
      <c r="W18" s="264" t="s">
        <v>2280</v>
      </c>
      <c r="X18" s="264" t="s">
        <v>4198</v>
      </c>
      <c r="Y18" s="264" t="s">
        <v>1923</v>
      </c>
      <c r="Z18" s="265" t="s">
        <v>1807</v>
      </c>
      <c r="AA18" s="265" t="s">
        <v>4191</v>
      </c>
      <c r="AB18" s="265" t="s">
        <v>1811</v>
      </c>
      <c r="AC18" s="265" t="s">
        <v>1815</v>
      </c>
      <c r="AD18" s="265" t="s">
        <v>1875</v>
      </c>
      <c r="AE18" s="265" t="s">
        <v>1923</v>
      </c>
      <c r="AF18" s="265" t="s">
        <v>2130</v>
      </c>
      <c r="AG18" s="265" t="s">
        <v>2322</v>
      </c>
      <c r="AH18" s="265" t="s">
        <v>1859</v>
      </c>
      <c r="AI18" s="265" t="s">
        <v>1819</v>
      </c>
    </row>
    <row r="19" spans="1:35" x14ac:dyDescent="0.25">
      <c r="A19" s="264" t="str">
        <f>HLOOKUP(Overview!$P$8,$B$1:$AI$1500,19,FALSE)</f>
        <v xml:space="preserve">          10085417</v>
      </c>
      <c r="B19" s="252"/>
      <c r="C19" s="183">
        <v>10000248</v>
      </c>
      <c r="D19" s="288" t="s">
        <v>1934</v>
      </c>
      <c r="E19" s="252" t="s">
        <v>2183</v>
      </c>
      <c r="F19" s="252" t="s">
        <v>1923</v>
      </c>
      <c r="G19" s="252" t="s">
        <v>2130</v>
      </c>
      <c r="H19" s="252" t="s">
        <v>4199</v>
      </c>
      <c r="I19" s="252" t="s">
        <v>1901</v>
      </c>
      <c r="J19" s="252" t="s">
        <v>3615</v>
      </c>
      <c r="K19" s="252" t="s">
        <v>1875</v>
      </c>
      <c r="L19" s="252" t="s">
        <v>1807</v>
      </c>
      <c r="M19" s="252" t="s">
        <v>1994</v>
      </c>
      <c r="N19" s="252" t="s">
        <v>1904</v>
      </c>
      <c r="O19" s="252" t="s">
        <v>1895</v>
      </c>
      <c r="P19" s="252" t="s">
        <v>1847</v>
      </c>
      <c r="Q19" s="252" t="s">
        <v>1904</v>
      </c>
      <c r="R19" s="252" t="s">
        <v>1819</v>
      </c>
      <c r="S19" s="252" t="s">
        <v>1992</v>
      </c>
      <c r="T19" s="252" t="s">
        <v>4176</v>
      </c>
      <c r="U19" s="252" t="s">
        <v>1992</v>
      </c>
      <c r="V19" s="252" t="s">
        <v>4176</v>
      </c>
      <c r="W19" s="252" t="s">
        <v>4191</v>
      </c>
      <c r="X19" s="252" t="s">
        <v>1811</v>
      </c>
      <c r="Y19" s="252" t="s">
        <v>2130</v>
      </c>
      <c r="Z19" s="266" t="s">
        <v>1859</v>
      </c>
      <c r="AA19" s="266" t="s">
        <v>1923</v>
      </c>
      <c r="AB19" s="266" t="s">
        <v>1819</v>
      </c>
      <c r="AC19" s="266" t="s">
        <v>1992</v>
      </c>
      <c r="AD19" s="266" t="s">
        <v>1901</v>
      </c>
      <c r="AE19" s="266" t="s">
        <v>2130</v>
      </c>
      <c r="AF19" s="266" t="s">
        <v>4200</v>
      </c>
      <c r="AG19" s="266" t="s">
        <v>2296</v>
      </c>
      <c r="AH19" s="266" t="s">
        <v>4174</v>
      </c>
      <c r="AI19" s="266" t="s">
        <v>1847</v>
      </c>
    </row>
    <row r="20" spans="1:35" x14ac:dyDescent="0.25">
      <c r="A20" s="264" t="str">
        <f>HLOOKUP(Overview!$P$8,$B$1:$AI$1500,20,FALSE)</f>
        <v xml:space="preserve">          10085423</v>
      </c>
      <c r="B20" s="252"/>
      <c r="C20" s="183">
        <v>10030103</v>
      </c>
      <c r="D20" s="287" t="s">
        <v>1971</v>
      </c>
      <c r="E20" s="264" t="s">
        <v>2342</v>
      </c>
      <c r="F20" s="264" t="s">
        <v>2130</v>
      </c>
      <c r="G20" s="264" t="s">
        <v>1811</v>
      </c>
      <c r="I20" s="264" t="s">
        <v>1859</v>
      </c>
      <c r="J20" s="264" t="s">
        <v>1811</v>
      </c>
      <c r="K20" s="264" t="s">
        <v>1807</v>
      </c>
      <c r="L20" s="264" t="s">
        <v>1859</v>
      </c>
      <c r="M20" s="264" t="s">
        <v>1807</v>
      </c>
      <c r="N20" s="264" t="s">
        <v>1875</v>
      </c>
      <c r="O20" s="264" t="s">
        <v>1886</v>
      </c>
      <c r="P20" s="264" t="s">
        <v>1904</v>
      </c>
      <c r="Q20" s="264" t="s">
        <v>1875</v>
      </c>
      <c r="R20" s="264" t="s">
        <v>1847</v>
      </c>
      <c r="S20" s="264" t="s">
        <v>2053</v>
      </c>
      <c r="T20" s="264" t="s">
        <v>1895</v>
      </c>
      <c r="U20" s="264" t="s">
        <v>2053</v>
      </c>
      <c r="V20" s="264" t="s">
        <v>1895</v>
      </c>
      <c r="W20" s="264" t="s">
        <v>3561</v>
      </c>
      <c r="X20" s="264" t="s">
        <v>1819</v>
      </c>
      <c r="Y20" s="264" t="s">
        <v>3542</v>
      </c>
      <c r="Z20" s="265" t="s">
        <v>1895</v>
      </c>
      <c r="AA20" s="265" t="s">
        <v>1811</v>
      </c>
      <c r="AB20" s="265" t="s">
        <v>1847</v>
      </c>
      <c r="AC20" s="265" t="s">
        <v>2053</v>
      </c>
      <c r="AD20" s="265" t="s">
        <v>1994</v>
      </c>
      <c r="AE20" s="265" t="s">
        <v>1811</v>
      </c>
      <c r="AF20" s="265" t="s">
        <v>4196</v>
      </c>
      <c r="AG20" s="265" t="s">
        <v>4186</v>
      </c>
      <c r="AH20" s="265" t="s">
        <v>4176</v>
      </c>
      <c r="AI20" s="265" t="s">
        <v>1904</v>
      </c>
    </row>
    <row r="21" spans="1:35" x14ac:dyDescent="0.25">
      <c r="A21" s="264" t="str">
        <f>HLOOKUP(Overview!$P$8,$B$1:$AI$1500,21,FALSE)</f>
        <v xml:space="preserve">          10085424</v>
      </c>
      <c r="B21" s="252"/>
      <c r="C21" s="183">
        <v>10001228</v>
      </c>
      <c r="D21" s="288" t="s">
        <v>2188</v>
      </c>
      <c r="E21" s="252" t="s">
        <v>4179</v>
      </c>
      <c r="F21" s="252" t="s">
        <v>2139</v>
      </c>
      <c r="G21" s="252" t="s">
        <v>1819</v>
      </c>
      <c r="I21" s="252" t="s">
        <v>4174</v>
      </c>
      <c r="J21" s="252" t="s">
        <v>1819</v>
      </c>
      <c r="K21" s="252" t="s">
        <v>1859</v>
      </c>
      <c r="L21" s="252" t="s">
        <v>1895</v>
      </c>
      <c r="M21" s="252" t="s">
        <v>1859</v>
      </c>
      <c r="N21" s="252" t="s">
        <v>1901</v>
      </c>
      <c r="O21" s="252" t="s">
        <v>1809</v>
      </c>
      <c r="P21" s="252" t="s">
        <v>1875</v>
      </c>
      <c r="Q21" s="252" t="s">
        <v>1901</v>
      </c>
      <c r="R21" s="252" t="s">
        <v>1904</v>
      </c>
      <c r="S21" s="252" t="s">
        <v>1845</v>
      </c>
      <c r="T21" s="252" t="s">
        <v>1809</v>
      </c>
      <c r="U21" s="252" t="s">
        <v>1845</v>
      </c>
      <c r="V21" s="252" t="s">
        <v>1886</v>
      </c>
      <c r="W21" s="252" t="s">
        <v>4201</v>
      </c>
      <c r="X21" s="252" t="s">
        <v>1847</v>
      </c>
      <c r="Y21" s="252" t="s">
        <v>2139</v>
      </c>
      <c r="Z21" s="266" t="s">
        <v>1886</v>
      </c>
      <c r="AA21" s="266" t="s">
        <v>1819</v>
      </c>
      <c r="AB21" s="266" t="s">
        <v>1904</v>
      </c>
      <c r="AC21" s="266" t="s">
        <v>1845</v>
      </c>
      <c r="AD21" s="266" t="s">
        <v>1807</v>
      </c>
      <c r="AE21" s="266" t="s">
        <v>1819</v>
      </c>
      <c r="AF21" s="266" t="s">
        <v>4198</v>
      </c>
      <c r="AG21" s="266" t="s">
        <v>2280</v>
      </c>
      <c r="AH21" s="266" t="s">
        <v>1895</v>
      </c>
      <c r="AI21" s="266" t="s">
        <v>1875</v>
      </c>
    </row>
    <row r="22" spans="1:35" x14ac:dyDescent="0.25">
      <c r="A22" s="264" t="str">
        <f>HLOOKUP(Overview!$P$8,$B$1:$AI$1500,22,FALSE)</f>
        <v xml:space="preserve">          10085703</v>
      </c>
      <c r="B22" s="252"/>
      <c r="C22" s="183">
        <v>10000246</v>
      </c>
      <c r="D22" s="287" t="s">
        <v>4457</v>
      </c>
      <c r="E22" s="264" t="s">
        <v>4181</v>
      </c>
      <c r="F22" s="264" t="s">
        <v>1811</v>
      </c>
      <c r="G22" s="264" t="s">
        <v>1847</v>
      </c>
      <c r="I22" s="264" t="s">
        <v>4176</v>
      </c>
      <c r="J22" s="264" t="s">
        <v>1847</v>
      </c>
      <c r="K22" s="264" t="s">
        <v>1895</v>
      </c>
      <c r="L22" s="264" t="s">
        <v>1886</v>
      </c>
      <c r="M22" s="264" t="s">
        <v>1895</v>
      </c>
      <c r="N22" s="264" t="s">
        <v>1859</v>
      </c>
      <c r="O22" s="264" t="s">
        <v>1815</v>
      </c>
      <c r="P22" s="264" t="s">
        <v>1901</v>
      </c>
      <c r="Q22" s="264" t="s">
        <v>1994</v>
      </c>
      <c r="R22" s="264" t="s">
        <v>1875</v>
      </c>
      <c r="S22" s="264" t="s">
        <v>1823</v>
      </c>
      <c r="T22" s="264" t="s">
        <v>1815</v>
      </c>
      <c r="U22" s="264" t="s">
        <v>1823</v>
      </c>
      <c r="V22" s="264" t="s">
        <v>1809</v>
      </c>
      <c r="W22" s="264" t="s">
        <v>1923</v>
      </c>
      <c r="X22" s="264" t="s">
        <v>1904</v>
      </c>
      <c r="Y22" s="264" t="s">
        <v>3615</v>
      </c>
      <c r="Z22" s="265" t="s">
        <v>1815</v>
      </c>
      <c r="AA22" s="265" t="s">
        <v>1847</v>
      </c>
      <c r="AB22" s="265" t="s">
        <v>1875</v>
      </c>
      <c r="AC22" s="265" t="s">
        <v>1823</v>
      </c>
      <c r="AD22" s="265" t="s">
        <v>1859</v>
      </c>
      <c r="AE22" s="265" t="s">
        <v>1847</v>
      </c>
      <c r="AF22" s="265" t="s">
        <v>1811</v>
      </c>
      <c r="AG22" s="265" t="s">
        <v>3561</v>
      </c>
      <c r="AH22" s="265" t="s">
        <v>1886</v>
      </c>
      <c r="AI22" s="265" t="s">
        <v>1901</v>
      </c>
    </row>
    <row r="23" spans="1:35" x14ac:dyDescent="0.25">
      <c r="A23" s="264" t="str">
        <f>HLOOKUP(Overview!$P$8,$B$1:$AI$1500,23,FALSE)</f>
        <v xml:space="preserve">          10090162</v>
      </c>
      <c r="B23" s="252"/>
      <c r="C23" s="183">
        <v>10000239</v>
      </c>
      <c r="D23" s="288" t="s">
        <v>4281</v>
      </c>
      <c r="E23" s="252" t="s">
        <v>1921</v>
      </c>
      <c r="F23" s="252" t="s">
        <v>1819</v>
      </c>
      <c r="G23" s="252" t="s">
        <v>1904</v>
      </c>
      <c r="I23" s="252" t="s">
        <v>1895</v>
      </c>
      <c r="J23" s="252" t="s">
        <v>1904</v>
      </c>
      <c r="K23" s="252" t="s">
        <v>1809</v>
      </c>
      <c r="L23" s="252" t="s">
        <v>1809</v>
      </c>
      <c r="M23" s="252" t="s">
        <v>1886</v>
      </c>
      <c r="N23" s="252" t="s">
        <v>4174</v>
      </c>
      <c r="O23" s="252" t="s">
        <v>1992</v>
      </c>
      <c r="P23" s="252" t="s">
        <v>1994</v>
      </c>
      <c r="Q23" s="252" t="s">
        <v>1807</v>
      </c>
      <c r="R23" s="252" t="s">
        <v>1901</v>
      </c>
      <c r="S23" s="252" t="s">
        <v>1957</v>
      </c>
      <c r="T23" s="252" t="s">
        <v>1992</v>
      </c>
      <c r="U23" s="252" t="s">
        <v>1957</v>
      </c>
      <c r="V23" s="252" t="s">
        <v>1815</v>
      </c>
      <c r="W23" s="252" t="s">
        <v>2259</v>
      </c>
      <c r="X23" s="252" t="s">
        <v>1875</v>
      </c>
      <c r="Y23" s="252" t="s">
        <v>1811</v>
      </c>
      <c r="Z23" s="266" t="s">
        <v>1992</v>
      </c>
      <c r="AA23" s="266" t="s">
        <v>1904</v>
      </c>
      <c r="AB23" s="266" t="s">
        <v>1901</v>
      </c>
      <c r="AC23" s="266" t="s">
        <v>1957</v>
      </c>
      <c r="AD23" s="266" t="s">
        <v>4174</v>
      </c>
      <c r="AE23" s="266" t="s">
        <v>1904</v>
      </c>
      <c r="AF23" s="266" t="s">
        <v>1819</v>
      </c>
      <c r="AG23" s="266" t="s">
        <v>1923</v>
      </c>
      <c r="AH23" s="266" t="s">
        <v>3563</v>
      </c>
      <c r="AI23" s="266" t="s">
        <v>1859</v>
      </c>
    </row>
    <row r="24" spans="1:35" x14ac:dyDescent="0.25">
      <c r="A24" s="264" t="str">
        <f>HLOOKUP(Overview!$P$8,$B$1:$AI$1500,24,FALSE)</f>
        <v xml:space="preserve">          10090165</v>
      </c>
      <c r="B24" s="252"/>
      <c r="C24" s="183">
        <v>10127332</v>
      </c>
      <c r="D24" s="287" t="s">
        <v>4287</v>
      </c>
      <c r="E24" s="264" t="s">
        <v>4184</v>
      </c>
      <c r="F24" s="264" t="s">
        <v>1847</v>
      </c>
      <c r="G24" s="264" t="s">
        <v>1875</v>
      </c>
      <c r="I24" s="264" t="s">
        <v>1886</v>
      </c>
      <c r="J24" s="264" t="s">
        <v>1875</v>
      </c>
      <c r="K24" s="264" t="s">
        <v>1815</v>
      </c>
      <c r="L24" s="264" t="s">
        <v>1815</v>
      </c>
      <c r="M24" s="264" t="s">
        <v>1809</v>
      </c>
      <c r="N24" s="264" t="s">
        <v>4176</v>
      </c>
      <c r="O24" s="264" t="s">
        <v>2053</v>
      </c>
      <c r="P24" s="264" t="s">
        <v>1807</v>
      </c>
      <c r="Q24" s="264" t="s">
        <v>1859</v>
      </c>
      <c r="R24" s="264" t="s">
        <v>1994</v>
      </c>
      <c r="S24" s="264" t="s">
        <v>1817</v>
      </c>
      <c r="T24" s="264" t="s">
        <v>2053</v>
      </c>
      <c r="U24" s="264" t="s">
        <v>2100</v>
      </c>
      <c r="V24" s="264" t="s">
        <v>1992</v>
      </c>
      <c r="W24" s="264" t="s">
        <v>3542</v>
      </c>
      <c r="X24" s="264" t="s">
        <v>1901</v>
      </c>
      <c r="Y24" s="264" t="s">
        <v>1819</v>
      </c>
      <c r="Z24" s="265" t="s">
        <v>1987</v>
      </c>
      <c r="AA24" s="265" t="s">
        <v>1875</v>
      </c>
      <c r="AB24" s="265" t="s">
        <v>1994</v>
      </c>
      <c r="AC24" s="265" t="s">
        <v>2100</v>
      </c>
      <c r="AD24" s="265" t="s">
        <v>4176</v>
      </c>
      <c r="AE24" s="265" t="s">
        <v>1875</v>
      </c>
      <c r="AF24" s="265" t="s">
        <v>1847</v>
      </c>
      <c r="AG24" s="265" t="s">
        <v>4202</v>
      </c>
      <c r="AH24" s="265" t="s">
        <v>1809</v>
      </c>
      <c r="AI24" s="265" t="s">
        <v>4174</v>
      </c>
    </row>
    <row r="25" spans="1:35" x14ac:dyDescent="0.25">
      <c r="A25" s="264" t="str">
        <f>HLOOKUP(Overview!$P$8,$B$1:$AI$1500,25,FALSE)</f>
        <v xml:space="preserve">          10126464</v>
      </c>
      <c r="B25" s="252"/>
      <c r="C25" s="183">
        <v>10001240</v>
      </c>
      <c r="D25" s="288" t="s">
        <v>4458</v>
      </c>
      <c r="E25" s="252" t="s">
        <v>4185</v>
      </c>
      <c r="F25" s="252" t="s">
        <v>1904</v>
      </c>
      <c r="G25" s="252" t="s">
        <v>1901</v>
      </c>
      <c r="I25" s="252" t="s">
        <v>3563</v>
      </c>
      <c r="J25" s="252" t="s">
        <v>1901</v>
      </c>
      <c r="K25" s="252" t="s">
        <v>2053</v>
      </c>
      <c r="L25" s="252" t="s">
        <v>1992</v>
      </c>
      <c r="M25" s="252" t="s">
        <v>1815</v>
      </c>
      <c r="N25" s="252" t="s">
        <v>1895</v>
      </c>
      <c r="O25" s="252" t="s">
        <v>1845</v>
      </c>
      <c r="P25" s="252" t="s">
        <v>1859</v>
      </c>
      <c r="Q25" s="252" t="s">
        <v>1895</v>
      </c>
      <c r="R25" s="252" t="s">
        <v>1807</v>
      </c>
      <c r="S25" s="252" t="s">
        <v>1851</v>
      </c>
      <c r="T25" s="252" t="s">
        <v>1845</v>
      </c>
      <c r="U25" s="252" t="s">
        <v>1817</v>
      </c>
      <c r="V25" s="252" t="s">
        <v>2053</v>
      </c>
      <c r="W25" s="252" t="s">
        <v>2286</v>
      </c>
      <c r="X25" s="252" t="s">
        <v>1859</v>
      </c>
      <c r="Y25" s="252" t="s">
        <v>1847</v>
      </c>
      <c r="Z25" s="266" t="s">
        <v>2053</v>
      </c>
      <c r="AA25" s="266" t="s">
        <v>1901</v>
      </c>
      <c r="AB25" s="266" t="s">
        <v>1807</v>
      </c>
      <c r="AC25" s="266" t="s">
        <v>1817</v>
      </c>
      <c r="AD25" s="266" t="s">
        <v>1895</v>
      </c>
      <c r="AE25" s="266" t="s">
        <v>1901</v>
      </c>
      <c r="AF25" s="266" t="s">
        <v>1904</v>
      </c>
      <c r="AG25" s="266" t="s">
        <v>1811</v>
      </c>
      <c r="AH25" s="266" t="s">
        <v>1815</v>
      </c>
      <c r="AI25" s="266" t="s">
        <v>4176</v>
      </c>
    </row>
    <row r="26" spans="1:35" x14ac:dyDescent="0.25">
      <c r="A26" s="264" t="str">
        <f>HLOOKUP(Overview!$P$8,$B$1:$AI$1500,26,FALSE)</f>
        <v xml:space="preserve">          10128315</v>
      </c>
      <c r="B26" s="252"/>
      <c r="C26" s="183">
        <v>10001237</v>
      </c>
      <c r="D26" s="287" t="s">
        <v>4459</v>
      </c>
      <c r="E26" s="264" t="s">
        <v>2408</v>
      </c>
      <c r="F26" s="264" t="s">
        <v>1875</v>
      </c>
      <c r="G26" s="264" t="s">
        <v>1994</v>
      </c>
      <c r="I26" s="264" t="s">
        <v>1809</v>
      </c>
      <c r="J26" s="264" t="s">
        <v>1994</v>
      </c>
      <c r="K26" s="264" t="s">
        <v>1845</v>
      </c>
      <c r="L26" s="264" t="s">
        <v>2053</v>
      </c>
      <c r="M26" s="264" t="s">
        <v>1992</v>
      </c>
      <c r="N26" s="264" t="s">
        <v>1886</v>
      </c>
      <c r="O26" s="264" t="s">
        <v>1823</v>
      </c>
      <c r="P26" s="264" t="s">
        <v>1895</v>
      </c>
      <c r="Q26" s="264" t="s">
        <v>1886</v>
      </c>
      <c r="R26" s="264" t="s">
        <v>1859</v>
      </c>
      <c r="S26" s="264" t="s">
        <v>1849</v>
      </c>
      <c r="T26" s="264" t="s">
        <v>1823</v>
      </c>
      <c r="U26" s="264" t="s">
        <v>1849</v>
      </c>
      <c r="V26" s="264" t="s">
        <v>1845</v>
      </c>
      <c r="W26" s="264" t="s">
        <v>2139</v>
      </c>
      <c r="X26" s="264" t="s">
        <v>4203</v>
      </c>
      <c r="Y26" s="264" t="s">
        <v>1904</v>
      </c>
      <c r="Z26" s="265" t="s">
        <v>1845</v>
      </c>
      <c r="AA26" s="265" t="s">
        <v>1994</v>
      </c>
      <c r="AB26" s="265" t="s">
        <v>1859</v>
      </c>
      <c r="AC26" s="265" t="s">
        <v>1851</v>
      </c>
      <c r="AD26" s="265" t="s">
        <v>1886</v>
      </c>
      <c r="AE26" s="265" t="s">
        <v>1994</v>
      </c>
      <c r="AF26" s="265" t="s">
        <v>1875</v>
      </c>
      <c r="AG26" s="265" t="s">
        <v>1819</v>
      </c>
      <c r="AH26" s="265" t="s">
        <v>1992</v>
      </c>
      <c r="AI26" s="265" t="s">
        <v>1895</v>
      </c>
    </row>
    <row r="27" spans="1:35" x14ac:dyDescent="0.25">
      <c r="A27" s="264" t="str">
        <f>HLOOKUP(Overview!$P$8,$B$1:$AI$1500,27,FALSE)</f>
        <v xml:space="preserve">          10128316</v>
      </c>
      <c r="B27" s="252"/>
      <c r="C27" s="183">
        <v>10001252</v>
      </c>
      <c r="D27" s="288" t="s">
        <v>4460</v>
      </c>
      <c r="E27" s="252" t="s">
        <v>2322</v>
      </c>
      <c r="F27" s="252" t="s">
        <v>1901</v>
      </c>
      <c r="G27" s="252" t="s">
        <v>1807</v>
      </c>
      <c r="I27" s="252" t="s">
        <v>1815</v>
      </c>
      <c r="J27" s="252" t="s">
        <v>1807</v>
      </c>
      <c r="K27" s="252" t="s">
        <v>1823</v>
      </c>
      <c r="L27" s="252" t="s">
        <v>1845</v>
      </c>
      <c r="M27" s="252" t="s">
        <v>1845</v>
      </c>
      <c r="N27" s="252" t="s">
        <v>1809</v>
      </c>
      <c r="O27" s="252" t="s">
        <v>1957</v>
      </c>
      <c r="P27" s="252" t="s">
        <v>1886</v>
      </c>
      <c r="Q27" s="252" t="s">
        <v>1809</v>
      </c>
      <c r="R27" s="252" t="s">
        <v>1895</v>
      </c>
      <c r="S27" s="252" t="s">
        <v>1813</v>
      </c>
      <c r="T27" s="252" t="s">
        <v>1957</v>
      </c>
      <c r="U27" s="252" t="s">
        <v>1813</v>
      </c>
      <c r="V27" s="252" t="s">
        <v>1823</v>
      </c>
      <c r="W27" s="252" t="s">
        <v>1811</v>
      </c>
      <c r="X27" s="252" t="s">
        <v>1895</v>
      </c>
      <c r="Y27" s="252" t="s">
        <v>1875</v>
      </c>
      <c r="Z27" s="266" t="s">
        <v>1957</v>
      </c>
      <c r="AA27" s="266" t="s">
        <v>1807</v>
      </c>
      <c r="AB27" s="266" t="s">
        <v>1895</v>
      </c>
      <c r="AC27" s="266" t="s">
        <v>3565</v>
      </c>
      <c r="AD27" s="266" t="s">
        <v>1809</v>
      </c>
      <c r="AE27" s="266" t="s">
        <v>1807</v>
      </c>
      <c r="AF27" s="266" t="s">
        <v>1901</v>
      </c>
      <c r="AG27" s="266" t="s">
        <v>1847</v>
      </c>
      <c r="AH27" s="266" t="s">
        <v>1987</v>
      </c>
      <c r="AI27" s="266" t="s">
        <v>1886</v>
      </c>
    </row>
    <row r="28" spans="1:35" x14ac:dyDescent="0.25">
      <c r="A28" s="264" t="str">
        <f>HLOOKUP(Overview!$P$8,$B$1:$AI$1500,28,FALSE)</f>
        <v xml:space="preserve">          10130138</v>
      </c>
      <c r="B28" s="252"/>
      <c r="C28" s="216">
        <v>10002576</v>
      </c>
      <c r="D28" s="287" t="s">
        <v>4461</v>
      </c>
      <c r="E28" s="264" t="s">
        <v>4187</v>
      </c>
      <c r="F28" s="264" t="s">
        <v>1994</v>
      </c>
      <c r="G28" s="264" t="s">
        <v>1859</v>
      </c>
      <c r="I28" s="264" t="s">
        <v>1992</v>
      </c>
      <c r="J28" s="264" t="s">
        <v>1859</v>
      </c>
      <c r="K28" s="264" t="s">
        <v>1957</v>
      </c>
      <c r="L28" s="264" t="s">
        <v>1823</v>
      </c>
      <c r="M28" s="264" t="s">
        <v>1823</v>
      </c>
      <c r="N28" s="264" t="s">
        <v>1815</v>
      </c>
      <c r="O28" s="264" t="s">
        <v>2100</v>
      </c>
      <c r="P28" s="264" t="s">
        <v>1809</v>
      </c>
      <c r="Q28" s="264" t="s">
        <v>1815</v>
      </c>
      <c r="R28" s="264" t="s">
        <v>1886</v>
      </c>
      <c r="S28" s="264" t="s">
        <v>1850</v>
      </c>
      <c r="T28" s="264" t="s">
        <v>1817</v>
      </c>
      <c r="U28" s="264" t="s">
        <v>1841</v>
      </c>
      <c r="V28" s="264" t="s">
        <v>1957</v>
      </c>
      <c r="W28" s="264" t="s">
        <v>1819</v>
      </c>
      <c r="X28" s="264" t="s">
        <v>1809</v>
      </c>
      <c r="Y28" s="264" t="s">
        <v>1901</v>
      </c>
      <c r="Z28" s="265" t="s">
        <v>2210</v>
      </c>
      <c r="AA28" s="265" t="s">
        <v>1859</v>
      </c>
      <c r="AB28" s="265" t="s">
        <v>1886</v>
      </c>
      <c r="AC28" s="265" t="s">
        <v>1850</v>
      </c>
      <c r="AD28" s="265" t="s">
        <v>1815</v>
      </c>
      <c r="AE28" s="265" t="s">
        <v>1859</v>
      </c>
      <c r="AF28" s="265" t="s">
        <v>1807</v>
      </c>
      <c r="AG28" s="265" t="s">
        <v>1904</v>
      </c>
      <c r="AH28" s="265" t="s">
        <v>2053</v>
      </c>
      <c r="AI28" s="265" t="s">
        <v>1809</v>
      </c>
    </row>
    <row r="29" spans="1:35" x14ac:dyDescent="0.25">
      <c r="A29" s="264" t="str">
        <f>HLOOKUP(Overview!$P$8,$B$1:$AI$1500,29,FALSE)</f>
        <v xml:space="preserve">          10130139</v>
      </c>
      <c r="B29" s="252"/>
      <c r="C29" s="183">
        <v>10001627</v>
      </c>
      <c r="D29" s="288" t="s">
        <v>4462</v>
      </c>
      <c r="E29" s="252" t="s">
        <v>4189</v>
      </c>
      <c r="F29" s="252" t="s">
        <v>1807</v>
      </c>
      <c r="G29" s="252" t="s">
        <v>4174</v>
      </c>
      <c r="I29" s="252" t="s">
        <v>1987</v>
      </c>
      <c r="J29" s="252" t="s">
        <v>1895</v>
      </c>
      <c r="K29" s="252" t="s">
        <v>1817</v>
      </c>
      <c r="L29" s="252" t="s">
        <v>1957</v>
      </c>
      <c r="M29" s="252" t="s">
        <v>1957</v>
      </c>
      <c r="N29" s="252" t="s">
        <v>1992</v>
      </c>
      <c r="O29" s="252" t="s">
        <v>1817</v>
      </c>
      <c r="P29" s="252" t="s">
        <v>1815</v>
      </c>
      <c r="Q29" s="252" t="s">
        <v>1992</v>
      </c>
      <c r="R29" s="252" t="s">
        <v>1809</v>
      </c>
      <c r="S29" s="252" t="s">
        <v>1969</v>
      </c>
      <c r="T29" s="252" t="s">
        <v>1851</v>
      </c>
      <c r="U29" s="252" t="s">
        <v>3565</v>
      </c>
      <c r="V29" s="252" t="s">
        <v>2100</v>
      </c>
      <c r="W29" s="252" t="s">
        <v>1847</v>
      </c>
      <c r="X29" s="252" t="s">
        <v>1815</v>
      </c>
      <c r="Y29" s="252" t="s">
        <v>1994</v>
      </c>
      <c r="Z29" s="266" t="s">
        <v>1817</v>
      </c>
      <c r="AA29" s="266" t="s">
        <v>1895</v>
      </c>
      <c r="AB29" s="266" t="s">
        <v>1809</v>
      </c>
      <c r="AC29" s="266" t="s">
        <v>1881</v>
      </c>
      <c r="AD29" s="266" t="s">
        <v>1987</v>
      </c>
      <c r="AE29" s="266" t="s">
        <v>4174</v>
      </c>
      <c r="AF29" s="266" t="s">
        <v>1859</v>
      </c>
      <c r="AG29" s="266" t="s">
        <v>1875</v>
      </c>
      <c r="AH29" s="266" t="s">
        <v>1845</v>
      </c>
      <c r="AI29" s="266" t="s">
        <v>1815</v>
      </c>
    </row>
    <row r="30" spans="1:35" x14ac:dyDescent="0.25">
      <c r="A30" s="264" t="str">
        <f>HLOOKUP(Overview!$P$8,$B$1:$AI$1500,30,FALSE)</f>
        <v xml:space="preserve">          10130141</v>
      </c>
      <c r="B30" s="252"/>
      <c r="C30" s="183">
        <v>10001241</v>
      </c>
      <c r="D30" s="287" t="s">
        <v>4463</v>
      </c>
      <c r="E30" s="264" t="s">
        <v>2296</v>
      </c>
      <c r="F30" s="264" t="s">
        <v>1859</v>
      </c>
      <c r="G30" s="264" t="s">
        <v>1895</v>
      </c>
      <c r="I30" s="264" t="s">
        <v>2053</v>
      </c>
      <c r="J30" s="264" t="s">
        <v>1886</v>
      </c>
      <c r="K30" s="264" t="s">
        <v>1851</v>
      </c>
      <c r="L30" s="264" t="s">
        <v>2100</v>
      </c>
      <c r="M30" s="264" t="s">
        <v>2100</v>
      </c>
      <c r="N30" s="264" t="s">
        <v>2053</v>
      </c>
      <c r="O30" s="264" t="s">
        <v>1851</v>
      </c>
      <c r="P30" s="264" t="s">
        <v>1992</v>
      </c>
      <c r="Q30" s="264" t="s">
        <v>2053</v>
      </c>
      <c r="R30" s="264" t="s">
        <v>1815</v>
      </c>
      <c r="S30" s="264" t="s">
        <v>1863</v>
      </c>
      <c r="T30" s="264" t="s">
        <v>1849</v>
      </c>
      <c r="U30" s="264" t="s">
        <v>1850</v>
      </c>
      <c r="V30" s="264" t="s">
        <v>1817</v>
      </c>
      <c r="W30" s="264" t="s">
        <v>1904</v>
      </c>
      <c r="X30" s="264" t="s">
        <v>1992</v>
      </c>
      <c r="Y30" s="264" t="s">
        <v>1807</v>
      </c>
      <c r="Z30" s="265" t="s">
        <v>1851</v>
      </c>
      <c r="AA30" s="265" t="s">
        <v>1886</v>
      </c>
      <c r="AB30" s="265" t="s">
        <v>1815</v>
      </c>
      <c r="AC30" s="265" t="s">
        <v>1969</v>
      </c>
      <c r="AD30" s="265" t="s">
        <v>2053</v>
      </c>
      <c r="AE30" s="265" t="s">
        <v>4176</v>
      </c>
      <c r="AF30" s="265" t="s">
        <v>4203</v>
      </c>
      <c r="AG30" s="265" t="s">
        <v>1901</v>
      </c>
      <c r="AH30" s="265" t="s">
        <v>1823</v>
      </c>
      <c r="AI30" s="265" t="s">
        <v>1992</v>
      </c>
    </row>
    <row r="31" spans="1:35" x14ac:dyDescent="0.25">
      <c r="A31" s="264" t="str">
        <f>HLOOKUP(Overview!$P$8,$B$1:$AI$1500,31,FALSE)</f>
        <v xml:space="preserve">          10130142</v>
      </c>
      <c r="B31" s="252"/>
      <c r="C31" s="183">
        <v>10001245</v>
      </c>
      <c r="D31" s="288" t="s">
        <v>4464</v>
      </c>
      <c r="E31" s="252" t="s">
        <v>4186</v>
      </c>
      <c r="F31" s="252" t="s">
        <v>1895</v>
      </c>
      <c r="G31" s="252" t="s">
        <v>1886</v>
      </c>
      <c r="I31" s="252" t="s">
        <v>1845</v>
      </c>
      <c r="J31" s="252" t="s">
        <v>1809</v>
      </c>
      <c r="K31" s="252" t="s">
        <v>1969</v>
      </c>
      <c r="L31" s="252" t="s">
        <v>1817</v>
      </c>
      <c r="M31" s="252" t="s">
        <v>1817</v>
      </c>
      <c r="N31" s="252" t="s">
        <v>1845</v>
      </c>
      <c r="O31" s="252" t="s">
        <v>1849</v>
      </c>
      <c r="P31" s="252" t="s">
        <v>2053</v>
      </c>
      <c r="Q31" s="252" t="s">
        <v>1845</v>
      </c>
      <c r="R31" s="252" t="s">
        <v>2053</v>
      </c>
      <c r="S31" s="252" t="s">
        <v>1879</v>
      </c>
      <c r="T31" s="252" t="s">
        <v>1813</v>
      </c>
      <c r="U31" s="252" t="s">
        <v>1881</v>
      </c>
      <c r="V31" s="252" t="s">
        <v>1851</v>
      </c>
      <c r="W31" s="252" t="s">
        <v>1875</v>
      </c>
      <c r="X31" s="252" t="s">
        <v>4204</v>
      </c>
      <c r="Y31" s="252" t="s">
        <v>1859</v>
      </c>
      <c r="Z31" s="266" t="s">
        <v>1849</v>
      </c>
      <c r="AA31" s="266" t="s">
        <v>1809</v>
      </c>
      <c r="AB31" s="266" t="s">
        <v>1992</v>
      </c>
      <c r="AC31" s="266" t="s">
        <v>1863</v>
      </c>
      <c r="AD31" s="266" t="s">
        <v>1845</v>
      </c>
      <c r="AE31" s="266" t="s">
        <v>1895</v>
      </c>
      <c r="AF31" s="266" t="s">
        <v>1895</v>
      </c>
      <c r="AG31" s="266" t="s">
        <v>1807</v>
      </c>
      <c r="AH31" s="266" t="s">
        <v>1957</v>
      </c>
      <c r="AI31" s="266" t="s">
        <v>1987</v>
      </c>
    </row>
    <row r="32" spans="1:35" x14ac:dyDescent="0.25">
      <c r="A32" s="264" t="str">
        <f>HLOOKUP(Overview!$P$8,$B$1:$AI$1500,32,FALSE)</f>
        <v xml:space="preserve">          10130144</v>
      </c>
      <c r="B32" s="252"/>
      <c r="C32" s="183">
        <v>10002165</v>
      </c>
      <c r="D32" s="287" t="s">
        <v>4465</v>
      </c>
      <c r="E32" s="264" t="s">
        <v>4180</v>
      </c>
      <c r="F32" s="264" t="s">
        <v>1886</v>
      </c>
      <c r="G32" s="264" t="s">
        <v>1809</v>
      </c>
      <c r="I32" s="264" t="s">
        <v>1823</v>
      </c>
      <c r="J32" s="264" t="s">
        <v>1815</v>
      </c>
      <c r="K32" s="264" t="s">
        <v>1863</v>
      </c>
      <c r="L32" s="264" t="s">
        <v>1851</v>
      </c>
      <c r="M32" s="264" t="s">
        <v>1851</v>
      </c>
      <c r="N32" s="264" t="s">
        <v>1823</v>
      </c>
      <c r="O32" s="264" t="s">
        <v>2004</v>
      </c>
      <c r="P32" s="264" t="s">
        <v>1845</v>
      </c>
      <c r="Q32" s="264" t="s">
        <v>1823</v>
      </c>
      <c r="R32" s="264" t="s">
        <v>1845</v>
      </c>
      <c r="S32" s="264" t="s">
        <v>1888</v>
      </c>
      <c r="T32" s="264" t="s">
        <v>3565</v>
      </c>
      <c r="U32" s="264" t="s">
        <v>1969</v>
      </c>
      <c r="V32" s="264" t="s">
        <v>1849</v>
      </c>
      <c r="W32" s="264" t="s">
        <v>1901</v>
      </c>
      <c r="X32" s="264" t="s">
        <v>2053</v>
      </c>
      <c r="Y32" s="264" t="s">
        <v>1895</v>
      </c>
      <c r="Z32" s="265" t="s">
        <v>2004</v>
      </c>
      <c r="AA32" s="265" t="s">
        <v>1815</v>
      </c>
      <c r="AB32" s="265" t="s">
        <v>1987</v>
      </c>
      <c r="AC32" s="265" t="s">
        <v>1879</v>
      </c>
      <c r="AD32" s="265" t="s">
        <v>1823</v>
      </c>
      <c r="AE32" s="265" t="s">
        <v>1886</v>
      </c>
      <c r="AF32" s="265" t="s">
        <v>1809</v>
      </c>
      <c r="AG32" s="265" t="s">
        <v>1859</v>
      </c>
      <c r="AH32" s="265" t="s">
        <v>2100</v>
      </c>
      <c r="AI32" s="265" t="s">
        <v>2053</v>
      </c>
    </row>
    <row r="33" spans="1:35" x14ac:dyDescent="0.25">
      <c r="A33" s="264" t="str">
        <f>HLOOKUP(Overview!$P$8,$B$1:$AI$1500,33,FALSE)</f>
        <v xml:space="preserve">          10001597</v>
      </c>
      <c r="B33" s="252"/>
      <c r="C33" s="183">
        <v>10001264</v>
      </c>
      <c r="D33" s="288" t="s">
        <v>1932</v>
      </c>
      <c r="E33" s="252" t="s">
        <v>2280</v>
      </c>
      <c r="F33" s="252" t="s">
        <v>1809</v>
      </c>
      <c r="G33" s="252" t="s">
        <v>1815</v>
      </c>
      <c r="I33" s="252" t="s">
        <v>1957</v>
      </c>
      <c r="J33" s="252" t="s">
        <v>1992</v>
      </c>
      <c r="K33" s="252" t="s">
        <v>1879</v>
      </c>
      <c r="L33" s="252" t="s">
        <v>1849</v>
      </c>
      <c r="M33" s="252" t="s">
        <v>1849</v>
      </c>
      <c r="N33" s="252" t="s">
        <v>1957</v>
      </c>
      <c r="O33" s="252" t="s">
        <v>1813</v>
      </c>
      <c r="P33" s="252" t="s">
        <v>1823</v>
      </c>
      <c r="Q33" s="252" t="s">
        <v>1957</v>
      </c>
      <c r="R33" s="252" t="s">
        <v>1823</v>
      </c>
      <c r="S33" s="252" t="s">
        <v>2092</v>
      </c>
      <c r="T33" s="252" t="s">
        <v>1850</v>
      </c>
      <c r="U33" s="252" t="s">
        <v>1863</v>
      </c>
      <c r="V33" s="252" t="s">
        <v>2004</v>
      </c>
      <c r="W33" s="252" t="s">
        <v>1807</v>
      </c>
      <c r="X33" s="252" t="s">
        <v>1845</v>
      </c>
      <c r="Y33" s="252" t="s">
        <v>1886</v>
      </c>
      <c r="Z33" s="266" t="s">
        <v>1813</v>
      </c>
      <c r="AA33" s="266" t="s">
        <v>1992</v>
      </c>
      <c r="AB33" s="266" t="s">
        <v>2053</v>
      </c>
      <c r="AC33" s="266" t="s">
        <v>1888</v>
      </c>
      <c r="AD33" s="266" t="s">
        <v>1957</v>
      </c>
      <c r="AE33" s="266" t="s">
        <v>1809</v>
      </c>
      <c r="AF33" s="266" t="s">
        <v>1815</v>
      </c>
      <c r="AG33" s="266" t="s">
        <v>4174</v>
      </c>
      <c r="AH33" s="266" t="s">
        <v>2210</v>
      </c>
      <c r="AI33" s="266" t="s">
        <v>1845</v>
      </c>
    </row>
    <row r="34" spans="1:35" x14ac:dyDescent="0.25">
      <c r="A34" s="264" t="str">
        <f>HLOOKUP(Overview!$P$8,$B$1:$AI$1500,34,FALSE)</f>
        <v xml:space="preserve">          10001714</v>
      </c>
      <c r="B34" s="252"/>
      <c r="C34" s="183">
        <v>10001256</v>
      </c>
      <c r="D34" s="287" t="s">
        <v>4236</v>
      </c>
      <c r="E34" s="264" t="s">
        <v>4194</v>
      </c>
      <c r="F34" s="264" t="s">
        <v>1815</v>
      </c>
      <c r="G34" s="264" t="s">
        <v>1992</v>
      </c>
      <c r="I34" s="264" t="s">
        <v>2210</v>
      </c>
      <c r="J34" s="264" t="s">
        <v>2053</v>
      </c>
      <c r="K34" s="264" t="s">
        <v>1888</v>
      </c>
      <c r="L34" s="264" t="s">
        <v>2004</v>
      </c>
      <c r="M34" s="264" t="s">
        <v>1813</v>
      </c>
      <c r="N34" s="264" t="s">
        <v>2100</v>
      </c>
      <c r="O34" s="264" t="s">
        <v>1841</v>
      </c>
      <c r="P34" s="264" t="s">
        <v>1957</v>
      </c>
      <c r="Q34" s="264" t="s">
        <v>2100</v>
      </c>
      <c r="R34" s="264" t="s">
        <v>1957</v>
      </c>
      <c r="S34" s="264" t="s">
        <v>2059</v>
      </c>
      <c r="T34" s="264" t="s">
        <v>1881</v>
      </c>
      <c r="U34" s="264" t="s">
        <v>1879</v>
      </c>
      <c r="V34" s="264" t="s">
        <v>3565</v>
      </c>
      <c r="W34" s="264" t="s">
        <v>1859</v>
      </c>
      <c r="X34" s="264" t="s">
        <v>1823</v>
      </c>
      <c r="Y34" s="264" t="s">
        <v>3563</v>
      </c>
      <c r="Z34" s="265" t="s">
        <v>1841</v>
      </c>
      <c r="AA34" s="265" t="s">
        <v>1987</v>
      </c>
      <c r="AB34" s="265" t="s">
        <v>1845</v>
      </c>
      <c r="AC34" s="265" t="s">
        <v>2059</v>
      </c>
      <c r="AD34" s="265" t="s">
        <v>2100</v>
      </c>
      <c r="AE34" s="265" t="s">
        <v>1815</v>
      </c>
      <c r="AF34" s="265" t="s">
        <v>1992</v>
      </c>
      <c r="AG34" s="265" t="s">
        <v>4176</v>
      </c>
      <c r="AH34" s="265" t="s">
        <v>1817</v>
      </c>
      <c r="AI34" s="265" t="s">
        <v>1823</v>
      </c>
    </row>
    <row r="35" spans="1:35" x14ac:dyDescent="0.25">
      <c r="A35" s="264" t="str">
        <f>HLOOKUP(Overview!$P$8,$B$1:$AI$1500,35,FALSE)</f>
        <v xml:space="preserve">          10023922</v>
      </c>
      <c r="B35" s="252"/>
      <c r="C35" s="183">
        <v>10001244</v>
      </c>
      <c r="D35" s="288" t="s">
        <v>2020</v>
      </c>
      <c r="E35" s="252" t="s">
        <v>4191</v>
      </c>
      <c r="F35" s="252" t="s">
        <v>1992</v>
      </c>
      <c r="G35" s="252" t="s">
        <v>1987</v>
      </c>
      <c r="I35" s="252" t="s">
        <v>1817</v>
      </c>
      <c r="J35" s="252" t="s">
        <v>1845</v>
      </c>
      <c r="K35" s="252" t="s">
        <v>2092</v>
      </c>
      <c r="L35" s="252" t="s">
        <v>1813</v>
      </c>
      <c r="M35" s="252" t="s">
        <v>1841</v>
      </c>
      <c r="N35" s="252" t="s">
        <v>1817</v>
      </c>
      <c r="O35" s="252" t="s">
        <v>1905</v>
      </c>
      <c r="P35" s="252" t="s">
        <v>2100</v>
      </c>
      <c r="Q35" s="252" t="s">
        <v>1817</v>
      </c>
      <c r="R35" s="252" t="s">
        <v>2100</v>
      </c>
      <c r="S35" s="252" t="s">
        <v>1951</v>
      </c>
      <c r="T35" s="252" t="s">
        <v>1969</v>
      </c>
      <c r="U35" s="252" t="s">
        <v>1888</v>
      </c>
      <c r="V35" s="252" t="s">
        <v>1850</v>
      </c>
      <c r="W35" s="252" t="s">
        <v>4174</v>
      </c>
      <c r="X35" s="252" t="s">
        <v>1957</v>
      </c>
      <c r="Y35" s="252" t="s">
        <v>1809</v>
      </c>
      <c r="Z35" s="266" t="s">
        <v>3565</v>
      </c>
      <c r="AA35" s="266" t="s">
        <v>2053</v>
      </c>
      <c r="AB35" s="266" t="s">
        <v>1823</v>
      </c>
      <c r="AC35" s="266" t="s">
        <v>1947</v>
      </c>
      <c r="AD35" s="266" t="s">
        <v>2210</v>
      </c>
      <c r="AE35" s="266" t="s">
        <v>1992</v>
      </c>
      <c r="AF35" s="266" t="s">
        <v>4204</v>
      </c>
      <c r="AG35" s="266" t="s">
        <v>1895</v>
      </c>
      <c r="AH35" s="266" t="s">
        <v>1851</v>
      </c>
      <c r="AI35" s="266" t="s">
        <v>1957</v>
      </c>
    </row>
    <row r="36" spans="1:35" x14ac:dyDescent="0.25">
      <c r="A36" s="264" t="str">
        <f>HLOOKUP(Overview!$P$8,$B$1:$AI$1500,36,FALSE)</f>
        <v xml:space="preserve">          10026324</v>
      </c>
      <c r="B36" s="252"/>
      <c r="C36" s="183">
        <v>10001254</v>
      </c>
      <c r="D36" s="287" t="s">
        <v>4284</v>
      </c>
      <c r="E36" s="264" t="s">
        <v>4183</v>
      </c>
      <c r="F36" s="264" t="s">
        <v>1987</v>
      </c>
      <c r="G36" s="264" t="s">
        <v>2053</v>
      </c>
      <c r="I36" s="264" t="s">
        <v>1851</v>
      </c>
      <c r="J36" s="264" t="s">
        <v>1823</v>
      </c>
      <c r="K36" s="264" t="s">
        <v>2059</v>
      </c>
      <c r="L36" s="264" t="s">
        <v>1841</v>
      </c>
      <c r="M36" s="264" t="s">
        <v>3565</v>
      </c>
      <c r="N36" s="264" t="s">
        <v>1851</v>
      </c>
      <c r="O36" s="264" t="s">
        <v>1850</v>
      </c>
      <c r="P36" s="264" t="s">
        <v>1817</v>
      </c>
      <c r="Q36" s="264" t="s">
        <v>1851</v>
      </c>
      <c r="R36" s="264" t="s">
        <v>1817</v>
      </c>
      <c r="S36" s="264" t="s">
        <v>1947</v>
      </c>
      <c r="T36" s="264" t="s">
        <v>1863</v>
      </c>
      <c r="U36" s="264" t="s">
        <v>2092</v>
      </c>
      <c r="V36" s="264" t="s">
        <v>1881</v>
      </c>
      <c r="W36" s="264" t="s">
        <v>4176</v>
      </c>
      <c r="X36" s="264" t="s">
        <v>4205</v>
      </c>
      <c r="Y36" s="264" t="s">
        <v>1815</v>
      </c>
      <c r="Z36" s="265" t="s">
        <v>1905</v>
      </c>
      <c r="AA36" s="265" t="s">
        <v>1845</v>
      </c>
      <c r="AB36" s="265" t="s">
        <v>1957</v>
      </c>
      <c r="AC36" s="265" t="s">
        <v>2216</v>
      </c>
      <c r="AD36" s="265" t="s">
        <v>1817</v>
      </c>
      <c r="AE36" s="265" t="s">
        <v>1987</v>
      </c>
      <c r="AF36" s="265" t="s">
        <v>2053</v>
      </c>
      <c r="AG36" s="265" t="s">
        <v>1886</v>
      </c>
      <c r="AH36" s="265" t="s">
        <v>1849</v>
      </c>
      <c r="AI36" s="265" t="s">
        <v>2100</v>
      </c>
    </row>
    <row r="37" spans="1:35" x14ac:dyDescent="0.25">
      <c r="A37" s="264" t="str">
        <f>HLOOKUP(Overview!$P$8,$B$1:$AI$1500,37,FALSE)</f>
        <v xml:space="preserve">          10026326</v>
      </c>
      <c r="B37" s="252"/>
      <c r="C37" s="183">
        <v>20000022</v>
      </c>
      <c r="D37" s="288" t="s">
        <v>4249</v>
      </c>
      <c r="E37" s="252" t="s">
        <v>3900</v>
      </c>
      <c r="F37" s="252" t="s">
        <v>2053</v>
      </c>
      <c r="G37" s="252" t="s">
        <v>1845</v>
      </c>
      <c r="I37" s="252" t="s">
        <v>1849</v>
      </c>
      <c r="J37" s="252" t="s">
        <v>1957</v>
      </c>
      <c r="K37" s="252" t="s">
        <v>1951</v>
      </c>
      <c r="L37" s="252" t="s">
        <v>3565</v>
      </c>
      <c r="M37" s="252" t="s">
        <v>1850</v>
      </c>
      <c r="N37" s="252" t="s">
        <v>1849</v>
      </c>
      <c r="O37" s="252" t="s">
        <v>1881</v>
      </c>
      <c r="P37" s="252" t="s">
        <v>1851</v>
      </c>
      <c r="Q37" s="252" t="s">
        <v>1849</v>
      </c>
      <c r="R37" s="252" t="s">
        <v>1851</v>
      </c>
      <c r="S37" s="252" t="s">
        <v>2216</v>
      </c>
      <c r="T37" s="252" t="s">
        <v>1879</v>
      </c>
      <c r="U37" s="252" t="s">
        <v>2059</v>
      </c>
      <c r="V37" s="252" t="s">
        <v>1969</v>
      </c>
      <c r="W37" s="252" t="s">
        <v>1895</v>
      </c>
      <c r="X37" s="252" t="s">
        <v>1817</v>
      </c>
      <c r="Y37" s="252" t="s">
        <v>1992</v>
      </c>
      <c r="Z37" s="266" t="s">
        <v>1850</v>
      </c>
      <c r="AA37" s="266" t="s">
        <v>1823</v>
      </c>
      <c r="AB37" s="266" t="s">
        <v>2210</v>
      </c>
      <c r="AC37" s="266" t="s">
        <v>2119</v>
      </c>
      <c r="AD37" s="266" t="s">
        <v>1851</v>
      </c>
      <c r="AE37" s="266" t="s">
        <v>2053</v>
      </c>
      <c r="AF37" s="266" t="s">
        <v>1845</v>
      </c>
      <c r="AG37" s="266" t="s">
        <v>1809</v>
      </c>
      <c r="AH37" s="266" t="s">
        <v>2004</v>
      </c>
      <c r="AI37" s="266" t="s">
        <v>2210</v>
      </c>
    </row>
    <row r="38" spans="1:35" x14ac:dyDescent="0.25">
      <c r="A38" s="264" t="str">
        <f>HLOOKUP(Overview!$P$8,$B$1:$AI$1500,38,FALSE)</f>
        <v xml:space="preserve">          10088173</v>
      </c>
      <c r="B38" s="252"/>
      <c r="C38" s="183">
        <v>20028119</v>
      </c>
      <c r="D38" s="287" t="s">
        <v>4296</v>
      </c>
      <c r="E38" s="264" t="s">
        <v>4188</v>
      </c>
      <c r="F38" s="264" t="s">
        <v>1845</v>
      </c>
      <c r="G38" s="264" t="s">
        <v>1823</v>
      </c>
      <c r="I38" s="264" t="s">
        <v>2004</v>
      </c>
      <c r="J38" s="264" t="s">
        <v>2100</v>
      </c>
      <c r="K38" s="264" t="s">
        <v>1947</v>
      </c>
      <c r="L38" s="264" t="s">
        <v>1850</v>
      </c>
      <c r="M38" s="264" t="s">
        <v>1881</v>
      </c>
      <c r="N38" s="264" t="s">
        <v>2004</v>
      </c>
      <c r="O38" s="264" t="s">
        <v>1969</v>
      </c>
      <c r="P38" s="264" t="s">
        <v>1849</v>
      </c>
      <c r="Q38" s="264" t="s">
        <v>2004</v>
      </c>
      <c r="R38" s="264" t="s">
        <v>1849</v>
      </c>
      <c r="S38" s="264" t="s">
        <v>2119</v>
      </c>
      <c r="T38" s="264" t="s">
        <v>1888</v>
      </c>
      <c r="U38" s="264" t="s">
        <v>1951</v>
      </c>
      <c r="V38" s="264" t="s">
        <v>1863</v>
      </c>
      <c r="W38" s="264" t="s">
        <v>1886</v>
      </c>
      <c r="X38" s="264" t="s">
        <v>1851</v>
      </c>
      <c r="Y38" s="264" t="s">
        <v>1987</v>
      </c>
      <c r="Z38" s="265" t="s">
        <v>1881</v>
      </c>
      <c r="AA38" s="265" t="s">
        <v>1957</v>
      </c>
      <c r="AB38" s="265" t="s">
        <v>1817</v>
      </c>
      <c r="AC38" s="265" t="s">
        <v>2015</v>
      </c>
      <c r="AD38" s="265" t="s">
        <v>1849</v>
      </c>
      <c r="AE38" s="265" t="s">
        <v>1845</v>
      </c>
      <c r="AF38" s="265" t="s">
        <v>1823</v>
      </c>
      <c r="AG38" s="265" t="s">
        <v>1815</v>
      </c>
      <c r="AH38" s="265" t="s">
        <v>3565</v>
      </c>
      <c r="AI38" s="265" t="s">
        <v>1817</v>
      </c>
    </row>
    <row r="39" spans="1:35" x14ac:dyDescent="0.25">
      <c r="A39" s="264" t="str">
        <f>HLOOKUP(Overview!$P$8,$B$1:$AI$1500,39,FALSE)</f>
        <v xml:space="preserve">          10120764</v>
      </c>
      <c r="B39" s="252"/>
      <c r="C39" s="183">
        <v>20028117</v>
      </c>
      <c r="D39" s="288" t="s">
        <v>3678</v>
      </c>
      <c r="E39" s="252" t="s">
        <v>3561</v>
      </c>
      <c r="F39" s="252" t="s">
        <v>1823</v>
      </c>
      <c r="G39" s="252" t="s">
        <v>1957</v>
      </c>
      <c r="I39" s="252" t="s">
        <v>3565</v>
      </c>
      <c r="J39" s="252" t="s">
        <v>1817</v>
      </c>
      <c r="K39" s="252" t="s">
        <v>2119</v>
      </c>
      <c r="L39" s="252" t="s">
        <v>1881</v>
      </c>
      <c r="M39" s="252" t="s">
        <v>1969</v>
      </c>
      <c r="N39" s="252" t="s">
        <v>3565</v>
      </c>
      <c r="O39" s="252" t="s">
        <v>1863</v>
      </c>
      <c r="P39" s="252" t="s">
        <v>2004</v>
      </c>
      <c r="Q39" s="252" t="s">
        <v>1813</v>
      </c>
      <c r="R39" s="252" t="s">
        <v>1813</v>
      </c>
      <c r="S39" s="252" t="s">
        <v>2015</v>
      </c>
      <c r="T39" s="252" t="s">
        <v>2092</v>
      </c>
      <c r="U39" s="252" t="s">
        <v>1947</v>
      </c>
      <c r="V39" s="252" t="s">
        <v>1879</v>
      </c>
      <c r="W39" s="252" t="s">
        <v>1809</v>
      </c>
      <c r="X39" s="252" t="s">
        <v>1849</v>
      </c>
      <c r="Y39" s="252" t="s">
        <v>2053</v>
      </c>
      <c r="Z39" s="266" t="s">
        <v>1969</v>
      </c>
      <c r="AA39" s="266" t="s">
        <v>2100</v>
      </c>
      <c r="AB39" s="266" t="s">
        <v>1851</v>
      </c>
      <c r="AC39" s="266" t="s">
        <v>1912</v>
      </c>
      <c r="AD39" s="266" t="s">
        <v>2004</v>
      </c>
      <c r="AE39" s="266" t="s">
        <v>1823</v>
      </c>
      <c r="AF39" s="266" t="s">
        <v>1957</v>
      </c>
      <c r="AG39" s="266" t="s">
        <v>1992</v>
      </c>
      <c r="AH39" s="266" t="s">
        <v>1905</v>
      </c>
      <c r="AI39" s="266" t="s">
        <v>1851</v>
      </c>
    </row>
    <row r="40" spans="1:35" x14ac:dyDescent="0.25">
      <c r="A40" s="264" t="str">
        <f>HLOOKUP(Overview!$P$8,$B$1:$AI$1500,40,FALSE)</f>
        <v xml:space="preserve">          10120767</v>
      </c>
      <c r="B40" s="252"/>
      <c r="C40" s="183">
        <v>20028118</v>
      </c>
      <c r="D40" s="287" t="s">
        <v>3679</v>
      </c>
      <c r="E40" s="264" t="s">
        <v>4201</v>
      </c>
      <c r="F40" s="264" t="s">
        <v>1957</v>
      </c>
      <c r="G40" s="264" t="s">
        <v>2100</v>
      </c>
      <c r="I40" s="264" t="s">
        <v>1905</v>
      </c>
      <c r="J40" s="264" t="s">
        <v>1851</v>
      </c>
      <c r="K40" s="264" t="s">
        <v>2015</v>
      </c>
      <c r="L40" s="264" t="s">
        <v>1969</v>
      </c>
      <c r="M40" s="264" t="s">
        <v>1863</v>
      </c>
      <c r="N40" s="264" t="s">
        <v>1850</v>
      </c>
      <c r="O40" s="264" t="s">
        <v>1879</v>
      </c>
      <c r="P40" s="264" t="s">
        <v>1813</v>
      </c>
      <c r="Q40" s="264" t="s">
        <v>1841</v>
      </c>
      <c r="R40" s="264" t="s">
        <v>1841</v>
      </c>
      <c r="S40" s="264" t="s">
        <v>1912</v>
      </c>
      <c r="T40" s="264" t="s">
        <v>2059</v>
      </c>
      <c r="U40" s="264" t="s">
        <v>2216</v>
      </c>
      <c r="V40" s="264" t="s">
        <v>1888</v>
      </c>
      <c r="W40" s="264" t="s">
        <v>1815</v>
      </c>
      <c r="X40" s="264" t="s">
        <v>1905</v>
      </c>
      <c r="Y40" s="264" t="s">
        <v>1845</v>
      </c>
      <c r="Z40" s="265" t="s">
        <v>1863</v>
      </c>
      <c r="AA40" s="265" t="s">
        <v>2210</v>
      </c>
      <c r="AB40" s="265" t="s">
        <v>1849</v>
      </c>
      <c r="AC40" s="265" t="s">
        <v>1955</v>
      </c>
      <c r="AD40" s="265" t="s">
        <v>1813</v>
      </c>
      <c r="AE40" s="265" t="s">
        <v>1957</v>
      </c>
      <c r="AF40" s="265" t="s">
        <v>1817</v>
      </c>
      <c r="AG40" s="265" t="s">
        <v>1987</v>
      </c>
      <c r="AH40" s="265" t="s">
        <v>1850</v>
      </c>
      <c r="AI40" s="265" t="s">
        <v>1849</v>
      </c>
    </row>
    <row r="41" spans="1:35" x14ac:dyDescent="0.25">
      <c r="A41" s="264" t="str">
        <f>HLOOKUP(Overview!$P$8,$B$1:$AI$1500,41,FALSE)</f>
        <v xml:space="preserve">          10120768</v>
      </c>
      <c r="B41" s="252"/>
      <c r="C41" s="183">
        <v>20028121</v>
      </c>
      <c r="D41" s="288" t="s">
        <v>3680</v>
      </c>
      <c r="E41" s="252" t="s">
        <v>4192</v>
      </c>
      <c r="F41" s="252" t="s">
        <v>2100</v>
      </c>
      <c r="G41" s="252" t="s">
        <v>2210</v>
      </c>
      <c r="I41" s="252" t="s">
        <v>1850</v>
      </c>
      <c r="J41" s="252" t="s">
        <v>1849</v>
      </c>
      <c r="K41" s="252" t="s">
        <v>1912</v>
      </c>
      <c r="L41" s="252" t="s">
        <v>1863</v>
      </c>
      <c r="M41" s="252" t="s">
        <v>1879</v>
      </c>
      <c r="N41" s="252" t="s">
        <v>1881</v>
      </c>
      <c r="O41" s="252" t="s">
        <v>1888</v>
      </c>
      <c r="P41" s="252" t="s">
        <v>1841</v>
      </c>
      <c r="Q41" s="252" t="s">
        <v>3565</v>
      </c>
      <c r="R41" s="252" t="s">
        <v>1850</v>
      </c>
      <c r="S41" s="252" t="s">
        <v>1955</v>
      </c>
      <c r="T41" s="252" t="s">
        <v>1947</v>
      </c>
      <c r="U41" s="252" t="s">
        <v>2119</v>
      </c>
      <c r="V41" s="252" t="s">
        <v>2092</v>
      </c>
      <c r="W41" s="252" t="s">
        <v>1992</v>
      </c>
      <c r="X41" s="252" t="s">
        <v>1850</v>
      </c>
      <c r="Y41" s="252" t="s">
        <v>1823</v>
      </c>
      <c r="Z41" s="266" t="s">
        <v>1879</v>
      </c>
      <c r="AA41" s="266" t="s">
        <v>1817</v>
      </c>
      <c r="AB41" s="266" t="s">
        <v>1813</v>
      </c>
      <c r="AC41" s="266" t="s">
        <v>1825</v>
      </c>
      <c r="AD41" s="266" t="s">
        <v>1841</v>
      </c>
      <c r="AE41" s="266" t="s">
        <v>2210</v>
      </c>
      <c r="AF41" s="266" t="s">
        <v>1851</v>
      </c>
      <c r="AG41" s="266" t="s">
        <v>2053</v>
      </c>
      <c r="AH41" s="266" t="s">
        <v>1881</v>
      </c>
      <c r="AI41" s="266" t="s">
        <v>2004</v>
      </c>
    </row>
    <row r="42" spans="1:35" x14ac:dyDescent="0.25">
      <c r="A42" s="264" t="str">
        <f>HLOOKUP(Overview!$P$8,$B$1:$AI$1500,42,FALSE)</f>
        <v xml:space="preserve">          10120770</v>
      </c>
      <c r="B42" s="252"/>
      <c r="C42" s="183">
        <v>20004183</v>
      </c>
      <c r="D42" s="287" t="s">
        <v>3874</v>
      </c>
      <c r="E42" s="264" t="s">
        <v>4193</v>
      </c>
      <c r="F42" s="264" t="s">
        <v>2210</v>
      </c>
      <c r="G42" s="264" t="s">
        <v>1817</v>
      </c>
      <c r="I42" s="264" t="s">
        <v>1881</v>
      </c>
      <c r="J42" s="264" t="s">
        <v>2004</v>
      </c>
      <c r="K42" s="264" t="s">
        <v>1955</v>
      </c>
      <c r="L42" s="264" t="s">
        <v>1879</v>
      </c>
      <c r="M42" s="264" t="s">
        <v>1888</v>
      </c>
      <c r="N42" s="264" t="s">
        <v>1969</v>
      </c>
      <c r="O42" s="264" t="s">
        <v>2092</v>
      </c>
      <c r="P42" s="264" t="s">
        <v>3565</v>
      </c>
      <c r="Q42" s="264" t="s">
        <v>1905</v>
      </c>
      <c r="R42" s="264" t="s">
        <v>1881</v>
      </c>
      <c r="S42" s="264" t="s">
        <v>1867</v>
      </c>
      <c r="T42" s="264" t="s">
        <v>2216</v>
      </c>
      <c r="U42" s="264" t="s">
        <v>2015</v>
      </c>
      <c r="V42" s="264" t="s">
        <v>2059</v>
      </c>
      <c r="W42" s="264" t="s">
        <v>1987</v>
      </c>
      <c r="X42" s="264" t="s">
        <v>1881</v>
      </c>
      <c r="Y42" s="264" t="s">
        <v>1957</v>
      </c>
      <c r="Z42" s="265" t="s">
        <v>1888</v>
      </c>
      <c r="AA42" s="265" t="s">
        <v>1851</v>
      </c>
      <c r="AB42" s="265" t="s">
        <v>1841</v>
      </c>
      <c r="AC42" s="265" t="s">
        <v>1962</v>
      </c>
      <c r="AD42" s="265" t="s">
        <v>3565</v>
      </c>
      <c r="AE42" s="265" t="s">
        <v>1817</v>
      </c>
      <c r="AF42" s="265" t="s">
        <v>1849</v>
      </c>
      <c r="AG42" s="265" t="s">
        <v>1845</v>
      </c>
      <c r="AH42" s="265" t="s">
        <v>4206</v>
      </c>
      <c r="AI42" s="265" t="s">
        <v>3565</v>
      </c>
    </row>
    <row r="43" spans="1:35" x14ac:dyDescent="0.25">
      <c r="A43" s="264" t="str">
        <f>HLOOKUP(Overview!$P$8,$B$1:$AI$1500,43,FALSE)</f>
        <v xml:space="preserve">          10120772</v>
      </c>
      <c r="B43" s="252"/>
      <c r="C43" s="183">
        <v>20004230</v>
      </c>
      <c r="D43" s="288" t="s">
        <v>3681</v>
      </c>
      <c r="E43" s="252" t="s">
        <v>1923</v>
      </c>
      <c r="F43" s="252" t="s">
        <v>1817</v>
      </c>
      <c r="G43" s="252" t="s">
        <v>1851</v>
      </c>
      <c r="I43" s="252" t="s">
        <v>1969</v>
      </c>
      <c r="J43" s="252" t="s">
        <v>1813</v>
      </c>
      <c r="K43" s="252" t="s">
        <v>1825</v>
      </c>
      <c r="L43" s="252" t="s">
        <v>1888</v>
      </c>
      <c r="M43" s="252" t="s">
        <v>2092</v>
      </c>
      <c r="N43" s="252" t="s">
        <v>1863</v>
      </c>
      <c r="O43" s="252" t="s">
        <v>2059</v>
      </c>
      <c r="P43" s="252" t="s">
        <v>1850</v>
      </c>
      <c r="Q43" s="252" t="s">
        <v>1850</v>
      </c>
      <c r="R43" s="252" t="s">
        <v>1969</v>
      </c>
      <c r="S43" s="252" t="s">
        <v>1837</v>
      </c>
      <c r="T43" s="252" t="s">
        <v>2119</v>
      </c>
      <c r="U43" s="252" t="s">
        <v>1912</v>
      </c>
      <c r="V43" s="252" t="s">
        <v>1951</v>
      </c>
      <c r="W43" s="252" t="s">
        <v>2053</v>
      </c>
      <c r="X43" s="252" t="s">
        <v>1969</v>
      </c>
      <c r="Y43" s="252" t="s">
        <v>2100</v>
      </c>
      <c r="Z43" s="266" t="s">
        <v>2092</v>
      </c>
      <c r="AA43" s="266" t="s">
        <v>1849</v>
      </c>
      <c r="AB43" s="266" t="s">
        <v>3565</v>
      </c>
      <c r="AC43" s="266" t="s">
        <v>4207</v>
      </c>
      <c r="AD43" s="266" t="s">
        <v>1905</v>
      </c>
      <c r="AE43" s="266" t="s">
        <v>1851</v>
      </c>
      <c r="AF43" s="266" t="s">
        <v>3565</v>
      </c>
      <c r="AG43" s="266" t="s">
        <v>1823</v>
      </c>
      <c r="AH43" s="266" t="s">
        <v>1969</v>
      </c>
      <c r="AI43" s="266" t="s">
        <v>1905</v>
      </c>
    </row>
    <row r="44" spans="1:35" x14ac:dyDescent="0.25">
      <c r="A44" s="264" t="str">
        <f>HLOOKUP(Overview!$P$8,$B$1:$AI$1500,44,FALSE)</f>
        <v xml:space="preserve">          10133232</v>
      </c>
      <c r="B44" s="252"/>
      <c r="C44" s="183">
        <v>10001242</v>
      </c>
      <c r="D44" s="287" t="s">
        <v>4466</v>
      </c>
      <c r="E44" s="264" t="s">
        <v>2130</v>
      </c>
      <c r="F44" s="264" t="s">
        <v>1851</v>
      </c>
      <c r="G44" s="264" t="s">
        <v>1849</v>
      </c>
      <c r="I44" s="264" t="s">
        <v>1863</v>
      </c>
      <c r="J44" s="264" t="s">
        <v>1841</v>
      </c>
      <c r="K44" s="264" t="s">
        <v>1867</v>
      </c>
      <c r="L44" s="264" t="s">
        <v>2092</v>
      </c>
      <c r="M44" s="264" t="s">
        <v>2059</v>
      </c>
      <c r="N44" s="264" t="s">
        <v>1879</v>
      </c>
      <c r="O44" s="264" t="s">
        <v>1951</v>
      </c>
      <c r="P44" s="264" t="s">
        <v>1881</v>
      </c>
      <c r="Q44" s="264" t="s">
        <v>1881</v>
      </c>
      <c r="R44" s="264" t="s">
        <v>1863</v>
      </c>
      <c r="S44" s="264" t="s">
        <v>1843</v>
      </c>
      <c r="T44" s="264" t="s">
        <v>2015</v>
      </c>
      <c r="U44" s="264" t="s">
        <v>1955</v>
      </c>
      <c r="V44" s="264" t="s">
        <v>1947</v>
      </c>
      <c r="W44" s="264" t="s">
        <v>1845</v>
      </c>
      <c r="X44" s="264" t="s">
        <v>1863</v>
      </c>
      <c r="Y44" s="264" t="s">
        <v>2210</v>
      </c>
      <c r="Z44" s="265" t="s">
        <v>2059</v>
      </c>
      <c r="AA44" s="265" t="s">
        <v>2004</v>
      </c>
      <c r="AB44" s="265" t="s">
        <v>1905</v>
      </c>
      <c r="AC44" s="265" t="s">
        <v>1831</v>
      </c>
      <c r="AD44" s="265" t="s">
        <v>1850</v>
      </c>
      <c r="AE44" s="265" t="s">
        <v>1849</v>
      </c>
      <c r="AF44" s="265" t="s">
        <v>1905</v>
      </c>
      <c r="AG44" s="265" t="s">
        <v>1957</v>
      </c>
      <c r="AH44" s="265" t="s">
        <v>1863</v>
      </c>
      <c r="AI44" s="265" t="s">
        <v>1850</v>
      </c>
    </row>
    <row r="45" spans="1:35" x14ac:dyDescent="0.25">
      <c r="A45" s="264" t="str">
        <f>HLOOKUP(Overview!$P$8,$B$1:$AI$1500,45,FALSE)</f>
        <v xml:space="preserve">          10000094</v>
      </c>
      <c r="B45" s="252"/>
      <c r="C45" s="183">
        <v>10002516</v>
      </c>
      <c r="D45" s="288" t="s">
        <v>4467</v>
      </c>
      <c r="E45" s="252" t="s">
        <v>4200</v>
      </c>
      <c r="F45" s="252" t="s">
        <v>1849</v>
      </c>
      <c r="G45" s="252" t="s">
        <v>2004</v>
      </c>
      <c r="I45" s="252" t="s">
        <v>1879</v>
      </c>
      <c r="J45" s="252" t="s">
        <v>3565</v>
      </c>
      <c r="K45" s="252" t="s">
        <v>1837</v>
      </c>
      <c r="L45" s="252" t="s">
        <v>2059</v>
      </c>
      <c r="M45" s="252" t="s">
        <v>1951</v>
      </c>
      <c r="N45" s="252" t="s">
        <v>1888</v>
      </c>
      <c r="O45" s="252" t="s">
        <v>1947</v>
      </c>
      <c r="P45" s="252" t="s">
        <v>1969</v>
      </c>
      <c r="Q45" s="252" t="s">
        <v>1969</v>
      </c>
      <c r="R45" s="252" t="s">
        <v>1879</v>
      </c>
      <c r="S45" s="252" t="s">
        <v>1962</v>
      </c>
      <c r="T45" s="252" t="s">
        <v>1912</v>
      </c>
      <c r="U45" s="252" t="s">
        <v>1825</v>
      </c>
      <c r="V45" s="252" t="s">
        <v>2216</v>
      </c>
      <c r="W45" s="252" t="s">
        <v>1823</v>
      </c>
      <c r="X45" s="252" t="s">
        <v>1879</v>
      </c>
      <c r="Y45" s="252" t="s">
        <v>1817</v>
      </c>
      <c r="Z45" s="266" t="s">
        <v>1951</v>
      </c>
      <c r="AA45" s="266" t="s">
        <v>1813</v>
      </c>
      <c r="AB45" s="266" t="s">
        <v>1850</v>
      </c>
      <c r="AC45" s="266" t="s">
        <v>1855</v>
      </c>
      <c r="AD45" s="266" t="s">
        <v>1881</v>
      </c>
      <c r="AE45" s="266" t="s">
        <v>2004</v>
      </c>
      <c r="AF45" s="266" t="s">
        <v>1850</v>
      </c>
      <c r="AG45" s="266" t="s">
        <v>2100</v>
      </c>
      <c r="AH45" s="266" t="s">
        <v>1879</v>
      </c>
      <c r="AI45" s="266" t="s">
        <v>1881</v>
      </c>
    </row>
    <row r="46" spans="1:35" x14ac:dyDescent="0.25">
      <c r="A46" s="264" t="str">
        <f>HLOOKUP(Overview!$P$8,$B$1:$AI$1500,46,FALSE)</f>
        <v xml:space="preserve">          10001415</v>
      </c>
      <c r="B46" s="252"/>
      <c r="C46" s="183">
        <v>10001249</v>
      </c>
      <c r="D46" s="287" t="s">
        <v>1821</v>
      </c>
      <c r="E46" s="264" t="s">
        <v>4190</v>
      </c>
      <c r="F46" s="264" t="s">
        <v>1813</v>
      </c>
      <c r="G46" s="264" t="s">
        <v>1813</v>
      </c>
      <c r="I46" s="264" t="s">
        <v>1888</v>
      </c>
      <c r="J46" s="264" t="s">
        <v>1905</v>
      </c>
      <c r="K46" s="264" t="s">
        <v>1843</v>
      </c>
      <c r="L46" s="264" t="s">
        <v>1951</v>
      </c>
      <c r="M46" s="264" t="s">
        <v>1947</v>
      </c>
      <c r="N46" s="264" t="s">
        <v>2092</v>
      </c>
      <c r="O46" s="264" t="s">
        <v>2216</v>
      </c>
      <c r="P46" s="264" t="s">
        <v>1863</v>
      </c>
      <c r="Q46" s="264" t="s">
        <v>1863</v>
      </c>
      <c r="R46" s="264" t="s">
        <v>1888</v>
      </c>
      <c r="S46" s="264" t="s">
        <v>1965</v>
      </c>
      <c r="T46" s="264" t="s">
        <v>1955</v>
      </c>
      <c r="U46" s="264" t="s">
        <v>1867</v>
      </c>
      <c r="V46" s="264" t="s">
        <v>2119</v>
      </c>
      <c r="W46" s="264" t="s">
        <v>1957</v>
      </c>
      <c r="X46" s="264" t="s">
        <v>1888</v>
      </c>
      <c r="Y46" s="264" t="s">
        <v>1851</v>
      </c>
      <c r="Z46" s="265" t="s">
        <v>2304</v>
      </c>
      <c r="AA46" s="265" t="s">
        <v>1841</v>
      </c>
      <c r="AB46" s="265" t="s">
        <v>1881</v>
      </c>
      <c r="AC46" s="265" t="s">
        <v>1865</v>
      </c>
      <c r="AD46" s="265" t="s">
        <v>1969</v>
      </c>
      <c r="AE46" s="265" t="s">
        <v>1813</v>
      </c>
      <c r="AF46" s="265" t="s">
        <v>1881</v>
      </c>
      <c r="AG46" s="265" t="s">
        <v>2210</v>
      </c>
      <c r="AH46" s="265" t="s">
        <v>1888</v>
      </c>
      <c r="AI46" s="265" t="s">
        <v>1969</v>
      </c>
    </row>
    <row r="47" spans="1:35" x14ac:dyDescent="0.25">
      <c r="A47" s="264" t="str">
        <f>HLOOKUP(Overview!$P$8,$B$1:$AI$1500,47,FALSE)</f>
        <v xml:space="preserve">          10001416</v>
      </c>
      <c r="B47" s="252"/>
      <c r="C47" s="183">
        <v>10001263</v>
      </c>
      <c r="D47" s="288" t="s">
        <v>1857</v>
      </c>
      <c r="E47" s="252" t="s">
        <v>4196</v>
      </c>
      <c r="F47" s="252" t="s">
        <v>1841</v>
      </c>
      <c r="G47" s="252" t="s">
        <v>1841</v>
      </c>
      <c r="I47" s="252" t="s">
        <v>2092</v>
      </c>
      <c r="J47" s="252" t="s">
        <v>1850</v>
      </c>
      <c r="K47" s="252" t="s">
        <v>1962</v>
      </c>
      <c r="L47" s="252" t="s">
        <v>1947</v>
      </c>
      <c r="M47" s="252" t="s">
        <v>2216</v>
      </c>
      <c r="N47" s="252" t="s">
        <v>2059</v>
      </c>
      <c r="O47" s="252" t="s">
        <v>2119</v>
      </c>
      <c r="P47" s="252" t="s">
        <v>1879</v>
      </c>
      <c r="Q47" s="252" t="s">
        <v>1879</v>
      </c>
      <c r="R47" s="252" t="s">
        <v>2092</v>
      </c>
      <c r="S47" s="252" t="s">
        <v>1831</v>
      </c>
      <c r="T47" s="252" t="s">
        <v>1825</v>
      </c>
      <c r="U47" s="252" t="s">
        <v>1837</v>
      </c>
      <c r="V47" s="252" t="s">
        <v>2015</v>
      </c>
      <c r="W47" s="252" t="s">
        <v>2100</v>
      </c>
      <c r="X47" s="252" t="s">
        <v>2092</v>
      </c>
      <c r="Y47" s="252" t="s">
        <v>1849</v>
      </c>
      <c r="Z47" s="266" t="s">
        <v>1947</v>
      </c>
      <c r="AA47" s="266" t="s">
        <v>3565</v>
      </c>
      <c r="AB47" s="266" t="s">
        <v>1969</v>
      </c>
      <c r="AC47" s="266" t="s">
        <v>1882</v>
      </c>
      <c r="AD47" s="266" t="s">
        <v>1863</v>
      </c>
      <c r="AE47" s="266" t="s">
        <v>1841</v>
      </c>
      <c r="AF47" s="266" t="s">
        <v>1969</v>
      </c>
      <c r="AG47" s="266" t="s">
        <v>1817</v>
      </c>
      <c r="AH47" s="266" t="s">
        <v>2092</v>
      </c>
      <c r="AI47" s="266" t="s">
        <v>1863</v>
      </c>
    </row>
    <row r="48" spans="1:35" x14ac:dyDescent="0.25">
      <c r="A48" s="264" t="str">
        <f>HLOOKUP(Overview!$P$8,$B$1:$AI$1500,48,FALSE)</f>
        <v xml:space="preserve">          10001417</v>
      </c>
      <c r="B48" s="252"/>
      <c r="C48" s="183">
        <v>10087792</v>
      </c>
      <c r="D48" s="287" t="s">
        <v>1989</v>
      </c>
      <c r="E48" s="264" t="s">
        <v>2259</v>
      </c>
      <c r="F48" s="264" t="s">
        <v>1905</v>
      </c>
      <c r="G48" s="264" t="s">
        <v>1905</v>
      </c>
      <c r="I48" s="264" t="s">
        <v>2059</v>
      </c>
      <c r="J48" s="264" t="s">
        <v>1881</v>
      </c>
      <c r="K48" s="264" t="s">
        <v>1831</v>
      </c>
      <c r="L48" s="264" t="s">
        <v>2216</v>
      </c>
      <c r="M48" s="264" t="s">
        <v>2119</v>
      </c>
      <c r="N48" s="264" t="s">
        <v>1951</v>
      </c>
      <c r="O48" s="264" t="s">
        <v>2015</v>
      </c>
      <c r="P48" s="264" t="s">
        <v>1888</v>
      </c>
      <c r="Q48" s="264" t="s">
        <v>1888</v>
      </c>
      <c r="R48" s="264" t="s">
        <v>2059</v>
      </c>
      <c r="S48" s="264" t="s">
        <v>1855</v>
      </c>
      <c r="T48" s="264" t="s">
        <v>1867</v>
      </c>
      <c r="U48" s="264" t="s">
        <v>1843</v>
      </c>
      <c r="V48" s="264" t="s">
        <v>1912</v>
      </c>
      <c r="W48" s="264" t="s">
        <v>2210</v>
      </c>
      <c r="X48" s="264" t="s">
        <v>2059</v>
      </c>
      <c r="Y48" s="264" t="s">
        <v>2004</v>
      </c>
      <c r="Z48" s="265" t="s">
        <v>2218</v>
      </c>
      <c r="AA48" s="265" t="s">
        <v>1905</v>
      </c>
      <c r="AB48" s="265" t="s">
        <v>1863</v>
      </c>
      <c r="AC48" s="265" t="s">
        <v>1917</v>
      </c>
      <c r="AD48" s="265" t="s">
        <v>1879</v>
      </c>
      <c r="AE48" s="265" t="s">
        <v>3565</v>
      </c>
      <c r="AF48" s="265" t="s">
        <v>1863</v>
      </c>
      <c r="AG48" s="265" t="s">
        <v>1851</v>
      </c>
      <c r="AH48" s="265" t="s">
        <v>2059</v>
      </c>
      <c r="AI48" s="265" t="s">
        <v>1879</v>
      </c>
    </row>
    <row r="49" spans="1:35" x14ac:dyDescent="0.25">
      <c r="A49" s="264" t="str">
        <f>HLOOKUP(Overview!$P$8,$B$1:$AI$1500,49,FALSE)</f>
        <v xml:space="preserve">          10001419</v>
      </c>
      <c r="B49" s="252"/>
      <c r="C49" s="183">
        <v>10001257</v>
      </c>
      <c r="D49" s="288" t="s">
        <v>1949</v>
      </c>
      <c r="E49" s="252" t="s">
        <v>3542</v>
      </c>
      <c r="F49" s="252" t="s">
        <v>1850</v>
      </c>
      <c r="G49" s="252" t="s">
        <v>1850</v>
      </c>
      <c r="I49" s="252" t="s">
        <v>1951</v>
      </c>
      <c r="J49" s="252" t="s">
        <v>4208</v>
      </c>
      <c r="K49" s="252" t="s">
        <v>1855</v>
      </c>
      <c r="L49" s="252" t="s">
        <v>2119</v>
      </c>
      <c r="M49" s="252" t="s">
        <v>2015</v>
      </c>
      <c r="N49" s="252" t="s">
        <v>1947</v>
      </c>
      <c r="O49" s="252" t="s">
        <v>1912</v>
      </c>
      <c r="P49" s="252" t="s">
        <v>2092</v>
      </c>
      <c r="Q49" s="252" t="s">
        <v>2092</v>
      </c>
      <c r="R49" s="252" t="s">
        <v>1951</v>
      </c>
      <c r="S49" s="252" t="s">
        <v>1865</v>
      </c>
      <c r="T49" s="252" t="s">
        <v>1837</v>
      </c>
      <c r="U49" s="252" t="s">
        <v>1827</v>
      </c>
      <c r="V49" s="252" t="s">
        <v>1955</v>
      </c>
      <c r="W49" s="252" t="s">
        <v>1817</v>
      </c>
      <c r="X49" s="252" t="s">
        <v>1951</v>
      </c>
      <c r="Y49" s="252" t="s">
        <v>1813</v>
      </c>
      <c r="Z49" s="266" t="s">
        <v>2119</v>
      </c>
      <c r="AA49" s="266" t="s">
        <v>1850</v>
      </c>
      <c r="AB49" s="266" t="s">
        <v>1879</v>
      </c>
      <c r="AC49" s="266" t="s">
        <v>2087</v>
      </c>
      <c r="AD49" s="266" t="s">
        <v>1888</v>
      </c>
      <c r="AE49" s="266" t="s">
        <v>1905</v>
      </c>
      <c r="AF49" s="266" t="s">
        <v>1879</v>
      </c>
      <c r="AG49" s="266" t="s">
        <v>1849</v>
      </c>
      <c r="AH49" s="266" t="s">
        <v>1951</v>
      </c>
      <c r="AI49" s="266" t="s">
        <v>1888</v>
      </c>
    </row>
    <row r="50" spans="1:35" x14ac:dyDescent="0.25">
      <c r="A50" s="264" t="str">
        <f>HLOOKUP(Overview!$P$8,$B$1:$AI$1500,50,FALSE)</f>
        <v xml:space="preserve">          10001420</v>
      </c>
      <c r="B50" s="252"/>
      <c r="C50" s="183">
        <v>10001243</v>
      </c>
      <c r="D50" s="287" t="s">
        <v>2009</v>
      </c>
      <c r="E50" s="264" t="s">
        <v>2329</v>
      </c>
      <c r="F50" s="264" t="s">
        <v>1881</v>
      </c>
      <c r="G50" s="264" t="s">
        <v>1881</v>
      </c>
      <c r="I50" s="264" t="s">
        <v>2304</v>
      </c>
      <c r="J50" s="264" t="s">
        <v>4209</v>
      </c>
      <c r="K50" s="264" t="s">
        <v>1865</v>
      </c>
      <c r="L50" s="264" t="s">
        <v>2015</v>
      </c>
      <c r="M50" s="264" t="s">
        <v>1912</v>
      </c>
      <c r="N50" s="264" t="s">
        <v>2216</v>
      </c>
      <c r="O50" s="264" t="s">
        <v>1955</v>
      </c>
      <c r="P50" s="264" t="s">
        <v>2059</v>
      </c>
      <c r="Q50" s="264" t="s">
        <v>2059</v>
      </c>
      <c r="R50" s="264" t="s">
        <v>1947</v>
      </c>
      <c r="S50" s="264" t="s">
        <v>1882</v>
      </c>
      <c r="T50" s="264" t="s">
        <v>1843</v>
      </c>
      <c r="U50" s="264" t="s">
        <v>1853</v>
      </c>
      <c r="V50" s="264" t="s">
        <v>1867</v>
      </c>
      <c r="W50" s="264" t="s">
        <v>1851</v>
      </c>
      <c r="X50" s="264" t="s">
        <v>1947</v>
      </c>
      <c r="Y50" s="264" t="s">
        <v>1841</v>
      </c>
      <c r="Z50" s="265" t="s">
        <v>2015</v>
      </c>
      <c r="AA50" s="265" t="s">
        <v>1881</v>
      </c>
      <c r="AB50" s="265" t="s">
        <v>1888</v>
      </c>
      <c r="AC50" s="265" t="s">
        <v>2066</v>
      </c>
      <c r="AD50" s="265" t="s">
        <v>2092</v>
      </c>
      <c r="AE50" s="265" t="s">
        <v>1850</v>
      </c>
      <c r="AF50" s="265" t="s">
        <v>1888</v>
      </c>
      <c r="AG50" s="265" t="s">
        <v>2004</v>
      </c>
      <c r="AH50" s="265" t="s">
        <v>2304</v>
      </c>
      <c r="AI50" s="265" t="s">
        <v>2092</v>
      </c>
    </row>
    <row r="51" spans="1:35" x14ac:dyDescent="0.25">
      <c r="A51" s="264" t="str">
        <f>HLOOKUP(Overview!$P$8,$B$1:$AI$1500,51,FALSE)</f>
        <v xml:space="preserve">          10001424</v>
      </c>
      <c r="B51" s="252"/>
      <c r="C51" s="183" t="s">
        <v>1248</v>
      </c>
      <c r="D51" s="288" t="s">
        <v>1871</v>
      </c>
      <c r="E51" s="252" t="s">
        <v>2286</v>
      </c>
      <c r="F51" s="252" t="s">
        <v>1969</v>
      </c>
      <c r="G51" s="252" t="s">
        <v>1969</v>
      </c>
      <c r="I51" s="252" t="s">
        <v>1947</v>
      </c>
      <c r="J51" s="252" t="s">
        <v>1969</v>
      </c>
      <c r="K51" s="252" t="s">
        <v>1882</v>
      </c>
      <c r="L51" s="252" t="s">
        <v>1912</v>
      </c>
      <c r="M51" s="252" t="s">
        <v>4210</v>
      </c>
      <c r="N51" s="252" t="s">
        <v>2119</v>
      </c>
      <c r="O51" s="252" t="s">
        <v>1825</v>
      </c>
      <c r="P51" s="252" t="s">
        <v>1951</v>
      </c>
      <c r="Q51" s="252" t="s">
        <v>1951</v>
      </c>
      <c r="R51" s="252" t="s">
        <v>2119</v>
      </c>
      <c r="S51" s="252" t="s">
        <v>1917</v>
      </c>
      <c r="T51" s="252" t="s">
        <v>1827</v>
      </c>
      <c r="U51" s="252" t="s">
        <v>1962</v>
      </c>
      <c r="V51" s="252" t="s">
        <v>1837</v>
      </c>
      <c r="W51" s="252" t="s">
        <v>1849</v>
      </c>
      <c r="X51" s="252" t="s">
        <v>2216</v>
      </c>
      <c r="Y51" s="252" t="s">
        <v>3565</v>
      </c>
      <c r="Z51" s="266" t="s">
        <v>1912</v>
      </c>
      <c r="AA51" s="266" t="s">
        <v>1969</v>
      </c>
      <c r="AB51" s="266" t="s">
        <v>2092</v>
      </c>
      <c r="AC51" s="266" t="s">
        <v>2132</v>
      </c>
      <c r="AD51" s="266" t="s">
        <v>2059</v>
      </c>
      <c r="AE51" s="266" t="s">
        <v>1881</v>
      </c>
      <c r="AF51" s="266" t="s">
        <v>2092</v>
      </c>
      <c r="AG51" s="266" t="s">
        <v>3565</v>
      </c>
      <c r="AH51" s="266" t="s">
        <v>1947</v>
      </c>
      <c r="AI51" s="266" t="s">
        <v>2059</v>
      </c>
    </row>
    <row r="52" spans="1:35" x14ac:dyDescent="0.25">
      <c r="A52" s="264" t="str">
        <f>HLOOKUP(Overview!$P$8,$B$1:$AI$1500,52,FALSE)</f>
        <v xml:space="preserve">          10001435</v>
      </c>
      <c r="B52" s="252"/>
      <c r="C52" s="183" t="s">
        <v>1248</v>
      </c>
      <c r="D52" s="287" t="s">
        <v>1892</v>
      </c>
      <c r="E52" s="264" t="s">
        <v>2139</v>
      </c>
      <c r="F52" s="264" t="s">
        <v>1863</v>
      </c>
      <c r="G52" s="264" t="s">
        <v>1863</v>
      </c>
      <c r="I52" s="264" t="s">
        <v>2216</v>
      </c>
      <c r="J52" s="264" t="s">
        <v>1863</v>
      </c>
      <c r="K52" s="264" t="s">
        <v>1917</v>
      </c>
      <c r="L52" s="264" t="s">
        <v>1955</v>
      </c>
      <c r="M52" s="264" t="s">
        <v>1955</v>
      </c>
      <c r="N52" s="264" t="s">
        <v>2015</v>
      </c>
      <c r="O52" s="264" t="s">
        <v>1867</v>
      </c>
      <c r="P52" s="264" t="s">
        <v>1947</v>
      </c>
      <c r="Q52" s="264" t="s">
        <v>1947</v>
      </c>
      <c r="R52" s="264" t="s">
        <v>2015</v>
      </c>
      <c r="S52" s="264" t="s">
        <v>2089</v>
      </c>
      <c r="T52" s="264" t="s">
        <v>1962</v>
      </c>
      <c r="U52" s="264" t="s">
        <v>1831</v>
      </c>
      <c r="V52" s="264" t="s">
        <v>1843</v>
      </c>
      <c r="W52" s="264" t="s">
        <v>2004</v>
      </c>
      <c r="X52" s="264" t="s">
        <v>2119</v>
      </c>
      <c r="Y52" s="264" t="s">
        <v>1905</v>
      </c>
      <c r="Z52" s="265" t="s">
        <v>1955</v>
      </c>
      <c r="AA52" s="265" t="s">
        <v>1863</v>
      </c>
      <c r="AB52" s="265" t="s">
        <v>2059</v>
      </c>
      <c r="AC52" s="265" t="s">
        <v>2068</v>
      </c>
      <c r="AD52" s="265" t="s">
        <v>1951</v>
      </c>
      <c r="AE52" s="265" t="s">
        <v>1969</v>
      </c>
      <c r="AF52" s="265" t="s">
        <v>2059</v>
      </c>
      <c r="AG52" s="265" t="s">
        <v>1905</v>
      </c>
      <c r="AH52" s="265" t="s">
        <v>2216</v>
      </c>
      <c r="AI52" s="265" t="s">
        <v>1951</v>
      </c>
    </row>
    <row r="53" spans="1:35" x14ac:dyDescent="0.25">
      <c r="A53" s="264" t="str">
        <f>HLOOKUP(Overview!$P$8,$B$1:$AI$1500,53,FALSE)</f>
        <v xml:space="preserve">          10001437</v>
      </c>
      <c r="B53" s="252"/>
      <c r="C53" s="183">
        <v>20028239</v>
      </c>
      <c r="D53" s="288" t="s">
        <v>1835</v>
      </c>
      <c r="E53" s="252" t="s">
        <v>3615</v>
      </c>
      <c r="F53" s="252" t="s">
        <v>1879</v>
      </c>
      <c r="G53" s="252" t="s">
        <v>1879</v>
      </c>
      <c r="I53" s="252" t="s">
        <v>2218</v>
      </c>
      <c r="J53" s="252" t="s">
        <v>1879</v>
      </c>
      <c r="K53" s="252" t="s">
        <v>1899</v>
      </c>
      <c r="L53" s="252" t="s">
        <v>1825</v>
      </c>
      <c r="M53" s="252" t="s">
        <v>1825</v>
      </c>
      <c r="N53" s="252" t="s">
        <v>1912</v>
      </c>
      <c r="O53" s="252" t="s">
        <v>2165</v>
      </c>
      <c r="P53" s="252" t="s">
        <v>2216</v>
      </c>
      <c r="Q53" s="252" t="s">
        <v>2216</v>
      </c>
      <c r="R53" s="252" t="s">
        <v>1912</v>
      </c>
      <c r="S53" s="252" t="s">
        <v>2125</v>
      </c>
      <c r="T53" s="252" t="s">
        <v>1831</v>
      </c>
      <c r="U53" s="252" t="s">
        <v>1855</v>
      </c>
      <c r="V53" s="252" t="s">
        <v>3616</v>
      </c>
      <c r="W53" s="252" t="s">
        <v>1813</v>
      </c>
      <c r="X53" s="252" t="s">
        <v>2015</v>
      </c>
      <c r="Y53" s="252" t="s">
        <v>1850</v>
      </c>
      <c r="Z53" s="266" t="s">
        <v>1825</v>
      </c>
      <c r="AA53" s="266" t="s">
        <v>1879</v>
      </c>
      <c r="AB53" s="266" t="s">
        <v>1951</v>
      </c>
      <c r="AC53" s="266" t="s">
        <v>1989</v>
      </c>
      <c r="AD53" s="266" t="s">
        <v>1947</v>
      </c>
      <c r="AE53" s="266" t="s">
        <v>1863</v>
      </c>
      <c r="AF53" s="266" t="s">
        <v>1951</v>
      </c>
      <c r="AG53" s="266" t="s">
        <v>1850</v>
      </c>
      <c r="AH53" s="266" t="s">
        <v>2218</v>
      </c>
      <c r="AI53" s="266" t="s">
        <v>1947</v>
      </c>
    </row>
    <row r="54" spans="1:35" x14ac:dyDescent="0.25">
      <c r="A54" s="264" t="str">
        <f>HLOOKUP(Overview!$P$8,$B$1:$AI$1500,54,FALSE)</f>
        <v xml:space="preserve">          10001438</v>
      </c>
      <c r="B54" s="252"/>
      <c r="C54" s="183">
        <v>20000644</v>
      </c>
      <c r="D54" s="287" t="s">
        <v>1910</v>
      </c>
      <c r="E54" s="264" t="s">
        <v>4202</v>
      </c>
      <c r="F54" s="264" t="s">
        <v>1888</v>
      </c>
      <c r="G54" s="264" t="s">
        <v>1888</v>
      </c>
      <c r="I54" s="264" t="s">
        <v>2119</v>
      </c>
      <c r="J54" s="264" t="s">
        <v>1888</v>
      </c>
      <c r="K54" s="264" t="s">
        <v>2087</v>
      </c>
      <c r="L54" s="264" t="s">
        <v>1867</v>
      </c>
      <c r="M54" s="264" t="s">
        <v>1867</v>
      </c>
      <c r="N54" s="264" t="s">
        <v>1955</v>
      </c>
      <c r="O54" s="264" t="s">
        <v>1837</v>
      </c>
      <c r="P54" s="264" t="s">
        <v>2119</v>
      </c>
      <c r="Q54" s="264" t="s">
        <v>2119</v>
      </c>
      <c r="R54" s="264" t="s">
        <v>1955</v>
      </c>
      <c r="S54" s="264" t="s">
        <v>2066</v>
      </c>
      <c r="T54" s="264" t="s">
        <v>1855</v>
      </c>
      <c r="U54" s="264" t="s">
        <v>1865</v>
      </c>
      <c r="V54" s="264" t="s">
        <v>1962</v>
      </c>
      <c r="W54" s="264" t="s">
        <v>3565</v>
      </c>
      <c r="X54" s="264" t="s">
        <v>1912</v>
      </c>
      <c r="Y54" s="264" t="s">
        <v>1881</v>
      </c>
      <c r="Z54" s="265" t="s">
        <v>1867</v>
      </c>
      <c r="AA54" s="265" t="s">
        <v>1888</v>
      </c>
      <c r="AB54" s="265" t="s">
        <v>2304</v>
      </c>
      <c r="AC54" s="265" t="s">
        <v>1871</v>
      </c>
      <c r="AD54" s="265" t="s">
        <v>2119</v>
      </c>
      <c r="AE54" s="265" t="s">
        <v>1879</v>
      </c>
      <c r="AF54" s="265" t="s">
        <v>1947</v>
      </c>
      <c r="AG54" s="265" t="s">
        <v>1881</v>
      </c>
      <c r="AH54" s="265" t="s">
        <v>2119</v>
      </c>
      <c r="AI54" s="265" t="s">
        <v>2216</v>
      </c>
    </row>
    <row r="55" spans="1:35" x14ac:dyDescent="0.25">
      <c r="A55" s="264" t="str">
        <f>HLOOKUP(Overview!$P$8,$B$1:$AI$1500,55,FALSE)</f>
        <v xml:space="preserve">          10001440</v>
      </c>
      <c r="B55" s="252"/>
      <c r="C55" s="183">
        <v>20000643</v>
      </c>
      <c r="D55" s="288" t="s">
        <v>4218</v>
      </c>
      <c r="E55" s="252" t="s">
        <v>4172</v>
      </c>
      <c r="F55" s="252" t="s">
        <v>2092</v>
      </c>
      <c r="G55" s="252" t="s">
        <v>2092</v>
      </c>
      <c r="I55" s="252" t="s">
        <v>2015</v>
      </c>
      <c r="J55" s="252" t="s">
        <v>2092</v>
      </c>
      <c r="K55" s="252" t="s">
        <v>2066</v>
      </c>
      <c r="L55" s="252" t="s">
        <v>1837</v>
      </c>
      <c r="M55" s="252" t="s">
        <v>2165</v>
      </c>
      <c r="N55" s="252" t="s">
        <v>1867</v>
      </c>
      <c r="O55" s="252" t="s">
        <v>1843</v>
      </c>
      <c r="P55" s="252" t="s">
        <v>2015</v>
      </c>
      <c r="Q55" s="252" t="s">
        <v>2015</v>
      </c>
      <c r="R55" s="252" t="s">
        <v>1825</v>
      </c>
      <c r="S55" s="252" t="s">
        <v>2132</v>
      </c>
      <c r="T55" s="252" t="s">
        <v>4211</v>
      </c>
      <c r="U55" s="252" t="s">
        <v>1882</v>
      </c>
      <c r="V55" s="252" t="s">
        <v>1965</v>
      </c>
      <c r="W55" s="252" t="s">
        <v>1905</v>
      </c>
      <c r="X55" s="252" t="s">
        <v>1955</v>
      </c>
      <c r="Y55" s="252" t="s">
        <v>1969</v>
      </c>
      <c r="Z55" s="266" t="s">
        <v>1837</v>
      </c>
      <c r="AA55" s="266" t="s">
        <v>2092</v>
      </c>
      <c r="AB55" s="266" t="s">
        <v>1947</v>
      </c>
      <c r="AC55" s="266" t="s">
        <v>3617</v>
      </c>
      <c r="AD55" s="266" t="s">
        <v>2015</v>
      </c>
      <c r="AE55" s="266" t="s">
        <v>1888</v>
      </c>
      <c r="AF55" s="266" t="s">
        <v>2216</v>
      </c>
      <c r="AG55" s="266" t="s">
        <v>4206</v>
      </c>
      <c r="AH55" s="266" t="s">
        <v>2015</v>
      </c>
      <c r="AI55" s="266" t="s">
        <v>2119</v>
      </c>
    </row>
    <row r="56" spans="1:35" x14ac:dyDescent="0.25">
      <c r="A56" s="264" t="str">
        <f>HLOOKUP(Overview!$P$8,$B$1:$AI$1500,56,FALSE)</f>
        <v xml:space="preserve">          10001453</v>
      </c>
      <c r="B56" s="252"/>
      <c r="C56" s="183">
        <v>20026703</v>
      </c>
      <c r="D56" s="287" t="s">
        <v>2148</v>
      </c>
      <c r="E56" s="264" t="s">
        <v>4198</v>
      </c>
      <c r="F56" s="264" t="s">
        <v>2059</v>
      </c>
      <c r="G56" s="264" t="s">
        <v>2059</v>
      </c>
      <c r="I56" s="264" t="s">
        <v>1912</v>
      </c>
      <c r="J56" s="264" t="s">
        <v>2059</v>
      </c>
      <c r="K56" s="264" t="s">
        <v>2068</v>
      </c>
      <c r="L56" s="264" t="s">
        <v>1843</v>
      </c>
      <c r="M56" s="264" t="s">
        <v>1837</v>
      </c>
      <c r="N56" s="264" t="s">
        <v>1837</v>
      </c>
      <c r="O56" s="264" t="s">
        <v>1827</v>
      </c>
      <c r="P56" s="264" t="s">
        <v>1912</v>
      </c>
      <c r="Q56" s="264" t="s">
        <v>1912</v>
      </c>
      <c r="R56" s="264" t="s">
        <v>1867</v>
      </c>
      <c r="S56" s="264" t="s">
        <v>2068</v>
      </c>
      <c r="T56" s="264" t="s">
        <v>1865</v>
      </c>
      <c r="U56" s="264" t="s">
        <v>1917</v>
      </c>
      <c r="V56" s="264" t="s">
        <v>1831</v>
      </c>
      <c r="W56" s="264" t="s">
        <v>1850</v>
      </c>
      <c r="X56" s="264" t="s">
        <v>1837</v>
      </c>
      <c r="Y56" s="264" t="s">
        <v>1863</v>
      </c>
      <c r="Z56" s="265" t="s">
        <v>1843</v>
      </c>
      <c r="AA56" s="265" t="s">
        <v>2059</v>
      </c>
      <c r="AB56" s="265" t="s">
        <v>2218</v>
      </c>
      <c r="AC56" s="265" t="s">
        <v>1835</v>
      </c>
      <c r="AD56" s="265" t="s">
        <v>1912</v>
      </c>
      <c r="AE56" s="265" t="s">
        <v>2092</v>
      </c>
      <c r="AF56" s="265" t="s">
        <v>2119</v>
      </c>
      <c r="AG56" s="265" t="s">
        <v>1969</v>
      </c>
      <c r="AH56" s="265" t="s">
        <v>1912</v>
      </c>
      <c r="AI56" s="265" t="s">
        <v>2015</v>
      </c>
    </row>
    <row r="57" spans="1:35" x14ac:dyDescent="0.25">
      <c r="A57" s="264" t="str">
        <f>HLOOKUP(Overview!$P$8,$B$1:$AI$1500,57,FALSE)</f>
        <v xml:space="preserve">          10001454</v>
      </c>
      <c r="B57" s="252"/>
      <c r="C57" s="183">
        <v>20028240</v>
      </c>
      <c r="D57" s="288" t="s">
        <v>1929</v>
      </c>
      <c r="E57" s="252" t="s">
        <v>1811</v>
      </c>
      <c r="F57" s="252" t="s">
        <v>1951</v>
      </c>
      <c r="G57" s="252" t="s">
        <v>1951</v>
      </c>
      <c r="I57" s="252" t="s">
        <v>1955</v>
      </c>
      <c r="J57" s="252" t="s">
        <v>1951</v>
      </c>
      <c r="K57" s="252" t="s">
        <v>1821</v>
      </c>
      <c r="L57" s="252" t="s">
        <v>3616</v>
      </c>
      <c r="M57" s="252" t="s">
        <v>1843</v>
      </c>
      <c r="N57" s="252" t="s">
        <v>1843</v>
      </c>
      <c r="O57" s="252" t="s">
        <v>1853</v>
      </c>
      <c r="P57" s="252" t="s">
        <v>4210</v>
      </c>
      <c r="Q57" s="252" t="s">
        <v>1955</v>
      </c>
      <c r="R57" s="252" t="s">
        <v>1837</v>
      </c>
      <c r="S57" s="252" t="s">
        <v>1821</v>
      </c>
      <c r="T57" s="252" t="s">
        <v>1882</v>
      </c>
      <c r="U57" s="252" t="s">
        <v>2089</v>
      </c>
      <c r="V57" s="252" t="s">
        <v>1855</v>
      </c>
      <c r="W57" s="252" t="s">
        <v>1881</v>
      </c>
      <c r="X57" s="252" t="s">
        <v>1843</v>
      </c>
      <c r="Y57" s="252" t="s">
        <v>1879</v>
      </c>
      <c r="Z57" s="266" t="s">
        <v>3616</v>
      </c>
      <c r="AA57" s="266" t="s">
        <v>1951</v>
      </c>
      <c r="AB57" s="266" t="s">
        <v>2119</v>
      </c>
      <c r="AC57" s="266" t="s">
        <v>1910</v>
      </c>
      <c r="AD57" s="266" t="s">
        <v>4210</v>
      </c>
      <c r="AE57" s="266" t="s">
        <v>2059</v>
      </c>
      <c r="AF57" s="266" t="s">
        <v>2015</v>
      </c>
      <c r="AG57" s="266" t="s">
        <v>1863</v>
      </c>
      <c r="AH57" s="266" t="s">
        <v>4210</v>
      </c>
      <c r="AI57" s="266" t="s">
        <v>1912</v>
      </c>
    </row>
    <row r="58" spans="1:35" x14ac:dyDescent="0.25">
      <c r="A58" s="264" t="str">
        <f>HLOOKUP(Overview!$P$8,$B$1:$AI$1500,58,FALSE)</f>
        <v xml:space="preserve">          10001455</v>
      </c>
      <c r="B58" s="252"/>
      <c r="C58" s="183">
        <v>20007583</v>
      </c>
      <c r="D58" s="287" t="s">
        <v>1877</v>
      </c>
      <c r="E58" s="264" t="s">
        <v>1819</v>
      </c>
      <c r="F58" s="264" t="s">
        <v>2304</v>
      </c>
      <c r="G58" s="264" t="s">
        <v>2304</v>
      </c>
      <c r="I58" s="264" t="s">
        <v>1867</v>
      </c>
      <c r="J58" s="264" t="s">
        <v>1947</v>
      </c>
      <c r="K58" s="264" t="s">
        <v>1857</v>
      </c>
      <c r="L58" s="264" t="s">
        <v>1827</v>
      </c>
      <c r="M58" s="264" t="s">
        <v>1827</v>
      </c>
      <c r="N58" s="264" t="s">
        <v>3616</v>
      </c>
      <c r="O58" s="264" t="s">
        <v>1962</v>
      </c>
      <c r="P58" s="264" t="s">
        <v>1955</v>
      </c>
      <c r="Q58" s="264" t="s">
        <v>1825</v>
      </c>
      <c r="R58" s="264" t="s">
        <v>1843</v>
      </c>
      <c r="S58" s="264" t="s">
        <v>1857</v>
      </c>
      <c r="T58" s="264" t="s">
        <v>1917</v>
      </c>
      <c r="U58" s="264" t="s">
        <v>1899</v>
      </c>
      <c r="V58" s="264" t="s">
        <v>4211</v>
      </c>
      <c r="W58" s="264" t="s">
        <v>1969</v>
      </c>
      <c r="X58" s="264" t="s">
        <v>1962</v>
      </c>
      <c r="Y58" s="264" t="s">
        <v>1888</v>
      </c>
      <c r="Z58" s="265" t="s">
        <v>1827</v>
      </c>
      <c r="AA58" s="265" t="s">
        <v>2304</v>
      </c>
      <c r="AB58" s="265" t="s">
        <v>2015</v>
      </c>
      <c r="AC58" s="265" t="s">
        <v>2148</v>
      </c>
      <c r="AD58" s="265" t="s">
        <v>1955</v>
      </c>
      <c r="AE58" s="265" t="s">
        <v>1951</v>
      </c>
      <c r="AF58" s="265" t="s">
        <v>1912</v>
      </c>
      <c r="AG58" s="265" t="s">
        <v>1879</v>
      </c>
      <c r="AH58" s="265" t="s">
        <v>1955</v>
      </c>
      <c r="AI58" s="265" t="s">
        <v>1955</v>
      </c>
    </row>
    <row r="59" spans="1:35" x14ac:dyDescent="0.25">
      <c r="A59" s="264" t="str">
        <f>HLOOKUP(Overview!$P$8,$B$1:$AI$1500,59,FALSE)</f>
        <v xml:space="preserve">          10001470</v>
      </c>
      <c r="B59" s="252"/>
      <c r="C59" s="183">
        <v>20000642</v>
      </c>
      <c r="D59" s="288" t="s">
        <v>4231</v>
      </c>
      <c r="E59" s="252" t="s">
        <v>1847</v>
      </c>
      <c r="F59" s="252" t="s">
        <v>1947</v>
      </c>
      <c r="G59" s="252" t="s">
        <v>1947</v>
      </c>
      <c r="I59" s="252" t="s">
        <v>1837</v>
      </c>
      <c r="J59" s="252" t="s">
        <v>2216</v>
      </c>
      <c r="K59" s="252" t="s">
        <v>1989</v>
      </c>
      <c r="L59" s="252" t="s">
        <v>1853</v>
      </c>
      <c r="M59" s="252" t="s">
        <v>1853</v>
      </c>
      <c r="N59" s="252" t="s">
        <v>1962</v>
      </c>
      <c r="O59" s="252" t="s">
        <v>1965</v>
      </c>
      <c r="P59" s="252" t="s">
        <v>1825</v>
      </c>
      <c r="Q59" s="252" t="s">
        <v>1867</v>
      </c>
      <c r="R59" s="252" t="s">
        <v>3616</v>
      </c>
      <c r="S59" s="252" t="s">
        <v>1989</v>
      </c>
      <c r="T59" s="252" t="s">
        <v>2089</v>
      </c>
      <c r="U59" s="252" t="s">
        <v>2027</v>
      </c>
      <c r="V59" s="252" t="s">
        <v>1865</v>
      </c>
      <c r="W59" s="252" t="s">
        <v>1863</v>
      </c>
      <c r="X59" s="252" t="s">
        <v>1965</v>
      </c>
      <c r="Y59" s="252" t="s">
        <v>2092</v>
      </c>
      <c r="Z59" s="266" t="s">
        <v>1853</v>
      </c>
      <c r="AA59" s="266" t="s">
        <v>1947</v>
      </c>
      <c r="AB59" s="266" t="s">
        <v>1912</v>
      </c>
      <c r="AC59" s="266" t="s">
        <v>1929</v>
      </c>
      <c r="AD59" s="266" t="s">
        <v>1825</v>
      </c>
      <c r="AE59" s="266" t="s">
        <v>1947</v>
      </c>
      <c r="AF59" s="266" t="s">
        <v>1955</v>
      </c>
      <c r="AG59" s="266" t="s">
        <v>1888</v>
      </c>
      <c r="AH59" s="266" t="s">
        <v>1867</v>
      </c>
      <c r="AI59" s="266" t="s">
        <v>1867</v>
      </c>
    </row>
    <row r="60" spans="1:35" x14ac:dyDescent="0.25">
      <c r="A60" s="264" t="str">
        <f>HLOOKUP(Overview!$P$8,$B$1:$AI$1500,60,FALSE)</f>
        <v xml:space="preserve">          10001471</v>
      </c>
      <c r="B60" s="252"/>
      <c r="C60" s="263">
        <v>20028241</v>
      </c>
      <c r="D60" s="287" t="s">
        <v>4222</v>
      </c>
      <c r="E60" s="264" t="s">
        <v>1904</v>
      </c>
      <c r="F60" s="264" t="s">
        <v>2216</v>
      </c>
      <c r="G60" s="264" t="s">
        <v>2216</v>
      </c>
      <c r="I60" s="264" t="s">
        <v>1843</v>
      </c>
      <c r="J60" s="264" t="s">
        <v>2119</v>
      </c>
      <c r="K60" s="264" t="s">
        <v>1949</v>
      </c>
      <c r="L60" s="264" t="s">
        <v>1962</v>
      </c>
      <c r="M60" s="264" t="s">
        <v>1962</v>
      </c>
      <c r="N60" s="264" t="s">
        <v>4207</v>
      </c>
      <c r="O60" s="264" t="s">
        <v>1831</v>
      </c>
      <c r="P60" s="264" t="s">
        <v>1867</v>
      </c>
      <c r="Q60" s="264" t="s">
        <v>1837</v>
      </c>
      <c r="R60" s="264" t="s">
        <v>1827</v>
      </c>
      <c r="S60" s="264" t="s">
        <v>1949</v>
      </c>
      <c r="T60" s="264" t="s">
        <v>1899</v>
      </c>
      <c r="U60" s="264" t="s">
        <v>2087</v>
      </c>
      <c r="V60" s="264" t="s">
        <v>1882</v>
      </c>
      <c r="W60" s="264" t="s">
        <v>1879</v>
      </c>
      <c r="X60" s="264" t="s">
        <v>1831</v>
      </c>
      <c r="Y60" s="264" t="s">
        <v>2059</v>
      </c>
      <c r="Z60" s="265" t="s">
        <v>1962</v>
      </c>
      <c r="AA60" s="265" t="s">
        <v>2216</v>
      </c>
      <c r="AB60" s="265" t="s">
        <v>1955</v>
      </c>
      <c r="AC60" s="265" t="s">
        <v>1877</v>
      </c>
      <c r="AD60" s="265" t="s">
        <v>1867</v>
      </c>
      <c r="AE60" s="265" t="s">
        <v>2216</v>
      </c>
      <c r="AF60" s="265" t="s">
        <v>1825</v>
      </c>
      <c r="AG60" s="265" t="s">
        <v>2092</v>
      </c>
      <c r="AH60" s="265" t="s">
        <v>1837</v>
      </c>
      <c r="AI60" s="265" t="s">
        <v>1837</v>
      </c>
    </row>
    <row r="61" spans="1:35" x14ac:dyDescent="0.25">
      <c r="A61" s="264" t="str">
        <f>HLOOKUP(Overview!$P$8,$B$1:$AI$1500,61,FALSE)</f>
        <v xml:space="preserve">          10001487</v>
      </c>
      <c r="B61" s="252"/>
      <c r="C61" s="183">
        <v>20025411</v>
      </c>
      <c r="D61" s="288" t="s">
        <v>1861</v>
      </c>
      <c r="E61" s="252" t="s">
        <v>1875</v>
      </c>
      <c r="F61" s="252" t="s">
        <v>2218</v>
      </c>
      <c r="G61" s="252" t="s">
        <v>2218</v>
      </c>
      <c r="I61" s="252" t="s">
        <v>3616</v>
      </c>
      <c r="J61" s="252" t="s">
        <v>2015</v>
      </c>
      <c r="K61" s="252" t="s">
        <v>1871</v>
      </c>
      <c r="L61" s="252" t="s">
        <v>4207</v>
      </c>
      <c r="M61" s="252" t="s">
        <v>1965</v>
      </c>
      <c r="N61" s="252" t="s">
        <v>1965</v>
      </c>
      <c r="O61" s="252" t="s">
        <v>1855</v>
      </c>
      <c r="P61" s="252" t="s">
        <v>1837</v>
      </c>
      <c r="Q61" s="252" t="s">
        <v>1843</v>
      </c>
      <c r="R61" s="252" t="s">
        <v>1853</v>
      </c>
      <c r="S61" s="252" t="s">
        <v>2009</v>
      </c>
      <c r="T61" s="252" t="s">
        <v>2125</v>
      </c>
      <c r="U61" s="252" t="s">
        <v>2125</v>
      </c>
      <c r="V61" s="252" t="s">
        <v>4212</v>
      </c>
      <c r="W61" s="252" t="s">
        <v>1888</v>
      </c>
      <c r="X61" s="252" t="s">
        <v>1855</v>
      </c>
      <c r="Y61" s="252" t="s">
        <v>1951</v>
      </c>
      <c r="Z61" s="266" t="s">
        <v>1965</v>
      </c>
      <c r="AA61" s="266" t="s">
        <v>2218</v>
      </c>
      <c r="AB61" s="266" t="s">
        <v>1825</v>
      </c>
      <c r="AC61" s="266" t="s">
        <v>1861</v>
      </c>
      <c r="AD61" s="266" t="s">
        <v>2165</v>
      </c>
      <c r="AE61" s="266" t="s">
        <v>2119</v>
      </c>
      <c r="AF61" s="266" t="s">
        <v>1837</v>
      </c>
      <c r="AG61" s="266" t="s">
        <v>2059</v>
      </c>
      <c r="AH61" s="266" t="s">
        <v>1843</v>
      </c>
      <c r="AI61" s="266" t="s">
        <v>1843</v>
      </c>
    </row>
    <row r="62" spans="1:35" x14ac:dyDescent="0.25">
      <c r="A62" s="264" t="str">
        <f>HLOOKUP(Overview!$P$8,$B$1:$AI$1500,62,FALSE)</f>
        <v xml:space="preserve">          10001488</v>
      </c>
      <c r="B62" s="252"/>
      <c r="C62" s="183">
        <v>10107491</v>
      </c>
      <c r="D62" s="287" t="s">
        <v>1973</v>
      </c>
      <c r="E62" s="264" t="s">
        <v>1901</v>
      </c>
      <c r="F62" s="264" t="s">
        <v>2119</v>
      </c>
      <c r="G62" s="264" t="s">
        <v>2119</v>
      </c>
      <c r="I62" s="264" t="s">
        <v>1962</v>
      </c>
      <c r="J62" s="264" t="s">
        <v>1912</v>
      </c>
      <c r="K62" s="264" t="s">
        <v>3617</v>
      </c>
      <c r="L62" s="264" t="s">
        <v>1965</v>
      </c>
      <c r="M62" s="264" t="s">
        <v>1831</v>
      </c>
      <c r="N62" s="264" t="s">
        <v>1831</v>
      </c>
      <c r="O62" s="264" t="s">
        <v>1865</v>
      </c>
      <c r="P62" s="264" t="s">
        <v>1843</v>
      </c>
      <c r="Q62" s="264" t="s">
        <v>3616</v>
      </c>
      <c r="R62" s="264" t="s">
        <v>1962</v>
      </c>
      <c r="S62" s="264" t="s">
        <v>1871</v>
      </c>
      <c r="T62" s="264" t="s">
        <v>2066</v>
      </c>
      <c r="U62" s="264" t="s">
        <v>2066</v>
      </c>
      <c r="V62" s="264" t="s">
        <v>1917</v>
      </c>
      <c r="W62" s="264" t="s">
        <v>2092</v>
      </c>
      <c r="X62" s="264" t="s">
        <v>1865</v>
      </c>
      <c r="Y62" s="264" t="s">
        <v>2304</v>
      </c>
      <c r="Z62" s="265" t="s">
        <v>1831</v>
      </c>
      <c r="AA62" s="265" t="s">
        <v>2119</v>
      </c>
      <c r="AB62" s="265" t="s">
        <v>1867</v>
      </c>
      <c r="AC62" s="265" t="s">
        <v>1973</v>
      </c>
      <c r="AD62" s="265" t="s">
        <v>1837</v>
      </c>
      <c r="AE62" s="265" t="s">
        <v>2015</v>
      </c>
      <c r="AF62" s="265" t="s">
        <v>1843</v>
      </c>
      <c r="AG62" s="265" t="s">
        <v>1951</v>
      </c>
      <c r="AH62" s="265" t="s">
        <v>3616</v>
      </c>
      <c r="AI62" s="265" t="s">
        <v>1962</v>
      </c>
    </row>
    <row r="63" spans="1:35" x14ac:dyDescent="0.25">
      <c r="A63" s="264" t="str">
        <f>HLOOKUP(Overview!$P$8,$B$1:$AI$1500,63,FALSE)</f>
        <v xml:space="preserve">          10001595</v>
      </c>
      <c r="B63" s="252"/>
      <c r="C63" s="183">
        <v>10107490</v>
      </c>
      <c r="D63" s="288" t="s">
        <v>2018</v>
      </c>
      <c r="E63" s="252" t="s">
        <v>1994</v>
      </c>
      <c r="F63" s="252" t="s">
        <v>2015</v>
      </c>
      <c r="G63" s="252" t="s">
        <v>2015</v>
      </c>
      <c r="I63" s="252" t="s">
        <v>1965</v>
      </c>
      <c r="J63" s="252" t="s">
        <v>1955</v>
      </c>
      <c r="K63" s="252" t="s">
        <v>1892</v>
      </c>
      <c r="L63" s="252" t="s">
        <v>1831</v>
      </c>
      <c r="M63" s="252" t="s">
        <v>1855</v>
      </c>
      <c r="N63" s="252" t="s">
        <v>1855</v>
      </c>
      <c r="O63" s="252" t="s">
        <v>1882</v>
      </c>
      <c r="P63" s="252" t="s">
        <v>1827</v>
      </c>
      <c r="Q63" s="252" t="s">
        <v>1827</v>
      </c>
      <c r="R63" s="252" t="s">
        <v>1965</v>
      </c>
      <c r="S63" s="252" t="s">
        <v>3617</v>
      </c>
      <c r="T63" s="252" t="s">
        <v>2132</v>
      </c>
      <c r="U63" s="252" t="s">
        <v>2132</v>
      </c>
      <c r="V63" s="252" t="s">
        <v>4213</v>
      </c>
      <c r="W63" s="252" t="s">
        <v>2059</v>
      </c>
      <c r="X63" s="252" t="s">
        <v>1882</v>
      </c>
      <c r="Y63" s="252" t="s">
        <v>1947</v>
      </c>
      <c r="Z63" s="266" t="s">
        <v>1855</v>
      </c>
      <c r="AA63" s="266" t="s">
        <v>2015</v>
      </c>
      <c r="AB63" s="266" t="s">
        <v>1837</v>
      </c>
      <c r="AC63" s="266" t="s">
        <v>3573</v>
      </c>
      <c r="AD63" s="266" t="s">
        <v>1843</v>
      </c>
      <c r="AE63" s="266" t="s">
        <v>1912</v>
      </c>
      <c r="AF63" s="266" t="s">
        <v>1962</v>
      </c>
      <c r="AG63" s="266" t="s">
        <v>2304</v>
      </c>
      <c r="AH63" s="266" t="s">
        <v>1962</v>
      </c>
      <c r="AI63" s="266" t="s">
        <v>1965</v>
      </c>
    </row>
    <row r="64" spans="1:35" x14ac:dyDescent="0.25">
      <c r="A64" s="264" t="str">
        <f>HLOOKUP(Overview!$P$8,$B$1:$AI$1500,64,FALSE)</f>
        <v xml:space="preserve">          10001596</v>
      </c>
      <c r="B64" s="252"/>
      <c r="C64" s="183">
        <v>10107538</v>
      </c>
      <c r="D64" s="287" t="s">
        <v>2155</v>
      </c>
      <c r="E64" s="264" t="s">
        <v>1807</v>
      </c>
      <c r="F64" s="264" t="s">
        <v>1912</v>
      </c>
      <c r="G64" s="264" t="s">
        <v>1912</v>
      </c>
      <c r="I64" s="264" t="s">
        <v>1831</v>
      </c>
      <c r="J64" s="264" t="s">
        <v>1825</v>
      </c>
      <c r="K64" s="264" t="s">
        <v>1835</v>
      </c>
      <c r="L64" s="264" t="s">
        <v>1855</v>
      </c>
      <c r="M64" s="264" t="s">
        <v>1865</v>
      </c>
      <c r="N64" s="264" t="s">
        <v>4214</v>
      </c>
      <c r="O64" s="264" t="s">
        <v>1917</v>
      </c>
      <c r="P64" s="264" t="s">
        <v>1853</v>
      </c>
      <c r="Q64" s="264" t="s">
        <v>1853</v>
      </c>
      <c r="R64" s="264" t="s">
        <v>1831</v>
      </c>
      <c r="S64" s="264" t="s">
        <v>1892</v>
      </c>
      <c r="T64" s="264" t="s">
        <v>2068</v>
      </c>
      <c r="U64" s="264" t="s">
        <v>2068</v>
      </c>
      <c r="V64" s="264" t="s">
        <v>2089</v>
      </c>
      <c r="W64" s="264" t="s">
        <v>1951</v>
      </c>
      <c r="X64" s="264" t="s">
        <v>1917</v>
      </c>
      <c r="Y64" s="264" t="s">
        <v>2216</v>
      </c>
      <c r="Z64" s="265" t="s">
        <v>1865</v>
      </c>
      <c r="AA64" s="265" t="s">
        <v>1912</v>
      </c>
      <c r="AB64" s="265" t="s">
        <v>1843</v>
      </c>
      <c r="AC64" s="265" t="s">
        <v>1884</v>
      </c>
      <c r="AD64" s="265" t="s">
        <v>3616</v>
      </c>
      <c r="AE64" s="265" t="s">
        <v>1955</v>
      </c>
      <c r="AF64" s="265" t="s">
        <v>1965</v>
      </c>
      <c r="AG64" s="265" t="s">
        <v>1947</v>
      </c>
      <c r="AH64" s="265" t="s">
        <v>1965</v>
      </c>
      <c r="AI64" s="265" t="s">
        <v>1831</v>
      </c>
    </row>
    <row r="65" spans="1:35" x14ac:dyDescent="0.25">
      <c r="A65" s="264" t="str">
        <f>HLOOKUP(Overview!$P$8,$B$1:$AI$1500,65,FALSE)</f>
        <v xml:space="preserve">          10001712</v>
      </c>
      <c r="B65" s="252"/>
      <c r="C65" s="183">
        <v>10010929</v>
      </c>
      <c r="D65" s="288" t="s">
        <v>2024</v>
      </c>
      <c r="E65" s="252" t="s">
        <v>1859</v>
      </c>
      <c r="F65" s="252" t="s">
        <v>1955</v>
      </c>
      <c r="G65" s="252" t="s">
        <v>1955</v>
      </c>
      <c r="I65" s="252" t="s">
        <v>1855</v>
      </c>
      <c r="J65" s="252" t="s">
        <v>1867</v>
      </c>
      <c r="K65" s="252" t="s">
        <v>1910</v>
      </c>
      <c r="L65" s="252" t="s">
        <v>4214</v>
      </c>
      <c r="M65" s="252" t="s">
        <v>1882</v>
      </c>
      <c r="N65" s="252" t="s">
        <v>4211</v>
      </c>
      <c r="O65" s="252" t="s">
        <v>2089</v>
      </c>
      <c r="P65" s="252" t="s">
        <v>1962</v>
      </c>
      <c r="Q65" s="252" t="s">
        <v>1962</v>
      </c>
      <c r="R65" s="252" t="s">
        <v>1855</v>
      </c>
      <c r="S65" s="252" t="s">
        <v>1835</v>
      </c>
      <c r="T65" s="252" t="s">
        <v>1821</v>
      </c>
      <c r="U65" s="252" t="s">
        <v>4215</v>
      </c>
      <c r="V65" s="252" t="s">
        <v>2087</v>
      </c>
      <c r="W65" s="252" t="s">
        <v>1947</v>
      </c>
      <c r="X65" s="252" t="s">
        <v>2089</v>
      </c>
      <c r="Y65" s="252" t="s">
        <v>2218</v>
      </c>
      <c r="Z65" s="266" t="s">
        <v>1882</v>
      </c>
      <c r="AA65" s="266" t="s">
        <v>1955</v>
      </c>
      <c r="AB65" s="266" t="s">
        <v>3616</v>
      </c>
      <c r="AC65" s="266" t="s">
        <v>1981</v>
      </c>
      <c r="AD65" s="266" t="s">
        <v>1827</v>
      </c>
      <c r="AE65" s="266" t="s">
        <v>1825</v>
      </c>
      <c r="AF65" s="266" t="s">
        <v>1831</v>
      </c>
      <c r="AG65" s="266" t="s">
        <v>2216</v>
      </c>
      <c r="AH65" s="266" t="s">
        <v>1831</v>
      </c>
      <c r="AI65" s="266" t="s">
        <v>1855</v>
      </c>
    </row>
    <row r="66" spans="1:35" x14ac:dyDescent="0.25">
      <c r="A66" s="264" t="str">
        <f>HLOOKUP(Overview!$P$8,$B$1:$AI$1500,66,FALSE)</f>
        <v xml:space="preserve">          10001713</v>
      </c>
      <c r="B66" s="252"/>
      <c r="C66" s="263">
        <v>20028338</v>
      </c>
      <c r="D66" s="287" t="s">
        <v>2080</v>
      </c>
      <c r="E66" s="264" t="s">
        <v>4203</v>
      </c>
      <c r="F66" s="264" t="s">
        <v>1825</v>
      </c>
      <c r="G66" s="264" t="s">
        <v>1825</v>
      </c>
      <c r="I66" s="264" t="s">
        <v>1865</v>
      </c>
      <c r="J66" s="264" t="s">
        <v>2165</v>
      </c>
      <c r="K66" s="264" t="s">
        <v>1929</v>
      </c>
      <c r="L66" s="264" t="s">
        <v>4211</v>
      </c>
      <c r="M66" s="264" t="s">
        <v>1917</v>
      </c>
      <c r="N66" s="264" t="s">
        <v>1865</v>
      </c>
      <c r="O66" s="264" t="s">
        <v>1899</v>
      </c>
      <c r="P66" s="264" t="s">
        <v>4207</v>
      </c>
      <c r="Q66" s="264" t="s">
        <v>1965</v>
      </c>
      <c r="R66" s="264" t="s">
        <v>4211</v>
      </c>
      <c r="S66" s="264" t="s">
        <v>1910</v>
      </c>
      <c r="T66" s="264" t="s">
        <v>1857</v>
      </c>
      <c r="U66" s="264" t="s">
        <v>1821</v>
      </c>
      <c r="V66" s="264" t="s">
        <v>2125</v>
      </c>
      <c r="W66" s="264" t="s">
        <v>2216</v>
      </c>
      <c r="X66" s="264" t="s">
        <v>2087</v>
      </c>
      <c r="Y66" s="264" t="s">
        <v>2119</v>
      </c>
      <c r="Z66" s="265" t="s">
        <v>1917</v>
      </c>
      <c r="AA66" s="265" t="s">
        <v>1825</v>
      </c>
      <c r="AB66" s="265" t="s">
        <v>1827</v>
      </c>
      <c r="AC66" s="265" t="s">
        <v>2002</v>
      </c>
      <c r="AD66" s="265" t="s">
        <v>1853</v>
      </c>
      <c r="AE66" s="265" t="s">
        <v>1867</v>
      </c>
      <c r="AF66" s="265" t="s">
        <v>1855</v>
      </c>
      <c r="AG66" s="265" t="s">
        <v>2218</v>
      </c>
      <c r="AH66" s="265" t="s">
        <v>1855</v>
      </c>
      <c r="AI66" s="265" t="s">
        <v>1865</v>
      </c>
    </row>
    <row r="67" spans="1:35" x14ac:dyDescent="0.25">
      <c r="A67" s="264" t="str">
        <f>HLOOKUP(Overview!$P$8,$B$1:$AI$1500,67,FALSE)</f>
        <v xml:space="preserve">          10002245</v>
      </c>
      <c r="B67" s="252"/>
      <c r="C67" s="183">
        <v>10107462</v>
      </c>
      <c r="D67" s="288" t="s">
        <v>4238</v>
      </c>
      <c r="E67" s="252" t="s">
        <v>4174</v>
      </c>
      <c r="F67" s="252" t="s">
        <v>1867</v>
      </c>
      <c r="G67" s="252" t="s">
        <v>1867</v>
      </c>
      <c r="I67" s="252" t="s">
        <v>1882</v>
      </c>
      <c r="J67" s="252" t="s">
        <v>1837</v>
      </c>
      <c r="K67" s="252" t="s">
        <v>1877</v>
      </c>
      <c r="L67" s="252" t="s">
        <v>1865</v>
      </c>
      <c r="M67" s="252" t="s">
        <v>2089</v>
      </c>
      <c r="N67" s="252" t="s">
        <v>1882</v>
      </c>
      <c r="O67" s="252" t="s">
        <v>2027</v>
      </c>
      <c r="P67" s="252" t="s">
        <v>1965</v>
      </c>
      <c r="Q67" s="252" t="s">
        <v>1831</v>
      </c>
      <c r="R67" s="252" t="s">
        <v>1865</v>
      </c>
      <c r="S67" s="252" t="s">
        <v>1929</v>
      </c>
      <c r="T67" s="252" t="s">
        <v>1989</v>
      </c>
      <c r="U67" s="252" t="s">
        <v>1857</v>
      </c>
      <c r="V67" s="252" t="s">
        <v>2066</v>
      </c>
      <c r="W67" s="252" t="s">
        <v>2218</v>
      </c>
      <c r="X67" s="252" t="s">
        <v>2125</v>
      </c>
      <c r="Y67" s="252" t="s">
        <v>2015</v>
      </c>
      <c r="Z67" s="266" t="s">
        <v>2089</v>
      </c>
      <c r="AA67" s="266" t="s">
        <v>1867</v>
      </c>
      <c r="AB67" s="266" t="s">
        <v>1853</v>
      </c>
      <c r="AC67" s="266" t="s">
        <v>2035</v>
      </c>
      <c r="AD67" s="266" t="s">
        <v>1962</v>
      </c>
      <c r="AE67" s="266" t="s">
        <v>2165</v>
      </c>
      <c r="AF67" s="266" t="s">
        <v>1865</v>
      </c>
      <c r="AG67" s="266" t="s">
        <v>2119</v>
      </c>
      <c r="AH67" s="266" t="s">
        <v>1865</v>
      </c>
      <c r="AI67" s="266" t="s">
        <v>1882</v>
      </c>
    </row>
    <row r="68" spans="1:35" x14ac:dyDescent="0.25">
      <c r="A68" s="264" t="str">
        <f>HLOOKUP(Overview!$P$8,$B$1:$AI$1500,68,FALSE)</f>
        <v xml:space="preserve">          10105906</v>
      </c>
      <c r="B68" s="252"/>
      <c r="C68" s="183">
        <v>10107461</v>
      </c>
      <c r="D68" s="287" t="s">
        <v>2029</v>
      </c>
      <c r="E68" s="264" t="s">
        <v>4176</v>
      </c>
      <c r="F68" s="264" t="s">
        <v>2165</v>
      </c>
      <c r="G68" s="264" t="s">
        <v>2165</v>
      </c>
      <c r="I68" s="264" t="s">
        <v>1917</v>
      </c>
      <c r="J68" s="264" t="s">
        <v>1843</v>
      </c>
      <c r="K68" s="264" t="s">
        <v>1861</v>
      </c>
      <c r="L68" s="264" t="s">
        <v>1882</v>
      </c>
      <c r="M68" s="264" t="s">
        <v>1899</v>
      </c>
      <c r="N68" s="264" t="s">
        <v>4212</v>
      </c>
      <c r="O68" s="264" t="s">
        <v>2087</v>
      </c>
      <c r="P68" s="264" t="s">
        <v>1831</v>
      </c>
      <c r="Q68" s="264" t="s">
        <v>1855</v>
      </c>
      <c r="R68" s="264" t="s">
        <v>1882</v>
      </c>
      <c r="S68" s="264" t="s">
        <v>1877</v>
      </c>
      <c r="T68" s="264" t="s">
        <v>1949</v>
      </c>
      <c r="U68" s="264" t="s">
        <v>1989</v>
      </c>
      <c r="V68" s="264" t="s">
        <v>2132</v>
      </c>
      <c r="W68" s="264" t="s">
        <v>2119</v>
      </c>
      <c r="X68" s="264" t="s">
        <v>2066</v>
      </c>
      <c r="Y68" s="264" t="s">
        <v>1912</v>
      </c>
      <c r="Z68" s="265" t="s">
        <v>1899</v>
      </c>
      <c r="AA68" s="265" t="s">
        <v>1837</v>
      </c>
      <c r="AB68" s="265" t="s">
        <v>1962</v>
      </c>
      <c r="AC68" s="265" t="s">
        <v>2113</v>
      </c>
      <c r="AD68" s="265" t="s">
        <v>1965</v>
      </c>
      <c r="AE68" s="265" t="s">
        <v>1837</v>
      </c>
      <c r="AF68" s="265" t="s">
        <v>1882</v>
      </c>
      <c r="AG68" s="265" t="s">
        <v>2015</v>
      </c>
      <c r="AH68" s="265" t="s">
        <v>1882</v>
      </c>
      <c r="AI68" s="265" t="s">
        <v>1917</v>
      </c>
    </row>
    <row r="69" spans="1:35" x14ac:dyDescent="0.25">
      <c r="A69" s="264" t="str">
        <f>HLOOKUP(Overview!$P$8,$B$1:$AI$1500,69,FALSE)</f>
        <v xml:space="preserve">          10105907</v>
      </c>
      <c r="B69" s="252"/>
      <c r="C69" s="183">
        <v>10107564</v>
      </c>
      <c r="D69" s="288" t="s">
        <v>3664</v>
      </c>
      <c r="E69" s="252" t="s">
        <v>1895</v>
      </c>
      <c r="F69" s="252" t="s">
        <v>1837</v>
      </c>
      <c r="G69" s="252" t="s">
        <v>1837</v>
      </c>
      <c r="I69" s="252" t="s">
        <v>2089</v>
      </c>
      <c r="J69" s="252" t="s">
        <v>1827</v>
      </c>
      <c r="K69" s="252" t="s">
        <v>1973</v>
      </c>
      <c r="L69" s="252" t="s">
        <v>4212</v>
      </c>
      <c r="M69" s="252" t="s">
        <v>2027</v>
      </c>
      <c r="N69" s="252" t="s">
        <v>1917</v>
      </c>
      <c r="O69" s="252" t="s">
        <v>2125</v>
      </c>
      <c r="P69" s="252" t="s">
        <v>1855</v>
      </c>
      <c r="Q69" s="252" t="s">
        <v>4214</v>
      </c>
      <c r="R69" s="252" t="s">
        <v>4212</v>
      </c>
      <c r="S69" s="252" t="s">
        <v>1861</v>
      </c>
      <c r="T69" s="252" t="s">
        <v>2009</v>
      </c>
      <c r="U69" s="252" t="s">
        <v>1949</v>
      </c>
      <c r="V69" s="252" t="s">
        <v>2068</v>
      </c>
      <c r="W69" s="252" t="s">
        <v>2015</v>
      </c>
      <c r="X69" s="252" t="s">
        <v>2132</v>
      </c>
      <c r="Y69" s="252" t="s">
        <v>1955</v>
      </c>
      <c r="Z69" s="266" t="s">
        <v>2027</v>
      </c>
      <c r="AA69" s="266" t="s">
        <v>1843</v>
      </c>
      <c r="AB69" s="266" t="s">
        <v>1965</v>
      </c>
      <c r="AC69" s="266" t="s">
        <v>1967</v>
      </c>
      <c r="AD69" s="266" t="s">
        <v>1831</v>
      </c>
      <c r="AE69" s="266" t="s">
        <v>1843</v>
      </c>
      <c r="AF69" s="266" t="s">
        <v>1917</v>
      </c>
      <c r="AG69" s="266" t="s">
        <v>1912</v>
      </c>
      <c r="AH69" s="266" t="s">
        <v>4212</v>
      </c>
      <c r="AI69" s="266" t="s">
        <v>2089</v>
      </c>
    </row>
    <row r="70" spans="1:35" x14ac:dyDescent="0.25">
      <c r="A70" s="264" t="str">
        <f>HLOOKUP(Overview!$P$8,$B$1:$AI$1500,70,FALSE)</f>
        <v xml:space="preserve">          10120686</v>
      </c>
      <c r="B70" s="252"/>
      <c r="C70" s="183">
        <v>10123488</v>
      </c>
      <c r="D70" s="287" t="s">
        <v>3675</v>
      </c>
      <c r="E70" s="264" t="s">
        <v>1886</v>
      </c>
      <c r="F70" s="264" t="s">
        <v>1843</v>
      </c>
      <c r="G70" s="264" t="s">
        <v>1843</v>
      </c>
      <c r="I70" s="264" t="s">
        <v>2198</v>
      </c>
      <c r="J70" s="264" t="s">
        <v>1853</v>
      </c>
      <c r="K70" s="264" t="s">
        <v>1884</v>
      </c>
      <c r="L70" s="264" t="s">
        <v>1917</v>
      </c>
      <c r="M70" s="264" t="s">
        <v>2087</v>
      </c>
      <c r="N70" s="264" t="s">
        <v>4213</v>
      </c>
      <c r="O70" s="264" t="s">
        <v>2066</v>
      </c>
      <c r="P70" s="264" t="s">
        <v>4214</v>
      </c>
      <c r="Q70" s="264" t="s">
        <v>4211</v>
      </c>
      <c r="R70" s="264" t="s">
        <v>1917</v>
      </c>
      <c r="S70" s="264" t="s">
        <v>1973</v>
      </c>
      <c r="T70" s="264" t="s">
        <v>1839</v>
      </c>
      <c r="U70" s="264" t="s">
        <v>1839</v>
      </c>
      <c r="V70" s="264" t="s">
        <v>4216</v>
      </c>
      <c r="W70" s="264" t="s">
        <v>1912</v>
      </c>
      <c r="X70" s="264" t="s">
        <v>2068</v>
      </c>
      <c r="Y70" s="264" t="s">
        <v>1825</v>
      </c>
      <c r="Z70" s="265" t="s">
        <v>2198</v>
      </c>
      <c r="AA70" s="265" t="s">
        <v>3616</v>
      </c>
      <c r="AB70" s="265" t="s">
        <v>1831</v>
      </c>
      <c r="AC70" s="265" t="s">
        <v>1945</v>
      </c>
      <c r="AD70" s="265" t="s">
        <v>1855</v>
      </c>
      <c r="AE70" s="265" t="s">
        <v>1827</v>
      </c>
      <c r="AF70" s="265" t="s">
        <v>2089</v>
      </c>
      <c r="AG70" s="265" t="s">
        <v>4210</v>
      </c>
      <c r="AH70" s="265" t="s">
        <v>1917</v>
      </c>
      <c r="AI70" s="265" t="s">
        <v>2198</v>
      </c>
    </row>
    <row r="71" spans="1:35" x14ac:dyDescent="0.25">
      <c r="A71" s="264" t="str">
        <f>HLOOKUP(Overview!$P$8,$B$1:$AI$1500,71,FALSE)</f>
        <v xml:space="preserve">          10126466</v>
      </c>
      <c r="B71" s="252"/>
      <c r="C71" s="183">
        <v>10000257</v>
      </c>
      <c r="D71" s="288" t="s">
        <v>4468</v>
      </c>
      <c r="E71" s="252" t="s">
        <v>3563</v>
      </c>
      <c r="F71" s="252" t="s">
        <v>3616</v>
      </c>
      <c r="G71" s="252" t="s">
        <v>3616</v>
      </c>
      <c r="I71" s="252" t="s">
        <v>2087</v>
      </c>
      <c r="J71" s="252" t="s">
        <v>1962</v>
      </c>
      <c r="K71" s="252" t="s">
        <v>1936</v>
      </c>
      <c r="L71" s="252" t="s">
        <v>2089</v>
      </c>
      <c r="M71" s="252" t="s">
        <v>2125</v>
      </c>
      <c r="N71" s="252" t="s">
        <v>2089</v>
      </c>
      <c r="O71" s="252" t="s">
        <v>2132</v>
      </c>
      <c r="P71" s="252" t="s">
        <v>4211</v>
      </c>
      <c r="Q71" s="252" t="s">
        <v>1865</v>
      </c>
      <c r="R71" s="252" t="s">
        <v>2089</v>
      </c>
      <c r="S71" s="252" t="s">
        <v>2018</v>
      </c>
      <c r="T71" s="252" t="s">
        <v>1906</v>
      </c>
      <c r="U71" s="252" t="s">
        <v>1906</v>
      </c>
      <c r="V71" s="252" t="s">
        <v>4215</v>
      </c>
      <c r="W71" s="252" t="s">
        <v>1955</v>
      </c>
      <c r="X71" s="252" t="s">
        <v>1821</v>
      </c>
      <c r="Y71" s="252" t="s">
        <v>1867</v>
      </c>
      <c r="Z71" s="266" t="s">
        <v>2087</v>
      </c>
      <c r="AA71" s="266" t="s">
        <v>1827</v>
      </c>
      <c r="AB71" s="266" t="s">
        <v>1855</v>
      </c>
      <c r="AC71" s="266" t="s">
        <v>2098</v>
      </c>
      <c r="AD71" s="266" t="s">
        <v>1865</v>
      </c>
      <c r="AE71" s="266" t="s">
        <v>1853</v>
      </c>
      <c r="AF71" s="266" t="s">
        <v>2087</v>
      </c>
      <c r="AG71" s="266" t="s">
        <v>1955</v>
      </c>
      <c r="AH71" s="266" t="s">
        <v>2089</v>
      </c>
      <c r="AI71" s="266" t="s">
        <v>2087</v>
      </c>
    </row>
    <row r="72" spans="1:35" x14ac:dyDescent="0.25">
      <c r="A72" s="264" t="str">
        <f>HLOOKUP(Overview!$P$8,$B$1:$AI$1500,72,FALSE)</f>
        <v xml:space="preserve">          10002904</v>
      </c>
      <c r="B72" s="252"/>
      <c r="C72" s="183">
        <v>20028330</v>
      </c>
      <c r="D72" s="287" t="s">
        <v>2075</v>
      </c>
      <c r="E72" s="264" t="s">
        <v>1809</v>
      </c>
      <c r="F72" s="264" t="s">
        <v>1827</v>
      </c>
      <c r="G72" s="264" t="s">
        <v>1827</v>
      </c>
      <c r="I72" s="264" t="s">
        <v>2125</v>
      </c>
      <c r="J72" s="264" t="s">
        <v>4207</v>
      </c>
      <c r="K72" s="264" t="s">
        <v>1981</v>
      </c>
      <c r="L72" s="264" t="s">
        <v>1899</v>
      </c>
      <c r="M72" s="264" t="s">
        <v>2066</v>
      </c>
      <c r="N72" s="264" t="s">
        <v>2198</v>
      </c>
      <c r="O72" s="264" t="s">
        <v>2068</v>
      </c>
      <c r="P72" s="264" t="s">
        <v>1865</v>
      </c>
      <c r="Q72" s="264" t="s">
        <v>1882</v>
      </c>
      <c r="R72" s="264" t="s">
        <v>1899</v>
      </c>
      <c r="S72" s="264" t="s">
        <v>1936</v>
      </c>
      <c r="T72" s="264" t="s">
        <v>1871</v>
      </c>
      <c r="U72" s="264" t="s">
        <v>1871</v>
      </c>
      <c r="V72" s="264" t="s">
        <v>1821</v>
      </c>
      <c r="W72" s="264" t="s">
        <v>1825</v>
      </c>
      <c r="X72" s="264" t="s">
        <v>1857</v>
      </c>
      <c r="Y72" s="264" t="s">
        <v>2165</v>
      </c>
      <c r="Z72" s="265" t="s">
        <v>2125</v>
      </c>
      <c r="AA72" s="265" t="s">
        <v>1853</v>
      </c>
      <c r="AB72" s="265" t="s">
        <v>1865</v>
      </c>
      <c r="AC72" s="265" t="s">
        <v>2073</v>
      </c>
      <c r="AD72" s="265" t="s">
        <v>1882</v>
      </c>
      <c r="AE72" s="265" t="s">
        <v>1962</v>
      </c>
      <c r="AF72" s="265" t="s">
        <v>2125</v>
      </c>
      <c r="AG72" s="265" t="s">
        <v>1825</v>
      </c>
      <c r="AH72" s="265" t="s">
        <v>2198</v>
      </c>
      <c r="AI72" s="265" t="s">
        <v>2125</v>
      </c>
    </row>
    <row r="73" spans="1:35" x14ac:dyDescent="0.25">
      <c r="A73" s="264" t="str">
        <f>HLOOKUP(Overview!$P$8,$B$1:$AI$1500,73,FALSE)</f>
        <v xml:space="preserve">          10002905</v>
      </c>
      <c r="B73" s="252"/>
      <c r="C73" s="216">
        <v>20020524</v>
      </c>
      <c r="D73" s="288" t="s">
        <v>2031</v>
      </c>
      <c r="E73" s="252" t="s">
        <v>1815</v>
      </c>
      <c r="F73" s="252" t="s">
        <v>1853</v>
      </c>
      <c r="G73" s="252" t="s">
        <v>1853</v>
      </c>
      <c r="I73" s="252" t="s">
        <v>2066</v>
      </c>
      <c r="J73" s="252" t="s">
        <v>1965</v>
      </c>
      <c r="K73" s="252" t="s">
        <v>2002</v>
      </c>
      <c r="L73" s="252" t="s">
        <v>2027</v>
      </c>
      <c r="M73" s="252" t="s">
        <v>2132</v>
      </c>
      <c r="N73" s="252" t="s">
        <v>2087</v>
      </c>
      <c r="O73" s="252" t="s">
        <v>1821</v>
      </c>
      <c r="P73" s="252" t="s">
        <v>1882</v>
      </c>
      <c r="Q73" s="252" t="s">
        <v>1917</v>
      </c>
      <c r="R73" s="252" t="s">
        <v>2027</v>
      </c>
      <c r="S73" s="252" t="s">
        <v>2002</v>
      </c>
      <c r="T73" s="252" t="s">
        <v>3617</v>
      </c>
      <c r="U73" s="252" t="s">
        <v>3617</v>
      </c>
      <c r="V73" s="252" t="s">
        <v>1857</v>
      </c>
      <c r="W73" s="252" t="s">
        <v>1867</v>
      </c>
      <c r="X73" s="252" t="s">
        <v>1989</v>
      </c>
      <c r="Y73" s="252" t="s">
        <v>1837</v>
      </c>
      <c r="Z73" s="266" t="s">
        <v>2066</v>
      </c>
      <c r="AA73" s="266" t="s">
        <v>1962</v>
      </c>
      <c r="AB73" s="266" t="s">
        <v>1882</v>
      </c>
      <c r="AC73" s="266" t="s">
        <v>2024</v>
      </c>
      <c r="AD73" s="266" t="s">
        <v>4212</v>
      </c>
      <c r="AE73" s="266" t="s">
        <v>1965</v>
      </c>
      <c r="AF73" s="266" t="s">
        <v>2066</v>
      </c>
      <c r="AG73" s="266" t="s">
        <v>1867</v>
      </c>
      <c r="AH73" s="266" t="s">
        <v>2087</v>
      </c>
      <c r="AI73" s="266" t="s">
        <v>2066</v>
      </c>
    </row>
    <row r="74" spans="1:35" x14ac:dyDescent="0.25">
      <c r="A74" s="264" t="str">
        <f>HLOOKUP(Overview!$P$8,$B$1:$AI$1500,74,FALSE)</f>
        <v xml:space="preserve">          10002906</v>
      </c>
      <c r="B74" s="252"/>
      <c r="C74" s="263">
        <v>20020525</v>
      </c>
      <c r="D74" s="287" t="s">
        <v>2107</v>
      </c>
      <c r="E74" s="264" t="s">
        <v>1992</v>
      </c>
      <c r="F74" s="264" t="s">
        <v>1962</v>
      </c>
      <c r="G74" s="264" t="s">
        <v>1962</v>
      </c>
      <c r="I74" s="264" t="s">
        <v>2132</v>
      </c>
      <c r="J74" s="264" t="s">
        <v>1831</v>
      </c>
      <c r="K74" s="264" t="s">
        <v>2035</v>
      </c>
      <c r="L74" s="264" t="s">
        <v>2198</v>
      </c>
      <c r="M74" s="264" t="s">
        <v>2068</v>
      </c>
      <c r="N74" s="264" t="s">
        <v>2125</v>
      </c>
      <c r="O74" s="264" t="s">
        <v>1857</v>
      </c>
      <c r="P74" s="264" t="s">
        <v>4212</v>
      </c>
      <c r="Q74" s="264" t="s">
        <v>2089</v>
      </c>
      <c r="R74" s="264" t="s">
        <v>2198</v>
      </c>
      <c r="S74" s="264" t="s">
        <v>2035</v>
      </c>
      <c r="T74" s="264" t="s">
        <v>1892</v>
      </c>
      <c r="U74" s="264" t="s">
        <v>1892</v>
      </c>
      <c r="V74" s="264" t="s">
        <v>1989</v>
      </c>
      <c r="W74" s="264" t="s">
        <v>1837</v>
      </c>
      <c r="X74" s="264" t="s">
        <v>1949</v>
      </c>
      <c r="Y74" s="264" t="s">
        <v>1843</v>
      </c>
      <c r="Z74" s="265" t="s">
        <v>2132</v>
      </c>
      <c r="AA74" s="265" t="s">
        <v>1965</v>
      </c>
      <c r="AB74" s="265" t="s">
        <v>1917</v>
      </c>
      <c r="AC74" s="265" t="s">
        <v>2080</v>
      </c>
      <c r="AD74" s="265" t="s">
        <v>1917</v>
      </c>
      <c r="AE74" s="265" t="s">
        <v>1831</v>
      </c>
      <c r="AF74" s="265" t="s">
        <v>2132</v>
      </c>
      <c r="AG74" s="265" t="s">
        <v>1837</v>
      </c>
      <c r="AH74" s="265" t="s">
        <v>2125</v>
      </c>
      <c r="AI74" s="265" t="s">
        <v>2132</v>
      </c>
    </row>
    <row r="75" spans="1:35" x14ac:dyDescent="0.25">
      <c r="A75" s="264" t="str">
        <f>HLOOKUP(Overview!$P$8,$B$1:$AI$1500,75,FALSE)</f>
        <v xml:space="preserve">          10002907</v>
      </c>
      <c r="B75" s="252"/>
      <c r="C75" s="183">
        <v>20023107</v>
      </c>
      <c r="D75" s="288" t="s">
        <v>3619</v>
      </c>
      <c r="E75" s="252" t="s">
        <v>4204</v>
      </c>
      <c r="F75" s="252" t="s">
        <v>1965</v>
      </c>
      <c r="G75" s="252" t="s">
        <v>1965</v>
      </c>
      <c r="I75" s="252" t="s">
        <v>2068</v>
      </c>
      <c r="J75" s="252" t="s">
        <v>1855</v>
      </c>
      <c r="K75" s="252" t="s">
        <v>2098</v>
      </c>
      <c r="L75" s="252" t="s">
        <v>2087</v>
      </c>
      <c r="M75" s="252" t="s">
        <v>4216</v>
      </c>
      <c r="N75" s="252" t="s">
        <v>2066</v>
      </c>
      <c r="O75" s="252" t="s">
        <v>1989</v>
      </c>
      <c r="P75" s="252" t="s">
        <v>1917</v>
      </c>
      <c r="Q75" s="252" t="s">
        <v>1899</v>
      </c>
      <c r="R75" s="252" t="s">
        <v>2087</v>
      </c>
      <c r="S75" s="252" t="s">
        <v>1967</v>
      </c>
      <c r="T75" s="252" t="s">
        <v>1835</v>
      </c>
      <c r="U75" s="252" t="s">
        <v>1835</v>
      </c>
      <c r="V75" s="252" t="s">
        <v>1949</v>
      </c>
      <c r="W75" s="252" t="s">
        <v>1843</v>
      </c>
      <c r="X75" s="252" t="s">
        <v>2009</v>
      </c>
      <c r="Y75" s="252" t="s">
        <v>3616</v>
      </c>
      <c r="Z75" s="266" t="s">
        <v>2068</v>
      </c>
      <c r="AA75" s="266" t="s">
        <v>1831</v>
      </c>
      <c r="AB75" s="266" t="s">
        <v>2089</v>
      </c>
      <c r="AC75" s="266" t="s">
        <v>4217</v>
      </c>
      <c r="AD75" s="266" t="s">
        <v>2089</v>
      </c>
      <c r="AE75" s="266" t="s">
        <v>1855</v>
      </c>
      <c r="AF75" s="266" t="s">
        <v>2068</v>
      </c>
      <c r="AG75" s="266" t="s">
        <v>1843</v>
      </c>
      <c r="AH75" s="266" t="s">
        <v>2066</v>
      </c>
      <c r="AI75" s="266" t="s">
        <v>2068</v>
      </c>
    </row>
    <row r="76" spans="1:35" x14ac:dyDescent="0.25">
      <c r="A76" s="264" t="str">
        <f>HLOOKUP(Overview!$P$8,$B$1:$AI$1500,76,FALSE)</f>
        <v xml:space="preserve">          10014793</v>
      </c>
      <c r="B76" s="252"/>
      <c r="C76" s="183">
        <v>20023108</v>
      </c>
      <c r="D76" s="287" t="s">
        <v>2261</v>
      </c>
      <c r="E76" s="264" t="s">
        <v>1987</v>
      </c>
      <c r="F76" s="264" t="s">
        <v>1831</v>
      </c>
      <c r="G76" s="264" t="s">
        <v>1831</v>
      </c>
      <c r="I76" s="264" t="s">
        <v>1821</v>
      </c>
      <c r="J76" s="264" t="s">
        <v>4214</v>
      </c>
      <c r="K76" s="264" t="s">
        <v>2073</v>
      </c>
      <c r="L76" s="264" t="s">
        <v>2125</v>
      </c>
      <c r="M76" s="264" t="s">
        <v>1821</v>
      </c>
      <c r="N76" s="264" t="s">
        <v>2132</v>
      </c>
      <c r="O76" s="264" t="s">
        <v>1949</v>
      </c>
      <c r="P76" s="264" t="s">
        <v>2089</v>
      </c>
      <c r="Q76" s="264" t="s">
        <v>2027</v>
      </c>
      <c r="R76" s="264" t="s">
        <v>2125</v>
      </c>
      <c r="S76" s="264" t="s">
        <v>1945</v>
      </c>
      <c r="T76" s="264" t="s">
        <v>1910</v>
      </c>
      <c r="U76" s="264" t="s">
        <v>1910</v>
      </c>
      <c r="V76" s="264" t="s">
        <v>2009</v>
      </c>
      <c r="W76" s="264" t="s">
        <v>3616</v>
      </c>
      <c r="X76" s="264" t="s">
        <v>1871</v>
      </c>
      <c r="Y76" s="264" t="s">
        <v>1827</v>
      </c>
      <c r="Z76" s="265" t="s">
        <v>1821</v>
      </c>
      <c r="AA76" s="265" t="s">
        <v>1855</v>
      </c>
      <c r="AB76" s="265" t="s">
        <v>1899</v>
      </c>
      <c r="AC76" s="265" t="s">
        <v>2142</v>
      </c>
      <c r="AD76" s="265" t="s">
        <v>1899</v>
      </c>
      <c r="AE76" s="265" t="s">
        <v>1865</v>
      </c>
      <c r="AF76" s="265" t="s">
        <v>1821</v>
      </c>
      <c r="AG76" s="265" t="s">
        <v>3616</v>
      </c>
      <c r="AH76" s="265" t="s">
        <v>2132</v>
      </c>
      <c r="AI76" s="265" t="s">
        <v>1821</v>
      </c>
    </row>
    <row r="77" spans="1:35" x14ac:dyDescent="0.25">
      <c r="A77" s="264" t="str">
        <f>HLOOKUP(Overview!$P$8,$B$1:$AI$1500,77,FALSE)</f>
        <v xml:space="preserve">          10028682</v>
      </c>
      <c r="B77" s="252"/>
      <c r="C77" s="263">
        <v>20020523</v>
      </c>
      <c r="D77" s="288" t="s">
        <v>2317</v>
      </c>
      <c r="E77" s="252" t="s">
        <v>2053</v>
      </c>
      <c r="F77" s="252" t="s">
        <v>1855</v>
      </c>
      <c r="G77" s="252" t="s">
        <v>1855</v>
      </c>
      <c r="I77" s="252" t="s">
        <v>1857</v>
      </c>
      <c r="J77" s="252" t="s">
        <v>4211</v>
      </c>
      <c r="K77" s="252" t="s">
        <v>2024</v>
      </c>
      <c r="L77" s="252" t="s">
        <v>2066</v>
      </c>
      <c r="M77" s="252" t="s">
        <v>1857</v>
      </c>
      <c r="N77" s="252" t="s">
        <v>2068</v>
      </c>
      <c r="O77" s="252" t="s">
        <v>2009</v>
      </c>
      <c r="P77" s="252" t="s">
        <v>1899</v>
      </c>
      <c r="Q77" s="252" t="s">
        <v>2198</v>
      </c>
      <c r="R77" s="252" t="s">
        <v>2066</v>
      </c>
      <c r="S77" s="252" t="s">
        <v>2098</v>
      </c>
      <c r="T77" s="252" t="s">
        <v>4218</v>
      </c>
      <c r="U77" s="252" t="s">
        <v>4218</v>
      </c>
      <c r="V77" s="252" t="s">
        <v>1871</v>
      </c>
      <c r="W77" s="252" t="s">
        <v>1827</v>
      </c>
      <c r="X77" s="252" t="s">
        <v>3617</v>
      </c>
      <c r="Y77" s="252" t="s">
        <v>1853</v>
      </c>
      <c r="Z77" s="266" t="s">
        <v>1857</v>
      </c>
      <c r="AA77" s="266" t="s">
        <v>1865</v>
      </c>
      <c r="AB77" s="266" t="s">
        <v>2027</v>
      </c>
      <c r="AC77" s="266" t="s">
        <v>1829</v>
      </c>
      <c r="AD77" s="266" t="s">
        <v>2027</v>
      </c>
      <c r="AE77" s="266" t="s">
        <v>1882</v>
      </c>
      <c r="AF77" s="266" t="s">
        <v>1857</v>
      </c>
      <c r="AG77" s="266" t="s">
        <v>1962</v>
      </c>
      <c r="AH77" s="266" t="s">
        <v>2068</v>
      </c>
      <c r="AI77" s="266" t="s">
        <v>1857</v>
      </c>
    </row>
    <row r="78" spans="1:35" x14ac:dyDescent="0.25">
      <c r="A78" s="264" t="str">
        <f>HLOOKUP(Overview!$P$8,$B$1:$AI$1500,78,FALSE)</f>
        <v xml:space="preserve">          10064436</v>
      </c>
      <c r="B78" s="252"/>
      <c r="C78" s="183">
        <v>10006324</v>
      </c>
      <c r="D78" s="287" t="s">
        <v>3622</v>
      </c>
      <c r="E78" s="264" t="s">
        <v>1845</v>
      </c>
      <c r="F78" s="264" t="s">
        <v>1865</v>
      </c>
      <c r="G78" s="264" t="s">
        <v>1865</v>
      </c>
      <c r="I78" s="264" t="s">
        <v>1989</v>
      </c>
      <c r="J78" s="264" t="s">
        <v>1865</v>
      </c>
      <c r="K78" s="264" t="s">
        <v>1829</v>
      </c>
      <c r="L78" s="264" t="s">
        <v>2132</v>
      </c>
      <c r="M78" s="264" t="s">
        <v>1949</v>
      </c>
      <c r="N78" s="264" t="s">
        <v>1821</v>
      </c>
      <c r="O78" s="264" t="s">
        <v>2196</v>
      </c>
      <c r="P78" s="264" t="s">
        <v>2027</v>
      </c>
      <c r="Q78" s="264" t="s">
        <v>2087</v>
      </c>
      <c r="R78" s="264" t="s">
        <v>2132</v>
      </c>
      <c r="S78" s="264" t="s">
        <v>2073</v>
      </c>
      <c r="T78" s="264" t="s">
        <v>2148</v>
      </c>
      <c r="U78" s="264" t="s">
        <v>2148</v>
      </c>
      <c r="V78" s="264" t="s">
        <v>3617</v>
      </c>
      <c r="W78" s="264" t="s">
        <v>1853</v>
      </c>
      <c r="X78" s="264" t="s">
        <v>1892</v>
      </c>
      <c r="Y78" s="264" t="s">
        <v>1962</v>
      </c>
      <c r="Z78" s="265" t="s">
        <v>1989</v>
      </c>
      <c r="AA78" s="265" t="s">
        <v>1882</v>
      </c>
      <c r="AB78" s="265" t="s">
        <v>2186</v>
      </c>
      <c r="AC78" s="265" t="s">
        <v>2075</v>
      </c>
      <c r="AD78" s="265" t="s">
        <v>2198</v>
      </c>
      <c r="AE78" s="265" t="s">
        <v>1917</v>
      </c>
      <c r="AF78" s="265" t="s">
        <v>1989</v>
      </c>
      <c r="AG78" s="265" t="s">
        <v>1965</v>
      </c>
      <c r="AH78" s="265" t="s">
        <v>1821</v>
      </c>
      <c r="AI78" s="265" t="s">
        <v>1989</v>
      </c>
    </row>
    <row r="79" spans="1:35" x14ac:dyDescent="0.25">
      <c r="A79" s="264" t="str">
        <f>HLOOKUP(Overview!$P$8,$B$1:$AI$1500,79,FALSE)</f>
        <v xml:space="preserve">          10088248</v>
      </c>
      <c r="B79" s="252"/>
      <c r="C79" s="183">
        <v>10003026</v>
      </c>
      <c r="D79" s="288" t="s">
        <v>3627</v>
      </c>
      <c r="E79" s="252" t="s">
        <v>1823</v>
      </c>
      <c r="F79" s="252" t="s">
        <v>1882</v>
      </c>
      <c r="G79" s="252" t="s">
        <v>1882</v>
      </c>
      <c r="I79" s="252" t="s">
        <v>1949</v>
      </c>
      <c r="J79" s="252" t="s">
        <v>1882</v>
      </c>
      <c r="K79" s="252" t="s">
        <v>1916</v>
      </c>
      <c r="L79" s="252" t="s">
        <v>2068</v>
      </c>
      <c r="M79" s="252" t="s">
        <v>2009</v>
      </c>
      <c r="N79" s="252" t="s">
        <v>1857</v>
      </c>
      <c r="O79" s="252" t="s">
        <v>1839</v>
      </c>
      <c r="P79" s="252" t="s">
        <v>2198</v>
      </c>
      <c r="Q79" s="252" t="s">
        <v>2125</v>
      </c>
      <c r="R79" s="252" t="s">
        <v>2068</v>
      </c>
      <c r="S79" s="252" t="s">
        <v>2024</v>
      </c>
      <c r="T79" s="252" t="s">
        <v>1929</v>
      </c>
      <c r="U79" s="252" t="s">
        <v>1929</v>
      </c>
      <c r="V79" s="252" t="s">
        <v>1892</v>
      </c>
      <c r="W79" s="252" t="s">
        <v>1962</v>
      </c>
      <c r="X79" s="252" t="s">
        <v>1835</v>
      </c>
      <c r="Y79" s="252" t="s">
        <v>1965</v>
      </c>
      <c r="Z79" s="266" t="s">
        <v>1949</v>
      </c>
      <c r="AA79" s="266" t="s">
        <v>1917</v>
      </c>
      <c r="AB79" s="266" t="s">
        <v>2198</v>
      </c>
      <c r="AC79" s="266" t="s">
        <v>2031</v>
      </c>
      <c r="AD79" s="266" t="s">
        <v>2087</v>
      </c>
      <c r="AE79" s="266" t="s">
        <v>2089</v>
      </c>
      <c r="AF79" s="266" t="s">
        <v>1949</v>
      </c>
      <c r="AG79" s="266" t="s">
        <v>1831</v>
      </c>
      <c r="AH79" s="266" t="s">
        <v>1857</v>
      </c>
      <c r="AI79" s="266" t="s">
        <v>1949</v>
      </c>
    </row>
    <row r="80" spans="1:35" x14ac:dyDescent="0.25">
      <c r="A80" s="264" t="str">
        <f>HLOOKUP(Overview!$P$8,$B$1:$AI$1500,80,FALSE)</f>
        <v xml:space="preserve">          10109405</v>
      </c>
      <c r="B80" s="252"/>
      <c r="C80" s="183">
        <v>10114956</v>
      </c>
      <c r="D80" s="287" t="s">
        <v>2272</v>
      </c>
      <c r="E80" s="264" t="s">
        <v>1957</v>
      </c>
      <c r="F80" s="264" t="s">
        <v>1917</v>
      </c>
      <c r="G80" s="264" t="s">
        <v>1917</v>
      </c>
      <c r="I80" s="264" t="s">
        <v>2009</v>
      </c>
      <c r="J80" s="264" t="s">
        <v>4212</v>
      </c>
      <c r="K80" s="264" t="s">
        <v>2075</v>
      </c>
      <c r="L80" s="264" t="s">
        <v>1821</v>
      </c>
      <c r="M80" s="264" t="s">
        <v>2196</v>
      </c>
      <c r="N80" s="264" t="s">
        <v>1989</v>
      </c>
      <c r="O80" s="264" t="s">
        <v>1906</v>
      </c>
      <c r="P80" s="264" t="s">
        <v>2087</v>
      </c>
      <c r="Q80" s="264" t="s">
        <v>2132</v>
      </c>
      <c r="R80" s="264" t="s">
        <v>4216</v>
      </c>
      <c r="S80" s="264" t="s">
        <v>2080</v>
      </c>
      <c r="T80" s="264" t="s">
        <v>1877</v>
      </c>
      <c r="U80" s="264" t="s">
        <v>1877</v>
      </c>
      <c r="V80" s="264" t="s">
        <v>1835</v>
      </c>
      <c r="W80" s="264" t="s">
        <v>1965</v>
      </c>
      <c r="X80" s="264" t="s">
        <v>1910</v>
      </c>
      <c r="Y80" s="264" t="s">
        <v>1831</v>
      </c>
      <c r="Z80" s="265" t="s">
        <v>2009</v>
      </c>
      <c r="AA80" s="265" t="s">
        <v>2089</v>
      </c>
      <c r="AB80" s="265" t="s">
        <v>2087</v>
      </c>
      <c r="AC80" s="265" t="s">
        <v>2107</v>
      </c>
      <c r="AD80" s="265" t="s">
        <v>2125</v>
      </c>
      <c r="AE80" s="265" t="s">
        <v>1899</v>
      </c>
      <c r="AF80" s="265" t="s">
        <v>2009</v>
      </c>
      <c r="AG80" s="265" t="s">
        <v>1855</v>
      </c>
      <c r="AH80" s="265" t="s">
        <v>1989</v>
      </c>
      <c r="AI80" s="265" t="s">
        <v>2009</v>
      </c>
    </row>
    <row r="81" spans="1:35" x14ac:dyDescent="0.25">
      <c r="A81" s="264" t="str">
        <f>HLOOKUP(Overview!$P$8,$B$1:$AI$1500,81,FALSE)</f>
        <v xml:space="preserve">          10119612</v>
      </c>
      <c r="B81" s="252"/>
      <c r="C81" s="183">
        <v>10000758</v>
      </c>
      <c r="D81" s="288" t="s">
        <v>3673</v>
      </c>
      <c r="E81" s="252" t="s">
        <v>2100</v>
      </c>
      <c r="F81" s="252" t="s">
        <v>2089</v>
      </c>
      <c r="G81" s="252" t="s">
        <v>2089</v>
      </c>
      <c r="I81" s="252" t="s">
        <v>1871</v>
      </c>
      <c r="J81" s="252" t="s">
        <v>1917</v>
      </c>
      <c r="K81" s="252" t="s">
        <v>2031</v>
      </c>
      <c r="L81" s="252" t="s">
        <v>1857</v>
      </c>
      <c r="M81" s="252" t="s">
        <v>1839</v>
      </c>
      <c r="N81" s="252" t="s">
        <v>1949</v>
      </c>
      <c r="O81" s="252" t="s">
        <v>1871</v>
      </c>
      <c r="P81" s="252" t="s">
        <v>2125</v>
      </c>
      <c r="Q81" s="252" t="s">
        <v>2068</v>
      </c>
      <c r="R81" s="252" t="s">
        <v>1821</v>
      </c>
      <c r="S81" s="252" t="s">
        <v>2142</v>
      </c>
      <c r="T81" s="252" t="s">
        <v>2208</v>
      </c>
      <c r="U81" s="252" t="s">
        <v>2208</v>
      </c>
      <c r="V81" s="252" t="s">
        <v>1910</v>
      </c>
      <c r="W81" s="252" t="s">
        <v>1831</v>
      </c>
      <c r="X81" s="252" t="s">
        <v>4218</v>
      </c>
      <c r="Y81" s="252" t="s">
        <v>1855</v>
      </c>
      <c r="Z81" s="266" t="s">
        <v>1839</v>
      </c>
      <c r="AA81" s="266" t="s">
        <v>1899</v>
      </c>
      <c r="AB81" s="266" t="s">
        <v>2125</v>
      </c>
      <c r="AC81" s="266" t="s">
        <v>2117</v>
      </c>
      <c r="AD81" s="266" t="s">
        <v>2066</v>
      </c>
      <c r="AE81" s="266" t="s">
        <v>2027</v>
      </c>
      <c r="AF81" s="266" t="s">
        <v>1871</v>
      </c>
      <c r="AG81" s="266" t="s">
        <v>1865</v>
      </c>
      <c r="AH81" s="266" t="s">
        <v>1949</v>
      </c>
      <c r="AI81" s="266" t="s">
        <v>1871</v>
      </c>
    </row>
    <row r="82" spans="1:35" x14ac:dyDescent="0.25">
      <c r="A82" s="264" t="str">
        <f>HLOOKUP(Overview!$P$8,$B$1:$AI$1500,82,FALSE)</f>
        <v xml:space="preserve">          10121081</v>
      </c>
      <c r="B82" s="252"/>
      <c r="C82" s="183">
        <v>10114955</v>
      </c>
      <c r="D82" s="287" t="s">
        <v>4469</v>
      </c>
      <c r="E82" s="264" t="s">
        <v>2210</v>
      </c>
      <c r="F82" s="264" t="s">
        <v>1899</v>
      </c>
      <c r="G82" s="264" t="s">
        <v>1899</v>
      </c>
      <c r="I82" s="264" t="s">
        <v>3617</v>
      </c>
      <c r="J82" s="264" t="s">
        <v>2089</v>
      </c>
      <c r="K82" s="264" t="s">
        <v>2107</v>
      </c>
      <c r="L82" s="264" t="s">
        <v>1989</v>
      </c>
      <c r="M82" s="264" t="s">
        <v>1906</v>
      </c>
      <c r="N82" s="264" t="s">
        <v>2009</v>
      </c>
      <c r="O82" s="264" t="s">
        <v>3617</v>
      </c>
      <c r="P82" s="264" t="s">
        <v>2066</v>
      </c>
      <c r="Q82" s="264" t="s">
        <v>4216</v>
      </c>
      <c r="R82" s="264" t="s">
        <v>1857</v>
      </c>
      <c r="S82" s="264" t="s">
        <v>2117</v>
      </c>
      <c r="T82" s="264" t="s">
        <v>1861</v>
      </c>
      <c r="U82" s="264" t="s">
        <v>1861</v>
      </c>
      <c r="V82" s="264" t="s">
        <v>4218</v>
      </c>
      <c r="W82" s="264" t="s">
        <v>1855</v>
      </c>
      <c r="X82" s="264" t="s">
        <v>2148</v>
      </c>
      <c r="Y82" s="264" t="s">
        <v>1865</v>
      </c>
      <c r="Z82" s="265" t="s">
        <v>1906</v>
      </c>
      <c r="AA82" s="265" t="s">
        <v>2027</v>
      </c>
      <c r="AB82" s="265" t="s">
        <v>2066</v>
      </c>
      <c r="AC82" s="265" t="s">
        <v>2230</v>
      </c>
      <c r="AD82" s="265" t="s">
        <v>2132</v>
      </c>
      <c r="AE82" s="265" t="s">
        <v>2186</v>
      </c>
      <c r="AF82" s="265" t="s">
        <v>3617</v>
      </c>
      <c r="AG82" s="265" t="s">
        <v>1882</v>
      </c>
      <c r="AH82" s="265" t="s">
        <v>2009</v>
      </c>
      <c r="AI82" s="265" t="s">
        <v>3617</v>
      </c>
    </row>
    <row r="83" spans="1:35" x14ac:dyDescent="0.25">
      <c r="A83" s="264" t="str">
        <f>HLOOKUP(Overview!$P$8,$B$1:$AI$1500,83,FALSE)</f>
        <v xml:space="preserve">          10121082</v>
      </c>
      <c r="B83" s="252"/>
      <c r="C83" s="183">
        <v>10000757</v>
      </c>
      <c r="D83" s="288" t="s">
        <v>4470</v>
      </c>
      <c r="E83" s="252" t="s">
        <v>4205</v>
      </c>
      <c r="F83" s="252" t="s">
        <v>2027</v>
      </c>
      <c r="G83" s="252" t="s">
        <v>2027</v>
      </c>
      <c r="I83" s="252" t="s">
        <v>1892</v>
      </c>
      <c r="J83" s="252" t="s">
        <v>1899</v>
      </c>
      <c r="K83" s="252" t="s">
        <v>2005</v>
      </c>
      <c r="L83" s="252" t="s">
        <v>1949</v>
      </c>
      <c r="M83" s="252" t="s">
        <v>1871</v>
      </c>
      <c r="N83" s="252" t="s">
        <v>1871</v>
      </c>
      <c r="O83" s="252" t="s">
        <v>1892</v>
      </c>
      <c r="P83" s="252" t="s">
        <v>2132</v>
      </c>
      <c r="Q83" s="252" t="s">
        <v>4215</v>
      </c>
      <c r="R83" s="252" t="s">
        <v>1989</v>
      </c>
      <c r="S83" s="252" t="s">
        <v>2230</v>
      </c>
      <c r="T83" s="252" t="s">
        <v>1973</v>
      </c>
      <c r="U83" s="252" t="s">
        <v>2155</v>
      </c>
      <c r="V83" s="252" t="s">
        <v>2148</v>
      </c>
      <c r="W83" s="252" t="s">
        <v>1865</v>
      </c>
      <c r="X83" s="252" t="s">
        <v>1929</v>
      </c>
      <c r="Y83" s="252" t="s">
        <v>1882</v>
      </c>
      <c r="Z83" s="266" t="s">
        <v>1871</v>
      </c>
      <c r="AA83" s="266" t="s">
        <v>2186</v>
      </c>
      <c r="AB83" s="266" t="s">
        <v>2132</v>
      </c>
      <c r="AC83" s="266" t="s">
        <v>2071</v>
      </c>
      <c r="AD83" s="266" t="s">
        <v>2068</v>
      </c>
      <c r="AE83" s="266" t="s">
        <v>2198</v>
      </c>
      <c r="AF83" s="266" t="s">
        <v>1892</v>
      </c>
      <c r="AG83" s="266" t="s">
        <v>4212</v>
      </c>
      <c r="AH83" s="266" t="s">
        <v>1871</v>
      </c>
      <c r="AI83" s="266" t="s">
        <v>1892</v>
      </c>
    </row>
    <row r="84" spans="1:35" x14ac:dyDescent="0.25">
      <c r="A84" s="264" t="str">
        <f>HLOOKUP(Overview!$P$8,$B$1:$AI$1500,84,FALSE)</f>
        <v xml:space="preserve">          10121083</v>
      </c>
      <c r="B84" s="252"/>
      <c r="C84" s="183">
        <v>10114954</v>
      </c>
      <c r="D84" s="287" t="s">
        <v>4471</v>
      </c>
      <c r="E84" s="264" t="s">
        <v>1817</v>
      </c>
      <c r="F84" s="264" t="s">
        <v>2186</v>
      </c>
      <c r="G84" s="264" t="s">
        <v>2186</v>
      </c>
      <c r="I84" s="264" t="s">
        <v>2041</v>
      </c>
      <c r="J84" s="264" t="s">
        <v>2027</v>
      </c>
      <c r="K84" s="264" t="s">
        <v>4219</v>
      </c>
      <c r="L84" s="264" t="s">
        <v>2009</v>
      </c>
      <c r="M84" s="264" t="s">
        <v>1892</v>
      </c>
      <c r="N84" s="264" t="s">
        <v>3617</v>
      </c>
      <c r="O84" s="264" t="s">
        <v>1835</v>
      </c>
      <c r="P84" s="264" t="s">
        <v>2068</v>
      </c>
      <c r="Q84" s="264" t="s">
        <v>1821</v>
      </c>
      <c r="R84" s="264" t="s">
        <v>1949</v>
      </c>
      <c r="S84" s="264" t="s">
        <v>2071</v>
      </c>
      <c r="T84" s="264" t="s">
        <v>2018</v>
      </c>
      <c r="U84" s="264" t="s">
        <v>1884</v>
      </c>
      <c r="V84" s="264" t="s">
        <v>1929</v>
      </c>
      <c r="W84" s="264" t="s">
        <v>1882</v>
      </c>
      <c r="X84" s="264" t="s">
        <v>1877</v>
      </c>
      <c r="Y84" s="264" t="s">
        <v>1917</v>
      </c>
      <c r="Z84" s="265" t="s">
        <v>3617</v>
      </c>
      <c r="AA84" s="265" t="s">
        <v>2198</v>
      </c>
      <c r="AB84" s="265" t="s">
        <v>2068</v>
      </c>
      <c r="AC84" s="265" t="s">
        <v>4220</v>
      </c>
      <c r="AD84" s="265" t="s">
        <v>1821</v>
      </c>
      <c r="AE84" s="265" t="s">
        <v>2087</v>
      </c>
      <c r="AF84" s="265" t="s">
        <v>1835</v>
      </c>
      <c r="AG84" s="265" t="s">
        <v>1917</v>
      </c>
      <c r="AH84" s="265" t="s">
        <v>3617</v>
      </c>
      <c r="AI84" s="265" t="s">
        <v>2041</v>
      </c>
    </row>
    <row r="85" spans="1:35" x14ac:dyDescent="0.25">
      <c r="A85" s="264" t="str">
        <f>HLOOKUP(Overview!$P$8,$B$1:$AI$1500,85,FALSE)</f>
        <v xml:space="preserve">          10000714</v>
      </c>
      <c r="B85" s="252"/>
      <c r="C85" s="183">
        <v>10000004</v>
      </c>
      <c r="D85" s="288" t="s">
        <v>4190</v>
      </c>
      <c r="E85" s="252" t="s">
        <v>1851</v>
      </c>
      <c r="F85" s="252" t="s">
        <v>2198</v>
      </c>
      <c r="G85" s="252" t="s">
        <v>2198</v>
      </c>
      <c r="I85" s="252" t="s">
        <v>1835</v>
      </c>
      <c r="J85" s="252" t="s">
        <v>2198</v>
      </c>
      <c r="K85" s="252" t="s">
        <v>4221</v>
      </c>
      <c r="L85" s="252" t="s">
        <v>2196</v>
      </c>
      <c r="M85" s="252" t="s">
        <v>1835</v>
      </c>
      <c r="N85" s="252" t="s">
        <v>1892</v>
      </c>
      <c r="O85" s="252" t="s">
        <v>1910</v>
      </c>
      <c r="P85" s="252" t="s">
        <v>4216</v>
      </c>
      <c r="Q85" s="252" t="s">
        <v>1857</v>
      </c>
      <c r="R85" s="252" t="s">
        <v>1839</v>
      </c>
      <c r="S85" s="252" t="s">
        <v>2205</v>
      </c>
      <c r="T85" s="252" t="s">
        <v>1936</v>
      </c>
      <c r="U85" s="252" t="s">
        <v>1936</v>
      </c>
      <c r="V85" s="252" t="s">
        <v>1877</v>
      </c>
      <c r="W85" s="252" t="s">
        <v>1917</v>
      </c>
      <c r="X85" s="252" t="s">
        <v>4222</v>
      </c>
      <c r="Y85" s="252" t="s">
        <v>2089</v>
      </c>
      <c r="Z85" s="266" t="s">
        <v>1892</v>
      </c>
      <c r="AA85" s="266" t="s">
        <v>2087</v>
      </c>
      <c r="AB85" s="266" t="s">
        <v>1821</v>
      </c>
      <c r="AC85" s="266" t="s">
        <v>4223</v>
      </c>
      <c r="AD85" s="266" t="s">
        <v>1857</v>
      </c>
      <c r="AE85" s="266" t="s">
        <v>2125</v>
      </c>
      <c r="AF85" s="266" t="s">
        <v>1910</v>
      </c>
      <c r="AG85" s="266" t="s">
        <v>4224</v>
      </c>
      <c r="AH85" s="266" t="s">
        <v>1892</v>
      </c>
      <c r="AI85" s="266" t="s">
        <v>1835</v>
      </c>
    </row>
    <row r="86" spans="1:35" x14ac:dyDescent="0.25">
      <c r="A86" s="264" t="str">
        <f>HLOOKUP(Overview!$P$8,$B$1:$AI$1500,86,FALSE)</f>
        <v xml:space="preserve">          10000715</v>
      </c>
      <c r="B86" s="252"/>
      <c r="C86" s="183">
        <v>10000755</v>
      </c>
      <c r="D86" s="287" t="s">
        <v>4196</v>
      </c>
      <c r="E86" s="264" t="s">
        <v>1849</v>
      </c>
      <c r="F86" s="264" t="s">
        <v>2087</v>
      </c>
      <c r="G86" s="264" t="s">
        <v>2087</v>
      </c>
      <c r="I86" s="264" t="s">
        <v>1910</v>
      </c>
      <c r="J86" s="264" t="s">
        <v>2087</v>
      </c>
      <c r="K86" s="264" t="s">
        <v>4225</v>
      </c>
      <c r="L86" s="264" t="s">
        <v>1839</v>
      </c>
      <c r="M86" s="264" t="s">
        <v>1910</v>
      </c>
      <c r="N86" s="264" t="s">
        <v>2041</v>
      </c>
      <c r="O86" s="264" t="s">
        <v>4218</v>
      </c>
      <c r="P86" s="264" t="s">
        <v>4215</v>
      </c>
      <c r="Q86" s="264" t="s">
        <v>1989</v>
      </c>
      <c r="R86" s="264" t="s">
        <v>1906</v>
      </c>
      <c r="S86" s="264" t="s">
        <v>2203</v>
      </c>
      <c r="T86" s="264" t="s">
        <v>1981</v>
      </c>
      <c r="U86" s="264" t="s">
        <v>1981</v>
      </c>
      <c r="V86" s="264" t="s">
        <v>2208</v>
      </c>
      <c r="W86" s="264" t="s">
        <v>2089</v>
      </c>
      <c r="X86" s="264" t="s">
        <v>1861</v>
      </c>
      <c r="Y86" s="264" t="s">
        <v>1899</v>
      </c>
      <c r="Z86" s="265" t="s">
        <v>2041</v>
      </c>
      <c r="AA86" s="265" t="s">
        <v>2125</v>
      </c>
      <c r="AB86" s="265" t="s">
        <v>1857</v>
      </c>
      <c r="AC86" s="265" t="s">
        <v>4226</v>
      </c>
      <c r="AD86" s="265" t="s">
        <v>1989</v>
      </c>
      <c r="AE86" s="265" t="s">
        <v>2066</v>
      </c>
      <c r="AF86" s="265" t="s">
        <v>4218</v>
      </c>
      <c r="AG86" s="265" t="s">
        <v>4227</v>
      </c>
      <c r="AH86" s="265" t="s">
        <v>2041</v>
      </c>
      <c r="AI86" s="265" t="s">
        <v>1910</v>
      </c>
    </row>
    <row r="87" spans="1:35" x14ac:dyDescent="0.25">
      <c r="A87" s="264" t="str">
        <f>HLOOKUP(Overview!$P$8,$B$1:$AI$1500,87,FALSE)</f>
        <v xml:space="preserve">          20028330</v>
      </c>
      <c r="B87" s="252"/>
      <c r="C87" s="263">
        <v>10114958</v>
      </c>
      <c r="D87" s="288" t="s">
        <v>3516</v>
      </c>
      <c r="E87" s="252" t="s">
        <v>2004</v>
      </c>
      <c r="F87" s="252" t="s">
        <v>2125</v>
      </c>
      <c r="G87" s="252" t="s">
        <v>2125</v>
      </c>
      <c r="I87" s="252" t="s">
        <v>4218</v>
      </c>
      <c r="J87" s="252" t="s">
        <v>2125</v>
      </c>
      <c r="K87" s="252" t="s">
        <v>1975</v>
      </c>
      <c r="L87" s="252" t="s">
        <v>1906</v>
      </c>
      <c r="M87" s="252" t="s">
        <v>4218</v>
      </c>
      <c r="N87" s="252" t="s">
        <v>1835</v>
      </c>
      <c r="O87" s="252" t="s">
        <v>1929</v>
      </c>
      <c r="P87" s="252" t="s">
        <v>1821</v>
      </c>
      <c r="Q87" s="252" t="s">
        <v>1949</v>
      </c>
      <c r="R87" s="252" t="s">
        <v>1871</v>
      </c>
      <c r="S87" s="252" t="s">
        <v>2306</v>
      </c>
      <c r="T87" s="252" t="s">
        <v>2002</v>
      </c>
      <c r="U87" s="252" t="s">
        <v>2227</v>
      </c>
      <c r="V87" s="252" t="s">
        <v>4228</v>
      </c>
      <c r="W87" s="252" t="s">
        <v>1899</v>
      </c>
      <c r="X87" s="252" t="s">
        <v>1973</v>
      </c>
      <c r="Y87" s="252" t="s">
        <v>2027</v>
      </c>
      <c r="Z87" s="266" t="s">
        <v>1835</v>
      </c>
      <c r="AA87" s="266" t="s">
        <v>2066</v>
      </c>
      <c r="AB87" s="266" t="s">
        <v>1989</v>
      </c>
      <c r="AC87" s="266" t="s">
        <v>2005</v>
      </c>
      <c r="AD87" s="266" t="s">
        <v>1949</v>
      </c>
      <c r="AE87" s="266" t="s">
        <v>2132</v>
      </c>
      <c r="AF87" s="266" t="s">
        <v>2148</v>
      </c>
      <c r="AG87" s="266" t="s">
        <v>4229</v>
      </c>
      <c r="AH87" s="266" t="s">
        <v>1835</v>
      </c>
      <c r="AI87" s="266" t="s">
        <v>4218</v>
      </c>
    </row>
    <row r="88" spans="1:35" x14ac:dyDescent="0.25">
      <c r="A88" s="264" t="str">
        <f>HLOOKUP(Overview!$P$8,$B$1:$AI$1500,88,FALSE)</f>
        <v xml:space="preserve">          10123488</v>
      </c>
      <c r="B88" s="252"/>
      <c r="C88" s="183">
        <v>20000089</v>
      </c>
      <c r="D88" s="287" t="s">
        <v>4271</v>
      </c>
      <c r="E88" s="264" t="s">
        <v>1813</v>
      </c>
      <c r="F88" s="264" t="s">
        <v>2066</v>
      </c>
      <c r="G88" s="264" t="s">
        <v>2066</v>
      </c>
      <c r="I88" s="264" t="s">
        <v>2148</v>
      </c>
      <c r="J88" s="264" t="s">
        <v>2066</v>
      </c>
      <c r="K88" s="264" t="s">
        <v>2091</v>
      </c>
      <c r="L88" s="264" t="s">
        <v>1871</v>
      </c>
      <c r="M88" s="264" t="s">
        <v>2148</v>
      </c>
      <c r="N88" s="264" t="s">
        <v>1910</v>
      </c>
      <c r="O88" s="264" t="s">
        <v>1877</v>
      </c>
      <c r="P88" s="264" t="s">
        <v>1857</v>
      </c>
      <c r="Q88" s="264" t="s">
        <v>2009</v>
      </c>
      <c r="R88" s="264" t="s">
        <v>3617</v>
      </c>
      <c r="S88" s="264" t="s">
        <v>4230</v>
      </c>
      <c r="T88" s="264" t="s">
        <v>2035</v>
      </c>
      <c r="U88" s="264" t="s">
        <v>2002</v>
      </c>
      <c r="V88" s="264" t="s">
        <v>1861</v>
      </c>
      <c r="W88" s="264" t="s">
        <v>2027</v>
      </c>
      <c r="X88" s="264" t="s">
        <v>2018</v>
      </c>
      <c r="Y88" s="264" t="s">
        <v>2186</v>
      </c>
      <c r="Z88" s="265" t="s">
        <v>1910</v>
      </c>
      <c r="AA88" s="265" t="s">
        <v>2132</v>
      </c>
      <c r="AB88" s="265" t="s">
        <v>1949</v>
      </c>
      <c r="AC88" s="265" t="s">
        <v>4219</v>
      </c>
      <c r="AD88" s="265" t="s">
        <v>1839</v>
      </c>
      <c r="AE88" s="265" t="s">
        <v>2068</v>
      </c>
      <c r="AF88" s="265" t="s">
        <v>1929</v>
      </c>
      <c r="AG88" s="265" t="s">
        <v>2089</v>
      </c>
      <c r="AH88" s="265" t="s">
        <v>1910</v>
      </c>
      <c r="AI88" s="265" t="s">
        <v>2148</v>
      </c>
    </row>
    <row r="89" spans="1:35" x14ac:dyDescent="0.25">
      <c r="A89" s="264" t="str">
        <f>HLOOKUP(Overview!$P$8,$B$1:$AI$1500,89,FALSE)</f>
        <v xml:space="preserve">          20028338</v>
      </c>
      <c r="B89" s="252"/>
      <c r="C89" s="183">
        <v>20000087</v>
      </c>
      <c r="D89" s="288" t="s">
        <v>3695</v>
      </c>
      <c r="E89" s="252" t="s">
        <v>1841</v>
      </c>
      <c r="F89" s="252" t="s">
        <v>2132</v>
      </c>
      <c r="G89" s="252" t="s">
        <v>2132</v>
      </c>
      <c r="I89" s="252" t="s">
        <v>1929</v>
      </c>
      <c r="J89" s="252" t="s">
        <v>2132</v>
      </c>
      <c r="K89" s="252" t="s">
        <v>1942</v>
      </c>
      <c r="L89" s="252" t="s">
        <v>3617</v>
      </c>
      <c r="M89" s="252" t="s">
        <v>1929</v>
      </c>
      <c r="N89" s="252" t="s">
        <v>4218</v>
      </c>
      <c r="O89" s="252" t="s">
        <v>2208</v>
      </c>
      <c r="P89" s="252" t="s">
        <v>1989</v>
      </c>
      <c r="Q89" s="252" t="s">
        <v>2196</v>
      </c>
      <c r="R89" s="252" t="s">
        <v>1892</v>
      </c>
      <c r="S89" s="252" t="s">
        <v>2091</v>
      </c>
      <c r="T89" s="252" t="s">
        <v>1967</v>
      </c>
      <c r="U89" s="252" t="s">
        <v>2035</v>
      </c>
      <c r="V89" s="252" t="s">
        <v>1973</v>
      </c>
      <c r="W89" s="252" t="s">
        <v>2198</v>
      </c>
      <c r="X89" s="252" t="s">
        <v>2155</v>
      </c>
      <c r="Y89" s="252" t="s">
        <v>2198</v>
      </c>
      <c r="Z89" s="266" t="s">
        <v>2148</v>
      </c>
      <c r="AA89" s="266" t="s">
        <v>2068</v>
      </c>
      <c r="AB89" s="266" t="s">
        <v>2009</v>
      </c>
      <c r="AC89" s="266" t="s">
        <v>4221</v>
      </c>
      <c r="AD89" s="266" t="s">
        <v>1906</v>
      </c>
      <c r="AE89" s="266" t="s">
        <v>1821</v>
      </c>
      <c r="AF89" s="266" t="s">
        <v>1877</v>
      </c>
      <c r="AG89" s="266" t="s">
        <v>2198</v>
      </c>
      <c r="AH89" s="266" t="s">
        <v>4218</v>
      </c>
      <c r="AI89" s="266" t="s">
        <v>1929</v>
      </c>
    </row>
    <row r="90" spans="1:35" x14ac:dyDescent="0.25">
      <c r="A90" s="264" t="str">
        <f>HLOOKUP(Overview!$P$8,$B$1:$AI$1500,90,FALSE)</f>
        <v xml:space="preserve">          10000069</v>
      </c>
      <c r="B90" s="252"/>
      <c r="C90" s="183">
        <v>10000756</v>
      </c>
      <c r="D90" s="287" t="s">
        <v>4472</v>
      </c>
      <c r="E90" s="264" t="s">
        <v>3565</v>
      </c>
      <c r="F90" s="264" t="s">
        <v>2068</v>
      </c>
      <c r="G90" s="264" t="s">
        <v>2068</v>
      </c>
      <c r="I90" s="264" t="s">
        <v>1877</v>
      </c>
      <c r="J90" s="264" t="s">
        <v>2068</v>
      </c>
      <c r="K90" s="264" t="s">
        <v>1959</v>
      </c>
      <c r="L90" s="264" t="s">
        <v>1892</v>
      </c>
      <c r="M90" s="264" t="s">
        <v>1877</v>
      </c>
      <c r="N90" s="264" t="s">
        <v>2148</v>
      </c>
      <c r="O90" s="264" t="s">
        <v>1861</v>
      </c>
      <c r="P90" s="264" t="s">
        <v>1949</v>
      </c>
      <c r="Q90" s="264" t="s">
        <v>1839</v>
      </c>
      <c r="R90" s="264" t="s">
        <v>1835</v>
      </c>
      <c r="S90" s="264" t="s">
        <v>1942</v>
      </c>
      <c r="T90" s="264" t="s">
        <v>1945</v>
      </c>
      <c r="U90" s="264" t="s">
        <v>2113</v>
      </c>
      <c r="V90" s="264" t="s">
        <v>1936</v>
      </c>
      <c r="W90" s="264" t="s">
        <v>2087</v>
      </c>
      <c r="X90" s="264" t="s">
        <v>1981</v>
      </c>
      <c r="Y90" s="264" t="s">
        <v>2087</v>
      </c>
      <c r="Z90" s="265" t="s">
        <v>1929</v>
      </c>
      <c r="AA90" s="265" t="s">
        <v>1821</v>
      </c>
      <c r="AB90" s="265" t="s">
        <v>1839</v>
      </c>
      <c r="AC90" s="265" t="s">
        <v>4225</v>
      </c>
      <c r="AD90" s="265" t="s">
        <v>1871</v>
      </c>
      <c r="AE90" s="265" t="s">
        <v>1857</v>
      </c>
      <c r="AF90" s="265" t="s">
        <v>4231</v>
      </c>
      <c r="AG90" s="265" t="s">
        <v>2087</v>
      </c>
      <c r="AH90" s="265" t="s">
        <v>2148</v>
      </c>
      <c r="AI90" s="265" t="s">
        <v>1877</v>
      </c>
    </row>
    <row r="91" spans="1:35" x14ac:dyDescent="0.25">
      <c r="A91" s="264" t="str">
        <f>HLOOKUP(Overview!$P$8,$B$1:$AI$1500,91,FALSE)</f>
        <v xml:space="preserve">          10000071</v>
      </c>
      <c r="B91" s="252"/>
      <c r="C91" s="183">
        <v>10114953</v>
      </c>
      <c r="D91" s="288" t="s">
        <v>2047</v>
      </c>
      <c r="E91" s="252" t="s">
        <v>1905</v>
      </c>
      <c r="F91" s="252" t="s">
        <v>1821</v>
      </c>
      <c r="G91" s="252" t="s">
        <v>1821</v>
      </c>
      <c r="I91" s="252" t="s">
        <v>2208</v>
      </c>
      <c r="J91" s="252" t="s">
        <v>4216</v>
      </c>
      <c r="K91" s="252" t="s">
        <v>1998</v>
      </c>
      <c r="L91" s="252" t="s">
        <v>1835</v>
      </c>
      <c r="M91" s="252" t="s">
        <v>2208</v>
      </c>
      <c r="N91" s="252" t="s">
        <v>1929</v>
      </c>
      <c r="O91" s="252" t="s">
        <v>1973</v>
      </c>
      <c r="P91" s="252" t="s">
        <v>2009</v>
      </c>
      <c r="Q91" s="252" t="s">
        <v>1906</v>
      </c>
      <c r="R91" s="252" t="s">
        <v>1910</v>
      </c>
      <c r="S91" s="252" t="s">
        <v>1959</v>
      </c>
      <c r="T91" s="252" t="s">
        <v>2098</v>
      </c>
      <c r="U91" s="252" t="s">
        <v>1967</v>
      </c>
      <c r="V91" s="252" t="s">
        <v>1981</v>
      </c>
      <c r="W91" s="252" t="s">
        <v>2125</v>
      </c>
      <c r="X91" s="252" t="s">
        <v>2227</v>
      </c>
      <c r="Y91" s="252" t="s">
        <v>2125</v>
      </c>
      <c r="Z91" s="266" t="s">
        <v>1877</v>
      </c>
      <c r="AA91" s="266" t="s">
        <v>1857</v>
      </c>
      <c r="AB91" s="266" t="s">
        <v>1906</v>
      </c>
      <c r="AC91" s="266" t="s">
        <v>2091</v>
      </c>
      <c r="AD91" s="266" t="s">
        <v>3617</v>
      </c>
      <c r="AE91" s="266" t="s">
        <v>1989</v>
      </c>
      <c r="AF91" s="266" t="s">
        <v>4222</v>
      </c>
      <c r="AG91" s="266" t="s">
        <v>2125</v>
      </c>
      <c r="AH91" s="266" t="s">
        <v>1929</v>
      </c>
      <c r="AI91" s="266" t="s">
        <v>2208</v>
      </c>
    </row>
    <row r="92" spans="1:35" x14ac:dyDescent="0.25">
      <c r="A92" s="264" t="str">
        <f>HLOOKUP(Overview!$P$8,$B$1:$AI$1500,92,FALSE)</f>
        <v xml:space="preserve">          10001315</v>
      </c>
      <c r="B92" s="252"/>
      <c r="C92" s="183">
        <v>20000088</v>
      </c>
      <c r="D92" s="287" t="s">
        <v>2089</v>
      </c>
      <c r="E92" s="264" t="s">
        <v>1850</v>
      </c>
      <c r="F92" s="264" t="s">
        <v>1857</v>
      </c>
      <c r="G92" s="264" t="s">
        <v>1857</v>
      </c>
      <c r="I92" s="264" t="s">
        <v>1861</v>
      </c>
      <c r="J92" s="264" t="s">
        <v>4215</v>
      </c>
      <c r="K92" s="264" t="s">
        <v>2049</v>
      </c>
      <c r="L92" s="264" t="s">
        <v>1910</v>
      </c>
      <c r="M92" s="264" t="s">
        <v>1861</v>
      </c>
      <c r="N92" s="264" t="s">
        <v>1877</v>
      </c>
      <c r="O92" s="264" t="s">
        <v>1884</v>
      </c>
      <c r="P92" s="264" t="s">
        <v>2196</v>
      </c>
      <c r="Q92" s="264" t="s">
        <v>1871</v>
      </c>
      <c r="R92" s="264" t="s">
        <v>2148</v>
      </c>
      <c r="S92" s="264" t="s">
        <v>1998</v>
      </c>
      <c r="T92" s="264" t="s">
        <v>2073</v>
      </c>
      <c r="U92" s="264" t="s">
        <v>1945</v>
      </c>
      <c r="V92" s="264" t="s">
        <v>2227</v>
      </c>
      <c r="W92" s="264" t="s">
        <v>2066</v>
      </c>
      <c r="X92" s="264" t="s">
        <v>2002</v>
      </c>
      <c r="Y92" s="264" t="s">
        <v>2066</v>
      </c>
      <c r="Z92" s="265" t="s">
        <v>2263</v>
      </c>
      <c r="AA92" s="265" t="s">
        <v>1989</v>
      </c>
      <c r="AB92" s="265" t="s">
        <v>1871</v>
      </c>
      <c r="AC92" s="265" t="s">
        <v>1942</v>
      </c>
      <c r="AD92" s="265" t="s">
        <v>1892</v>
      </c>
      <c r="AE92" s="265" t="s">
        <v>1949</v>
      </c>
      <c r="AF92" s="265" t="s">
        <v>1861</v>
      </c>
      <c r="AG92" s="265" t="s">
        <v>2066</v>
      </c>
      <c r="AH92" s="265" t="s">
        <v>1877</v>
      </c>
      <c r="AI92" s="265" t="s">
        <v>2263</v>
      </c>
    </row>
    <row r="93" spans="1:35" x14ac:dyDescent="0.25">
      <c r="A93" s="264" t="str">
        <f>HLOOKUP(Overview!$P$8,$B$1:$AI$1500,93,FALSE)</f>
        <v xml:space="preserve">          10001332</v>
      </c>
      <c r="B93" s="252"/>
      <c r="C93" s="183">
        <v>10000748</v>
      </c>
      <c r="D93" s="288" t="s">
        <v>2125</v>
      </c>
      <c r="E93" s="252" t="s">
        <v>1881</v>
      </c>
      <c r="F93" s="252" t="s">
        <v>1989</v>
      </c>
      <c r="G93" s="252" t="s">
        <v>1989</v>
      </c>
      <c r="I93" s="252" t="s">
        <v>1973</v>
      </c>
      <c r="J93" s="252" t="s">
        <v>1821</v>
      </c>
      <c r="K93" s="252" t="s">
        <v>2140</v>
      </c>
      <c r="L93" s="252" t="s">
        <v>4218</v>
      </c>
      <c r="M93" s="252" t="s">
        <v>1973</v>
      </c>
      <c r="N93" s="252" t="s">
        <v>2208</v>
      </c>
      <c r="O93" s="252" t="s">
        <v>1936</v>
      </c>
      <c r="P93" s="252" t="s">
        <v>1839</v>
      </c>
      <c r="Q93" s="252" t="s">
        <v>3617</v>
      </c>
      <c r="R93" s="252" t="s">
        <v>1929</v>
      </c>
      <c r="S93" s="252" t="s">
        <v>4232</v>
      </c>
      <c r="T93" s="252" t="s">
        <v>2024</v>
      </c>
      <c r="U93" s="252" t="s">
        <v>2098</v>
      </c>
      <c r="V93" s="252" t="s">
        <v>2002</v>
      </c>
      <c r="W93" s="252" t="s">
        <v>2132</v>
      </c>
      <c r="X93" s="252" t="s">
        <v>2035</v>
      </c>
      <c r="Y93" s="252" t="s">
        <v>2132</v>
      </c>
      <c r="Z93" s="266" t="s">
        <v>1861</v>
      </c>
      <c r="AA93" s="266" t="s">
        <v>1949</v>
      </c>
      <c r="AB93" s="266" t="s">
        <v>3617</v>
      </c>
      <c r="AC93" s="266" t="s">
        <v>1959</v>
      </c>
      <c r="AD93" s="266" t="s">
        <v>1835</v>
      </c>
      <c r="AE93" s="266" t="s">
        <v>2009</v>
      </c>
      <c r="AF93" s="266" t="s">
        <v>1973</v>
      </c>
      <c r="AG93" s="266" t="s">
        <v>2132</v>
      </c>
      <c r="AH93" s="266" t="s">
        <v>2208</v>
      </c>
      <c r="AI93" s="266" t="s">
        <v>1861</v>
      </c>
    </row>
    <row r="94" spans="1:35" x14ac:dyDescent="0.25">
      <c r="A94" s="264" t="str">
        <f>HLOOKUP(Overview!$P$8,$B$1:$AI$1500,94,FALSE)</f>
        <v xml:space="preserve">          10001334</v>
      </c>
      <c r="B94" s="252"/>
      <c r="C94" s="263">
        <v>10085234</v>
      </c>
      <c r="D94" s="287" t="s">
        <v>2066</v>
      </c>
      <c r="E94" s="264" t="s">
        <v>4206</v>
      </c>
      <c r="F94" s="264" t="s">
        <v>1949</v>
      </c>
      <c r="G94" s="264" t="s">
        <v>1949</v>
      </c>
      <c r="I94" s="264" t="s">
        <v>2018</v>
      </c>
      <c r="J94" s="264" t="s">
        <v>1857</v>
      </c>
      <c r="K94" s="264" t="s">
        <v>2086</v>
      </c>
      <c r="L94" s="264" t="s">
        <v>2148</v>
      </c>
      <c r="M94" s="264" t="s">
        <v>2018</v>
      </c>
      <c r="N94" s="264" t="s">
        <v>4231</v>
      </c>
      <c r="O94" s="264" t="s">
        <v>1981</v>
      </c>
      <c r="P94" s="264" t="s">
        <v>1906</v>
      </c>
      <c r="Q94" s="264" t="s">
        <v>1892</v>
      </c>
      <c r="R94" s="264" t="s">
        <v>1877</v>
      </c>
      <c r="S94" s="264" t="s">
        <v>2140</v>
      </c>
      <c r="T94" s="264" t="s">
        <v>2080</v>
      </c>
      <c r="U94" s="264" t="s">
        <v>2073</v>
      </c>
      <c r="V94" s="264" t="s">
        <v>2035</v>
      </c>
      <c r="W94" s="264" t="s">
        <v>2068</v>
      </c>
      <c r="X94" s="264" t="s">
        <v>2113</v>
      </c>
      <c r="Y94" s="264" t="s">
        <v>2068</v>
      </c>
      <c r="Z94" s="265" t="s">
        <v>1973</v>
      </c>
      <c r="AA94" s="265" t="s">
        <v>2009</v>
      </c>
      <c r="AB94" s="265" t="s">
        <v>1892</v>
      </c>
      <c r="AC94" s="265" t="s">
        <v>1998</v>
      </c>
      <c r="AD94" s="265" t="s">
        <v>1910</v>
      </c>
      <c r="AE94" s="265" t="s">
        <v>1839</v>
      </c>
      <c r="AF94" s="265" t="s">
        <v>2018</v>
      </c>
      <c r="AG94" s="265" t="s">
        <v>2068</v>
      </c>
      <c r="AH94" s="265" t="s">
        <v>4228</v>
      </c>
      <c r="AI94" s="265" t="s">
        <v>1973</v>
      </c>
    </row>
    <row r="95" spans="1:35" x14ac:dyDescent="0.25">
      <c r="A95" s="264" t="str">
        <f>HLOOKUP(Overview!$P$8,$B$1:$AI$1500,95,FALSE)</f>
        <v xml:space="preserve">          10001335</v>
      </c>
      <c r="B95" s="252"/>
      <c r="C95" s="183">
        <v>10000749</v>
      </c>
      <c r="D95" s="288" t="s">
        <v>2132</v>
      </c>
      <c r="E95" s="252" t="s">
        <v>4208</v>
      </c>
      <c r="F95" s="252" t="s">
        <v>2009</v>
      </c>
      <c r="G95" s="252" t="s">
        <v>2009</v>
      </c>
      <c r="I95" s="252" t="s">
        <v>1936</v>
      </c>
      <c r="J95" s="252" t="s">
        <v>1989</v>
      </c>
      <c r="K95" s="252" t="s">
        <v>2177</v>
      </c>
      <c r="L95" s="252" t="s">
        <v>1929</v>
      </c>
      <c r="M95" s="252" t="s">
        <v>2155</v>
      </c>
      <c r="N95" s="252" t="s">
        <v>1861</v>
      </c>
      <c r="O95" s="252" t="s">
        <v>2227</v>
      </c>
      <c r="P95" s="252" t="s">
        <v>1871</v>
      </c>
      <c r="Q95" s="252" t="s">
        <v>1835</v>
      </c>
      <c r="R95" s="252" t="s">
        <v>2208</v>
      </c>
      <c r="S95" s="252" t="s">
        <v>1908</v>
      </c>
      <c r="T95" s="252" t="s">
        <v>4217</v>
      </c>
      <c r="U95" s="252" t="s">
        <v>2024</v>
      </c>
      <c r="V95" s="252" t="s">
        <v>2113</v>
      </c>
      <c r="W95" s="252" t="s">
        <v>1821</v>
      </c>
      <c r="X95" s="252" t="s">
        <v>4233</v>
      </c>
      <c r="Y95" s="252" t="s">
        <v>1821</v>
      </c>
      <c r="Z95" s="266" t="s">
        <v>3573</v>
      </c>
      <c r="AA95" s="266" t="s">
        <v>1839</v>
      </c>
      <c r="AB95" s="266" t="s">
        <v>2041</v>
      </c>
      <c r="AC95" s="266" t="s">
        <v>2049</v>
      </c>
      <c r="AD95" s="266" t="s">
        <v>2148</v>
      </c>
      <c r="AE95" s="266" t="s">
        <v>1906</v>
      </c>
      <c r="AF95" s="266" t="s">
        <v>2155</v>
      </c>
      <c r="AG95" s="266" t="s">
        <v>1821</v>
      </c>
      <c r="AH95" s="266" t="s">
        <v>1861</v>
      </c>
      <c r="AI95" s="266" t="s">
        <v>2018</v>
      </c>
    </row>
    <row r="96" spans="1:35" x14ac:dyDescent="0.25">
      <c r="A96" s="264" t="str">
        <f>HLOOKUP(Overview!$P$8,$B$1:$AI$1500,96,FALSE)</f>
        <v xml:space="preserve">          10001336</v>
      </c>
      <c r="B96" s="252"/>
      <c r="C96" s="183">
        <v>10000750</v>
      </c>
      <c r="D96" s="287" t="s">
        <v>2068</v>
      </c>
      <c r="E96" s="264" t="s">
        <v>4209</v>
      </c>
      <c r="F96" s="264" t="s">
        <v>1839</v>
      </c>
      <c r="G96" s="264" t="s">
        <v>1839</v>
      </c>
      <c r="I96" s="264" t="s">
        <v>1981</v>
      </c>
      <c r="J96" s="264" t="s">
        <v>1949</v>
      </c>
      <c r="K96" s="264" t="s">
        <v>1908</v>
      </c>
      <c r="L96" s="264" t="s">
        <v>1877</v>
      </c>
      <c r="M96" s="264" t="s">
        <v>1932</v>
      </c>
      <c r="N96" s="264" t="s">
        <v>1973</v>
      </c>
      <c r="O96" s="264" t="s">
        <v>2002</v>
      </c>
      <c r="P96" s="264" t="s">
        <v>3617</v>
      </c>
      <c r="Q96" s="264" t="s">
        <v>1910</v>
      </c>
      <c r="R96" s="264" t="s">
        <v>1861</v>
      </c>
      <c r="S96" s="264" t="s">
        <v>1890</v>
      </c>
      <c r="T96" s="264" t="s">
        <v>2142</v>
      </c>
      <c r="U96" s="264" t="s">
        <v>2080</v>
      </c>
      <c r="V96" s="264" t="s">
        <v>1967</v>
      </c>
      <c r="W96" s="264" t="s">
        <v>1857</v>
      </c>
      <c r="X96" s="264" t="s">
        <v>1967</v>
      </c>
      <c r="Y96" s="264" t="s">
        <v>1857</v>
      </c>
      <c r="Z96" s="265" t="s">
        <v>1884</v>
      </c>
      <c r="AA96" s="265" t="s">
        <v>1906</v>
      </c>
      <c r="AB96" s="265" t="s">
        <v>1835</v>
      </c>
      <c r="AC96" s="265" t="s">
        <v>2121</v>
      </c>
      <c r="AD96" s="265" t="s">
        <v>1929</v>
      </c>
      <c r="AE96" s="265" t="s">
        <v>1871</v>
      </c>
      <c r="AF96" s="265" t="s">
        <v>1981</v>
      </c>
      <c r="AG96" s="265" t="s">
        <v>1857</v>
      </c>
      <c r="AH96" s="265" t="s">
        <v>1973</v>
      </c>
      <c r="AI96" s="265" t="s">
        <v>2155</v>
      </c>
    </row>
    <row r="97" spans="1:35" x14ac:dyDescent="0.25">
      <c r="A97" s="264" t="str">
        <f>HLOOKUP(Overview!$P$8,$B$1:$AI$1500,97,FALSE)</f>
        <v xml:space="preserve">          10001633</v>
      </c>
      <c r="B97" s="252"/>
      <c r="C97" s="183">
        <v>10000747</v>
      </c>
      <c r="D97" s="288" t="s">
        <v>1936</v>
      </c>
      <c r="E97" s="252" t="s">
        <v>1969</v>
      </c>
      <c r="F97" s="252" t="s">
        <v>1906</v>
      </c>
      <c r="G97" s="252" t="s">
        <v>1906</v>
      </c>
      <c r="I97" s="252" t="s">
        <v>2227</v>
      </c>
      <c r="J97" s="252" t="s">
        <v>2009</v>
      </c>
      <c r="K97" s="252" t="s">
        <v>1890</v>
      </c>
      <c r="L97" s="252" t="s">
        <v>2208</v>
      </c>
      <c r="M97" s="252" t="s">
        <v>1884</v>
      </c>
      <c r="N97" s="252" t="s">
        <v>2018</v>
      </c>
      <c r="O97" s="252" t="s">
        <v>2035</v>
      </c>
      <c r="P97" s="252" t="s">
        <v>1892</v>
      </c>
      <c r="Q97" s="252" t="s">
        <v>4218</v>
      </c>
      <c r="R97" s="252" t="s">
        <v>1973</v>
      </c>
      <c r="S97" s="252" t="s">
        <v>1934</v>
      </c>
      <c r="T97" s="252" t="s">
        <v>1916</v>
      </c>
      <c r="U97" s="252" t="s">
        <v>2056</v>
      </c>
      <c r="V97" s="252" t="s">
        <v>1945</v>
      </c>
      <c r="W97" s="252" t="s">
        <v>1989</v>
      </c>
      <c r="X97" s="252" t="s">
        <v>1945</v>
      </c>
      <c r="Y97" s="252" t="s">
        <v>1989</v>
      </c>
      <c r="Z97" s="266" t="s">
        <v>1936</v>
      </c>
      <c r="AA97" s="266" t="s">
        <v>1871</v>
      </c>
      <c r="AB97" s="266" t="s">
        <v>1910</v>
      </c>
      <c r="AC97" s="266" t="s">
        <v>2192</v>
      </c>
      <c r="AD97" s="266" t="s">
        <v>1877</v>
      </c>
      <c r="AE97" s="266" t="s">
        <v>3617</v>
      </c>
      <c r="AF97" s="266" t="s">
        <v>2227</v>
      </c>
      <c r="AG97" s="266" t="s">
        <v>1989</v>
      </c>
      <c r="AH97" s="266" t="s">
        <v>2018</v>
      </c>
      <c r="AI97" s="266" t="s">
        <v>4234</v>
      </c>
    </row>
    <row r="98" spans="1:35" x14ac:dyDescent="0.25">
      <c r="A98" s="264" t="str">
        <f>HLOOKUP(Overview!$P$8,$B$1:$AI$1500,98,FALSE)</f>
        <v xml:space="preserve">          10109723</v>
      </c>
      <c r="B98" s="252"/>
      <c r="C98" s="183">
        <v>20029715</v>
      </c>
      <c r="D98" s="287" t="s">
        <v>4337</v>
      </c>
      <c r="E98" s="264" t="s">
        <v>1863</v>
      </c>
      <c r="F98" s="264" t="s">
        <v>1871</v>
      </c>
      <c r="G98" s="264" t="s">
        <v>1871</v>
      </c>
      <c r="I98" s="264" t="s">
        <v>2002</v>
      </c>
      <c r="J98" s="264" t="s">
        <v>2196</v>
      </c>
      <c r="K98" s="264" t="s">
        <v>1934</v>
      </c>
      <c r="L98" s="264" t="s">
        <v>4228</v>
      </c>
      <c r="M98" s="264" t="s">
        <v>1936</v>
      </c>
      <c r="N98" s="264" t="s">
        <v>2155</v>
      </c>
      <c r="O98" s="264" t="s">
        <v>2113</v>
      </c>
      <c r="P98" s="264" t="s">
        <v>1835</v>
      </c>
      <c r="Q98" s="264" t="s">
        <v>2148</v>
      </c>
      <c r="R98" s="264" t="s">
        <v>2155</v>
      </c>
      <c r="S98" s="264" t="s">
        <v>1971</v>
      </c>
      <c r="T98" s="264" t="s">
        <v>1897</v>
      </c>
      <c r="U98" s="264" t="s">
        <v>4217</v>
      </c>
      <c r="V98" s="264" t="s">
        <v>2098</v>
      </c>
      <c r="W98" s="264" t="s">
        <v>1949</v>
      </c>
      <c r="X98" s="264" t="s">
        <v>2098</v>
      </c>
      <c r="Y98" s="264" t="s">
        <v>1949</v>
      </c>
      <c r="Z98" s="265" t="s">
        <v>1981</v>
      </c>
      <c r="AA98" s="265" t="s">
        <v>3617</v>
      </c>
      <c r="AB98" s="265" t="s">
        <v>2148</v>
      </c>
      <c r="AC98" s="265" t="s">
        <v>2115</v>
      </c>
      <c r="AD98" s="265" t="s">
        <v>2208</v>
      </c>
      <c r="AE98" s="265" t="s">
        <v>1892</v>
      </c>
      <c r="AF98" s="265" t="s">
        <v>2002</v>
      </c>
      <c r="AG98" s="265" t="s">
        <v>1949</v>
      </c>
      <c r="AH98" s="265" t="s">
        <v>2155</v>
      </c>
      <c r="AI98" s="265" t="s">
        <v>1936</v>
      </c>
    </row>
    <row r="99" spans="1:35" x14ac:dyDescent="0.25">
      <c r="A99" s="264" t="str">
        <f>HLOOKUP(Overview!$P$8,$B$1:$AI$1500,99,FALSE)</f>
        <v xml:space="preserve">          10110362</v>
      </c>
      <c r="B99" s="252"/>
      <c r="C99" s="183">
        <v>20000453</v>
      </c>
      <c r="D99" s="288" t="s">
        <v>2085</v>
      </c>
      <c r="E99" s="252" t="s">
        <v>1879</v>
      </c>
      <c r="F99" s="252" t="s">
        <v>3617</v>
      </c>
      <c r="G99" s="252" t="s">
        <v>3617</v>
      </c>
      <c r="I99" s="252" t="s">
        <v>2035</v>
      </c>
      <c r="J99" s="252" t="s">
        <v>1839</v>
      </c>
      <c r="K99" s="252" t="s">
        <v>1971</v>
      </c>
      <c r="L99" s="252" t="s">
        <v>1861</v>
      </c>
      <c r="M99" s="252" t="s">
        <v>1981</v>
      </c>
      <c r="N99" s="252" t="s">
        <v>1932</v>
      </c>
      <c r="O99" s="252" t="s">
        <v>1967</v>
      </c>
      <c r="P99" s="252" t="s">
        <v>1910</v>
      </c>
      <c r="Q99" s="252" t="s">
        <v>1929</v>
      </c>
      <c r="R99" s="252" t="s">
        <v>3573</v>
      </c>
      <c r="S99" s="252" t="s">
        <v>2160</v>
      </c>
      <c r="T99" s="252" t="s">
        <v>2000</v>
      </c>
      <c r="U99" s="252" t="s">
        <v>1919</v>
      </c>
      <c r="V99" s="252" t="s">
        <v>2073</v>
      </c>
      <c r="W99" s="252" t="s">
        <v>2009</v>
      </c>
      <c r="X99" s="252" t="s">
        <v>2073</v>
      </c>
      <c r="Y99" s="252" t="s">
        <v>2009</v>
      </c>
      <c r="Z99" s="266" t="s">
        <v>2227</v>
      </c>
      <c r="AA99" s="266" t="s">
        <v>1892</v>
      </c>
      <c r="AB99" s="266" t="s">
        <v>1929</v>
      </c>
      <c r="AC99" s="266" t="s">
        <v>2086</v>
      </c>
      <c r="AD99" s="266" t="s">
        <v>1861</v>
      </c>
      <c r="AE99" s="266" t="s">
        <v>2041</v>
      </c>
      <c r="AF99" s="266" t="s">
        <v>2035</v>
      </c>
      <c r="AG99" s="266" t="s">
        <v>2009</v>
      </c>
      <c r="AH99" s="266" t="s">
        <v>1936</v>
      </c>
      <c r="AI99" s="266" t="s">
        <v>1981</v>
      </c>
    </row>
    <row r="100" spans="1:35" x14ac:dyDescent="0.25">
      <c r="A100" s="264" t="str">
        <f>HLOOKUP(Overview!$P$8,$B$1:$AI$1500,100,FALSE)</f>
        <v xml:space="preserve">          20028329</v>
      </c>
      <c r="B100" s="252"/>
      <c r="C100" s="183">
        <v>10112795</v>
      </c>
      <c r="D100" s="287" t="s">
        <v>3515</v>
      </c>
      <c r="E100" s="264" t="s">
        <v>1888</v>
      </c>
      <c r="F100" s="264" t="s">
        <v>1892</v>
      </c>
      <c r="G100" s="264" t="s">
        <v>1892</v>
      </c>
      <c r="I100" s="264" t="s">
        <v>2113</v>
      </c>
      <c r="J100" s="264" t="s">
        <v>1906</v>
      </c>
      <c r="K100" s="264" t="s">
        <v>2291</v>
      </c>
      <c r="L100" s="264" t="s">
        <v>1973</v>
      </c>
      <c r="M100" s="264" t="s">
        <v>2227</v>
      </c>
      <c r="N100" s="264" t="s">
        <v>1981</v>
      </c>
      <c r="O100" s="264" t="s">
        <v>1945</v>
      </c>
      <c r="P100" s="264" t="s">
        <v>4218</v>
      </c>
      <c r="Q100" s="264" t="s">
        <v>1877</v>
      </c>
      <c r="R100" s="264" t="s">
        <v>1884</v>
      </c>
      <c r="S100" s="264" t="s">
        <v>2078</v>
      </c>
      <c r="T100" s="264" t="s">
        <v>1996</v>
      </c>
      <c r="U100" s="264" t="s">
        <v>1914</v>
      </c>
      <c r="V100" s="264" t="s">
        <v>2024</v>
      </c>
      <c r="W100" s="264" t="s">
        <v>1839</v>
      </c>
      <c r="X100" s="264" t="s">
        <v>2024</v>
      </c>
      <c r="Y100" s="264" t="s">
        <v>1839</v>
      </c>
      <c r="Z100" s="265" t="s">
        <v>2002</v>
      </c>
      <c r="AA100" s="265" t="s">
        <v>2041</v>
      </c>
      <c r="AB100" s="265" t="s">
        <v>1877</v>
      </c>
      <c r="AC100" s="265" t="s">
        <v>2177</v>
      </c>
      <c r="AD100" s="265" t="s">
        <v>1973</v>
      </c>
      <c r="AE100" s="265" t="s">
        <v>1835</v>
      </c>
      <c r="AF100" s="265" t="s">
        <v>2113</v>
      </c>
      <c r="AG100" s="265" t="s">
        <v>1871</v>
      </c>
      <c r="AH100" s="265" t="s">
        <v>1981</v>
      </c>
      <c r="AI100" s="265" t="s">
        <v>2227</v>
      </c>
    </row>
    <row r="101" spans="1:35" x14ac:dyDescent="0.25">
      <c r="A101" s="264" t="str">
        <f>HLOOKUP(Overview!$P$8,$B$1:$AI$1500,101,FALSE)</f>
        <v xml:space="preserve">          20028335</v>
      </c>
      <c r="B101" s="252"/>
      <c r="C101" s="183">
        <v>10109982</v>
      </c>
      <c r="D101" s="288" t="s">
        <v>3415</v>
      </c>
      <c r="E101" s="252" t="s">
        <v>2092</v>
      </c>
      <c r="F101" s="252" t="s">
        <v>2041</v>
      </c>
      <c r="G101" s="252" t="s">
        <v>2041</v>
      </c>
      <c r="I101" s="252" t="s">
        <v>1967</v>
      </c>
      <c r="J101" s="252" t="s">
        <v>1871</v>
      </c>
      <c r="K101" s="252" t="s">
        <v>2319</v>
      </c>
      <c r="L101" s="252" t="s">
        <v>2018</v>
      </c>
      <c r="M101" s="252" t="s">
        <v>2002</v>
      </c>
      <c r="N101" s="252" t="s">
        <v>2227</v>
      </c>
      <c r="O101" s="252" t="s">
        <v>2098</v>
      </c>
      <c r="P101" s="252" t="s">
        <v>2148</v>
      </c>
      <c r="Q101" s="252" t="s">
        <v>2208</v>
      </c>
      <c r="R101" s="252" t="s">
        <v>1936</v>
      </c>
      <c r="S101" s="252" t="s">
        <v>4235</v>
      </c>
      <c r="T101" s="252" t="s">
        <v>2075</v>
      </c>
      <c r="U101" s="252" t="s">
        <v>2142</v>
      </c>
      <c r="V101" s="252" t="s">
        <v>2080</v>
      </c>
      <c r="W101" s="252" t="s">
        <v>1906</v>
      </c>
      <c r="X101" s="252" t="s">
        <v>2080</v>
      </c>
      <c r="Y101" s="252" t="s">
        <v>1906</v>
      </c>
      <c r="Z101" s="266" t="s">
        <v>2035</v>
      </c>
      <c r="AA101" s="266" t="s">
        <v>1835</v>
      </c>
      <c r="AB101" s="266" t="s">
        <v>2208</v>
      </c>
      <c r="AC101" s="266" t="s">
        <v>1890</v>
      </c>
      <c r="AD101" s="266" t="s">
        <v>2018</v>
      </c>
      <c r="AE101" s="266" t="s">
        <v>1910</v>
      </c>
      <c r="AF101" s="266" t="s">
        <v>1967</v>
      </c>
      <c r="AG101" s="266" t="s">
        <v>3617</v>
      </c>
      <c r="AH101" s="266" t="s">
        <v>2227</v>
      </c>
      <c r="AI101" s="266" t="s">
        <v>2002</v>
      </c>
    </row>
    <row r="102" spans="1:35" x14ac:dyDescent="0.25">
      <c r="A102" s="264" t="str">
        <f>HLOOKUP(Overview!$P$8,$B$1:$AI$1500,102,FALSE)</f>
        <v xml:space="preserve">          20000631</v>
      </c>
      <c r="B102" s="252"/>
      <c r="C102" s="183">
        <v>10110005</v>
      </c>
      <c r="D102" s="287" t="s">
        <v>2159</v>
      </c>
      <c r="E102" s="264" t="s">
        <v>2059</v>
      </c>
      <c r="F102" s="264" t="s">
        <v>1835</v>
      </c>
      <c r="G102" s="264" t="s">
        <v>1835</v>
      </c>
      <c r="I102" s="264" t="s">
        <v>1945</v>
      </c>
      <c r="J102" s="264" t="s">
        <v>3617</v>
      </c>
      <c r="K102" s="264" t="s">
        <v>2273</v>
      </c>
      <c r="L102" s="264" t="s">
        <v>1884</v>
      </c>
      <c r="M102" s="264" t="s">
        <v>2035</v>
      </c>
      <c r="N102" s="264" t="s">
        <v>2002</v>
      </c>
      <c r="O102" s="264" t="s">
        <v>2073</v>
      </c>
      <c r="P102" s="264" t="s">
        <v>1929</v>
      </c>
      <c r="Q102" s="264" t="s">
        <v>1861</v>
      </c>
      <c r="R102" s="264" t="s">
        <v>1981</v>
      </c>
      <c r="S102" s="264" t="s">
        <v>2096</v>
      </c>
      <c r="T102" s="264" t="s">
        <v>2031</v>
      </c>
      <c r="U102" s="264" t="s">
        <v>1829</v>
      </c>
      <c r="V102" s="264" t="s">
        <v>4236</v>
      </c>
      <c r="W102" s="264" t="s">
        <v>1871</v>
      </c>
      <c r="X102" s="264" t="s">
        <v>2171</v>
      </c>
      <c r="Y102" s="264" t="s">
        <v>1871</v>
      </c>
      <c r="Z102" s="265" t="s">
        <v>2113</v>
      </c>
      <c r="AA102" s="265" t="s">
        <v>1910</v>
      </c>
      <c r="AB102" s="265" t="s">
        <v>2263</v>
      </c>
      <c r="AC102" s="265" t="s">
        <v>1934</v>
      </c>
      <c r="AD102" s="265" t="s">
        <v>2155</v>
      </c>
      <c r="AE102" s="265" t="s">
        <v>2148</v>
      </c>
      <c r="AF102" s="265" t="s">
        <v>1945</v>
      </c>
      <c r="AG102" s="265" t="s">
        <v>1892</v>
      </c>
      <c r="AH102" s="265" t="s">
        <v>2002</v>
      </c>
      <c r="AI102" s="265" t="s">
        <v>2035</v>
      </c>
    </row>
    <row r="103" spans="1:35" x14ac:dyDescent="0.25">
      <c r="A103" s="264" t="str">
        <f>HLOOKUP(Overview!$P$8,$B$1:$AI$1500,103,FALSE)</f>
        <v xml:space="preserve">          20020822</v>
      </c>
      <c r="B103" s="252"/>
      <c r="C103" s="183">
        <v>10112794</v>
      </c>
      <c r="D103" s="288" t="s">
        <v>2276</v>
      </c>
      <c r="E103" s="252" t="s">
        <v>1951</v>
      </c>
      <c r="F103" s="252" t="s">
        <v>1910</v>
      </c>
      <c r="G103" s="252" t="s">
        <v>1910</v>
      </c>
      <c r="I103" s="252" t="s">
        <v>2098</v>
      </c>
      <c r="J103" s="252" t="s">
        <v>1892</v>
      </c>
      <c r="K103" s="252" t="s">
        <v>2160</v>
      </c>
      <c r="L103" s="252" t="s">
        <v>1936</v>
      </c>
      <c r="M103" s="252" t="s">
        <v>2113</v>
      </c>
      <c r="N103" s="252" t="s">
        <v>2035</v>
      </c>
      <c r="O103" s="252" t="s">
        <v>2024</v>
      </c>
      <c r="P103" s="252" t="s">
        <v>1877</v>
      </c>
      <c r="Q103" s="252" t="s">
        <v>1973</v>
      </c>
      <c r="R103" s="252" t="s">
        <v>2227</v>
      </c>
      <c r="S103" s="252" t="s">
        <v>2070</v>
      </c>
      <c r="T103" s="252" t="s">
        <v>2107</v>
      </c>
      <c r="U103" s="252" t="s">
        <v>1979</v>
      </c>
      <c r="V103" s="252" t="s">
        <v>2142</v>
      </c>
      <c r="W103" s="252" t="s">
        <v>3617</v>
      </c>
      <c r="X103" s="252" t="s">
        <v>1916</v>
      </c>
      <c r="Y103" s="252" t="s">
        <v>3617</v>
      </c>
      <c r="Z103" s="266" t="s">
        <v>1967</v>
      </c>
      <c r="AA103" s="266" t="s">
        <v>2148</v>
      </c>
      <c r="AB103" s="266" t="s">
        <v>1861</v>
      </c>
      <c r="AC103" s="266" t="s">
        <v>1971</v>
      </c>
      <c r="AD103" s="266" t="s">
        <v>1884</v>
      </c>
      <c r="AE103" s="266" t="s">
        <v>1929</v>
      </c>
      <c r="AF103" s="266" t="s">
        <v>2098</v>
      </c>
      <c r="AG103" s="266" t="s">
        <v>2041</v>
      </c>
      <c r="AH103" s="266" t="s">
        <v>2035</v>
      </c>
      <c r="AI103" s="266" t="s">
        <v>2113</v>
      </c>
    </row>
    <row r="104" spans="1:35" x14ac:dyDescent="0.25">
      <c r="A104" s="264" t="str">
        <f>HLOOKUP(Overview!$P$8,$B$1:$AI$1500,104,FALSE)</f>
        <v xml:space="preserve">          20028242</v>
      </c>
      <c r="B104" s="252"/>
      <c r="C104" s="263">
        <v>10109984</v>
      </c>
      <c r="D104" s="287" t="s">
        <v>3690</v>
      </c>
      <c r="E104" s="264" t="s">
        <v>2304</v>
      </c>
      <c r="F104" s="264" t="s">
        <v>2148</v>
      </c>
      <c r="G104" s="264" t="s">
        <v>2148</v>
      </c>
      <c r="I104" s="264" t="s">
        <v>2073</v>
      </c>
      <c r="J104" s="264" t="s">
        <v>1835</v>
      </c>
      <c r="K104" s="264" t="s">
        <v>2124</v>
      </c>
      <c r="L104" s="264" t="s">
        <v>1981</v>
      </c>
      <c r="M104" s="264" t="s">
        <v>1967</v>
      </c>
      <c r="N104" s="264" t="s">
        <v>2113</v>
      </c>
      <c r="O104" s="264" t="s">
        <v>2080</v>
      </c>
      <c r="P104" s="264" t="s">
        <v>2208</v>
      </c>
      <c r="Q104" s="264" t="s">
        <v>1884</v>
      </c>
      <c r="R104" s="264" t="s">
        <v>2002</v>
      </c>
      <c r="S104" s="264" t="s">
        <v>2325</v>
      </c>
      <c r="T104" s="264" t="s">
        <v>2117</v>
      </c>
      <c r="U104" s="264" t="s">
        <v>2082</v>
      </c>
      <c r="V104" s="264" t="s">
        <v>1916</v>
      </c>
      <c r="W104" s="264" t="s">
        <v>1892</v>
      </c>
      <c r="X104" s="264" t="s">
        <v>1897</v>
      </c>
      <c r="Y104" s="264" t="s">
        <v>1892</v>
      </c>
      <c r="Z104" s="265" t="s">
        <v>1945</v>
      </c>
      <c r="AA104" s="265" t="s">
        <v>1929</v>
      </c>
      <c r="AB104" s="265" t="s">
        <v>1973</v>
      </c>
      <c r="AC104" s="265" t="s">
        <v>2291</v>
      </c>
      <c r="AD104" s="265" t="s">
        <v>1936</v>
      </c>
      <c r="AE104" s="265" t="s">
        <v>1877</v>
      </c>
      <c r="AF104" s="265" t="s">
        <v>2073</v>
      </c>
      <c r="AG104" s="265" t="s">
        <v>1835</v>
      </c>
      <c r="AH104" s="265" t="s">
        <v>2113</v>
      </c>
      <c r="AI104" s="265" t="s">
        <v>1967</v>
      </c>
    </row>
    <row r="105" spans="1:35" x14ac:dyDescent="0.25">
      <c r="A105" s="264" t="str">
        <f>HLOOKUP(Overview!$P$8,$B$1:$AI$1500,105,FALSE)</f>
        <v xml:space="preserve">          10003023</v>
      </c>
      <c r="B105" s="252"/>
      <c r="C105" s="183">
        <v>10110021</v>
      </c>
      <c r="D105" s="288" t="s">
        <v>2117</v>
      </c>
      <c r="E105" s="252" t="s">
        <v>1947</v>
      </c>
      <c r="F105" s="252" t="s">
        <v>1929</v>
      </c>
      <c r="G105" s="252" t="s">
        <v>1929</v>
      </c>
      <c r="I105" s="252" t="s">
        <v>2024</v>
      </c>
      <c r="J105" s="252" t="s">
        <v>1910</v>
      </c>
      <c r="K105" s="252" t="s">
        <v>2070</v>
      </c>
      <c r="L105" s="252" t="s">
        <v>2227</v>
      </c>
      <c r="M105" s="252" t="s">
        <v>1945</v>
      </c>
      <c r="N105" s="252" t="s">
        <v>1967</v>
      </c>
      <c r="O105" s="252" t="s">
        <v>4217</v>
      </c>
      <c r="P105" s="252" t="s">
        <v>1861</v>
      </c>
      <c r="Q105" s="252" t="s">
        <v>1936</v>
      </c>
      <c r="R105" s="252" t="s">
        <v>2035</v>
      </c>
      <c r="S105" s="252" t="s">
        <v>2156</v>
      </c>
      <c r="T105" s="252" t="s">
        <v>2230</v>
      </c>
      <c r="U105" s="252" t="s">
        <v>2061</v>
      </c>
      <c r="V105" s="252" t="s">
        <v>1897</v>
      </c>
      <c r="W105" s="252" t="s">
        <v>2041</v>
      </c>
      <c r="X105" s="252" t="s">
        <v>1996</v>
      </c>
      <c r="Y105" s="252" t="s">
        <v>2041</v>
      </c>
      <c r="Z105" s="266" t="s">
        <v>2098</v>
      </c>
      <c r="AA105" s="266" t="s">
        <v>1877</v>
      </c>
      <c r="AB105" s="266" t="s">
        <v>2018</v>
      </c>
      <c r="AC105" s="266" t="s">
        <v>2273</v>
      </c>
      <c r="AD105" s="266" t="s">
        <v>1981</v>
      </c>
      <c r="AE105" s="266" t="s">
        <v>2208</v>
      </c>
      <c r="AF105" s="266" t="s">
        <v>2024</v>
      </c>
      <c r="AG105" s="266" t="s">
        <v>1910</v>
      </c>
      <c r="AH105" s="266" t="s">
        <v>1967</v>
      </c>
      <c r="AI105" s="266" t="s">
        <v>1945</v>
      </c>
    </row>
    <row r="106" spans="1:35" x14ac:dyDescent="0.25">
      <c r="A106" s="264" t="str">
        <f>HLOOKUP(Overview!$P$8,$B$1:$AI$1500,106,FALSE)</f>
        <v xml:space="preserve">          10003024</v>
      </c>
      <c r="B106" s="252"/>
      <c r="C106" s="183">
        <v>10110042</v>
      </c>
      <c r="D106" s="287" t="s">
        <v>2230</v>
      </c>
      <c r="E106" s="264" t="s">
        <v>2216</v>
      </c>
      <c r="F106" s="264" t="s">
        <v>1877</v>
      </c>
      <c r="G106" s="264" t="s">
        <v>1877</v>
      </c>
      <c r="I106" s="264" t="s">
        <v>2080</v>
      </c>
      <c r="J106" s="264" t="s">
        <v>4218</v>
      </c>
      <c r="K106" s="264" t="s">
        <v>1931</v>
      </c>
      <c r="L106" s="264" t="s">
        <v>2002</v>
      </c>
      <c r="M106" s="264" t="s">
        <v>2098</v>
      </c>
      <c r="N106" s="264" t="s">
        <v>1945</v>
      </c>
      <c r="O106" s="264" t="s">
        <v>1919</v>
      </c>
      <c r="P106" s="264" t="s">
        <v>1973</v>
      </c>
      <c r="Q106" s="264" t="s">
        <v>1981</v>
      </c>
      <c r="R106" s="264" t="s">
        <v>2113</v>
      </c>
      <c r="S106" s="264" t="s">
        <v>1931</v>
      </c>
      <c r="T106" s="264" t="s">
        <v>2071</v>
      </c>
      <c r="U106" s="264" t="s">
        <v>2022</v>
      </c>
      <c r="V106" s="264" t="s">
        <v>1996</v>
      </c>
      <c r="W106" s="264" t="s">
        <v>1835</v>
      </c>
      <c r="X106" s="264" t="s">
        <v>1991</v>
      </c>
      <c r="Y106" s="264" t="s">
        <v>1835</v>
      </c>
      <c r="Z106" s="265" t="s">
        <v>2073</v>
      </c>
      <c r="AA106" s="265" t="s">
        <v>2208</v>
      </c>
      <c r="AB106" s="265" t="s">
        <v>2155</v>
      </c>
      <c r="AC106" s="265" t="s">
        <v>2160</v>
      </c>
      <c r="AD106" s="265" t="s">
        <v>2227</v>
      </c>
      <c r="AE106" s="265" t="s">
        <v>1861</v>
      </c>
      <c r="AF106" s="265" t="s">
        <v>2080</v>
      </c>
      <c r="AG106" s="265" t="s">
        <v>4218</v>
      </c>
      <c r="AH106" s="265" t="s">
        <v>1945</v>
      </c>
      <c r="AI106" s="265" t="s">
        <v>2098</v>
      </c>
    </row>
    <row r="107" spans="1:35" x14ac:dyDescent="0.25">
      <c r="A107" s="264" t="str">
        <f>HLOOKUP(Overview!$P$8,$B$1:$AI$1500,107,FALSE)</f>
        <v xml:space="preserve">          10003025</v>
      </c>
      <c r="B107" s="252"/>
      <c r="C107" s="183">
        <v>10112796</v>
      </c>
      <c r="D107" s="288" t="s">
        <v>2071</v>
      </c>
      <c r="E107" s="252" t="s">
        <v>2218</v>
      </c>
      <c r="F107" s="252" t="s">
        <v>2208</v>
      </c>
      <c r="G107" s="252" t="s">
        <v>2208</v>
      </c>
      <c r="I107" s="252" t="s">
        <v>2142</v>
      </c>
      <c r="J107" s="252" t="s">
        <v>2148</v>
      </c>
      <c r="K107" s="252" t="s">
        <v>1925</v>
      </c>
      <c r="L107" s="252" t="s">
        <v>2035</v>
      </c>
      <c r="M107" s="252" t="s">
        <v>2073</v>
      </c>
      <c r="N107" s="252" t="s">
        <v>2098</v>
      </c>
      <c r="O107" s="252" t="s">
        <v>1914</v>
      </c>
      <c r="P107" s="252" t="s">
        <v>2018</v>
      </c>
      <c r="Q107" s="252" t="s">
        <v>2227</v>
      </c>
      <c r="R107" s="252" t="s">
        <v>1967</v>
      </c>
      <c r="S107" s="252" t="s">
        <v>1925</v>
      </c>
      <c r="T107" s="252" t="s">
        <v>2205</v>
      </c>
      <c r="U107" s="252" t="s">
        <v>1943</v>
      </c>
      <c r="V107" s="252" t="s">
        <v>1991</v>
      </c>
      <c r="W107" s="252" t="s">
        <v>1910</v>
      </c>
      <c r="X107" s="252" t="s">
        <v>2075</v>
      </c>
      <c r="Y107" s="252" t="s">
        <v>1910</v>
      </c>
      <c r="Z107" s="266" t="s">
        <v>2024</v>
      </c>
      <c r="AA107" s="266" t="s">
        <v>2263</v>
      </c>
      <c r="AB107" s="266" t="s">
        <v>3573</v>
      </c>
      <c r="AC107" s="266" t="s">
        <v>2078</v>
      </c>
      <c r="AD107" s="266" t="s">
        <v>2002</v>
      </c>
      <c r="AE107" s="266" t="s">
        <v>1973</v>
      </c>
      <c r="AF107" s="266" t="s">
        <v>2171</v>
      </c>
      <c r="AG107" s="266" t="s">
        <v>2148</v>
      </c>
      <c r="AH107" s="266" t="s">
        <v>2098</v>
      </c>
      <c r="AI107" s="266" t="s">
        <v>2073</v>
      </c>
    </row>
    <row r="108" spans="1:35" x14ac:dyDescent="0.25">
      <c r="A108" s="264" t="str">
        <f>HLOOKUP(Overview!$P$8,$B$1:$AI$1500,108,FALSE)</f>
        <v xml:space="preserve">          10003037</v>
      </c>
      <c r="B108" s="252"/>
      <c r="C108" s="183">
        <v>10110028</v>
      </c>
      <c r="D108" s="287" t="s">
        <v>2205</v>
      </c>
      <c r="E108" s="264" t="s">
        <v>2119</v>
      </c>
      <c r="F108" s="264" t="s">
        <v>2263</v>
      </c>
      <c r="G108" s="264" t="s">
        <v>2263</v>
      </c>
      <c r="I108" s="264" t="s">
        <v>1916</v>
      </c>
      <c r="J108" s="264" t="s">
        <v>1929</v>
      </c>
      <c r="K108" s="264" t="s">
        <v>2055</v>
      </c>
      <c r="L108" s="264" t="s">
        <v>1967</v>
      </c>
      <c r="M108" s="264" t="s">
        <v>2024</v>
      </c>
      <c r="N108" s="264" t="s">
        <v>2073</v>
      </c>
      <c r="O108" s="264" t="s">
        <v>2142</v>
      </c>
      <c r="P108" s="264" t="s">
        <v>2155</v>
      </c>
      <c r="Q108" s="264" t="s">
        <v>2002</v>
      </c>
      <c r="R108" s="264" t="s">
        <v>1945</v>
      </c>
      <c r="S108" s="264" t="s">
        <v>2055</v>
      </c>
      <c r="T108" s="264" t="s">
        <v>2203</v>
      </c>
      <c r="U108" s="264" t="s">
        <v>2007</v>
      </c>
      <c r="V108" s="264" t="s">
        <v>2075</v>
      </c>
      <c r="W108" s="264" t="s">
        <v>4218</v>
      </c>
      <c r="X108" s="264" t="s">
        <v>2031</v>
      </c>
      <c r="Y108" s="264" t="s">
        <v>2148</v>
      </c>
      <c r="Z108" s="265" t="s">
        <v>2080</v>
      </c>
      <c r="AA108" s="265" t="s">
        <v>1861</v>
      </c>
      <c r="AB108" s="265" t="s">
        <v>1884</v>
      </c>
      <c r="AC108" s="265" t="s">
        <v>4237</v>
      </c>
      <c r="AD108" s="265" t="s">
        <v>2035</v>
      </c>
      <c r="AE108" s="265" t="s">
        <v>2018</v>
      </c>
      <c r="AF108" s="265" t="s">
        <v>4238</v>
      </c>
      <c r="AG108" s="265" t="s">
        <v>1929</v>
      </c>
      <c r="AH108" s="265" t="s">
        <v>2073</v>
      </c>
      <c r="AI108" s="265" t="s">
        <v>2024</v>
      </c>
    </row>
    <row r="109" spans="1:35" x14ac:dyDescent="0.25">
      <c r="A109" s="264" t="str">
        <f>HLOOKUP(Overview!$P$8,$B$1:$AI$1500,109,FALSE)</f>
        <v xml:space="preserve">          10003038</v>
      </c>
      <c r="B109" s="252"/>
      <c r="C109" s="183">
        <v>10110062</v>
      </c>
      <c r="D109" s="288" t="s">
        <v>2203</v>
      </c>
      <c r="E109" s="252" t="s">
        <v>2015</v>
      </c>
      <c r="F109" s="252" t="s">
        <v>1861</v>
      </c>
      <c r="G109" s="252" t="s">
        <v>1861</v>
      </c>
      <c r="I109" s="252" t="s">
        <v>1897</v>
      </c>
      <c r="J109" s="252" t="s">
        <v>1877</v>
      </c>
      <c r="K109" s="252" t="s">
        <v>1983</v>
      </c>
      <c r="L109" s="252" t="s">
        <v>1945</v>
      </c>
      <c r="M109" s="252" t="s">
        <v>2080</v>
      </c>
      <c r="N109" s="252" t="s">
        <v>2024</v>
      </c>
      <c r="O109" s="252" t="s">
        <v>1829</v>
      </c>
      <c r="P109" s="252" t="s">
        <v>1932</v>
      </c>
      <c r="Q109" s="252" t="s">
        <v>2035</v>
      </c>
      <c r="R109" s="252" t="s">
        <v>2098</v>
      </c>
      <c r="S109" s="252" t="s">
        <v>1983</v>
      </c>
      <c r="T109" s="252" t="s">
        <v>4239</v>
      </c>
      <c r="U109" s="252" t="s">
        <v>1916</v>
      </c>
      <c r="V109" s="252" t="s">
        <v>2031</v>
      </c>
      <c r="W109" s="252" t="s">
        <v>2148</v>
      </c>
      <c r="X109" s="252" t="s">
        <v>2107</v>
      </c>
      <c r="Y109" s="252" t="s">
        <v>1929</v>
      </c>
      <c r="Z109" s="266" t="s">
        <v>1919</v>
      </c>
      <c r="AA109" s="266" t="s">
        <v>1973</v>
      </c>
      <c r="AB109" s="266" t="s">
        <v>1936</v>
      </c>
      <c r="AC109" s="266" t="s">
        <v>2181</v>
      </c>
      <c r="AD109" s="266" t="s">
        <v>2113</v>
      </c>
      <c r="AE109" s="266" t="s">
        <v>1884</v>
      </c>
      <c r="AF109" s="266" t="s">
        <v>1916</v>
      </c>
      <c r="AG109" s="266" t="s">
        <v>1877</v>
      </c>
      <c r="AH109" s="266" t="s">
        <v>2024</v>
      </c>
      <c r="AI109" s="266" t="s">
        <v>2080</v>
      </c>
    </row>
    <row r="110" spans="1:35" x14ac:dyDescent="0.25">
      <c r="A110" s="264" t="str">
        <f>HLOOKUP(Overview!$P$8,$B$1:$AI$1500,110,FALSE)</f>
        <v xml:space="preserve">          10003039</v>
      </c>
      <c r="B110" s="252"/>
      <c r="C110" s="183">
        <v>10074467</v>
      </c>
      <c r="D110" s="287" t="s">
        <v>4473</v>
      </c>
      <c r="E110" s="264" t="s">
        <v>1912</v>
      </c>
      <c r="F110" s="264" t="s">
        <v>1973</v>
      </c>
      <c r="G110" s="264" t="s">
        <v>1973</v>
      </c>
      <c r="I110" s="264" t="s">
        <v>2000</v>
      </c>
      <c r="J110" s="264" t="s">
        <v>2208</v>
      </c>
      <c r="K110" s="264" t="s">
        <v>2032</v>
      </c>
      <c r="L110" s="264" t="s">
        <v>2098</v>
      </c>
      <c r="M110" s="264" t="s">
        <v>2056</v>
      </c>
      <c r="N110" s="264" t="s">
        <v>2080</v>
      </c>
      <c r="O110" s="264" t="s">
        <v>1979</v>
      </c>
      <c r="P110" s="264" t="s">
        <v>3587</v>
      </c>
      <c r="Q110" s="264" t="s">
        <v>2113</v>
      </c>
      <c r="R110" s="264" t="s">
        <v>2073</v>
      </c>
      <c r="S110" s="264" t="s">
        <v>2032</v>
      </c>
      <c r="T110" s="264" t="s">
        <v>4220</v>
      </c>
      <c r="U110" s="264" t="s">
        <v>1897</v>
      </c>
      <c r="V110" s="264" t="s">
        <v>2107</v>
      </c>
      <c r="W110" s="264" t="s">
        <v>1929</v>
      </c>
      <c r="X110" s="264" t="s">
        <v>2302</v>
      </c>
      <c r="Y110" s="264" t="s">
        <v>1877</v>
      </c>
      <c r="Z110" s="265" t="s">
        <v>1914</v>
      </c>
      <c r="AA110" s="265" t="s">
        <v>2018</v>
      </c>
      <c r="AB110" s="265" t="s">
        <v>1981</v>
      </c>
      <c r="AC110" s="265" t="s">
        <v>4235</v>
      </c>
      <c r="AD110" s="265" t="s">
        <v>1967</v>
      </c>
      <c r="AE110" s="265" t="s">
        <v>1936</v>
      </c>
      <c r="AF110" s="265" t="s">
        <v>1897</v>
      </c>
      <c r="AG110" s="265" t="s">
        <v>2208</v>
      </c>
      <c r="AH110" s="265" t="s">
        <v>2080</v>
      </c>
      <c r="AI110" s="265" t="s">
        <v>2142</v>
      </c>
    </row>
    <row r="111" spans="1:35" x14ac:dyDescent="0.25">
      <c r="A111" s="264" t="str">
        <f>HLOOKUP(Overview!$P$8,$B$1:$AI$1500,111,FALSE)</f>
        <v xml:space="preserve">          10011920</v>
      </c>
      <c r="B111" s="252"/>
      <c r="C111" s="183">
        <v>10002816</v>
      </c>
      <c r="D111" s="288" t="s">
        <v>4246</v>
      </c>
      <c r="E111" s="252" t="s">
        <v>4210</v>
      </c>
      <c r="F111" s="252" t="s">
        <v>2018</v>
      </c>
      <c r="G111" s="252" t="s">
        <v>2018</v>
      </c>
      <c r="I111" s="252" t="s">
        <v>1996</v>
      </c>
      <c r="J111" s="252" t="s">
        <v>4228</v>
      </c>
      <c r="K111" s="252" t="s">
        <v>1938</v>
      </c>
      <c r="L111" s="252" t="s">
        <v>2073</v>
      </c>
      <c r="M111" s="252" t="s">
        <v>4217</v>
      </c>
      <c r="N111" s="252" t="s">
        <v>4217</v>
      </c>
      <c r="O111" s="252" t="s">
        <v>2082</v>
      </c>
      <c r="P111" s="252" t="s">
        <v>1884</v>
      </c>
      <c r="Q111" s="252" t="s">
        <v>1967</v>
      </c>
      <c r="R111" s="252" t="s">
        <v>2024</v>
      </c>
      <c r="S111" s="252" t="s">
        <v>3571</v>
      </c>
      <c r="T111" s="252" t="s">
        <v>4240</v>
      </c>
      <c r="U111" s="252" t="s">
        <v>2000</v>
      </c>
      <c r="V111" s="252" t="s">
        <v>2302</v>
      </c>
      <c r="W111" s="252" t="s">
        <v>1877</v>
      </c>
      <c r="X111" s="252" t="s">
        <v>2243</v>
      </c>
      <c r="Y111" s="252" t="s">
        <v>2208</v>
      </c>
      <c r="Z111" s="266" t="s">
        <v>1979</v>
      </c>
      <c r="AA111" s="266" t="s">
        <v>2155</v>
      </c>
      <c r="AB111" s="266" t="s">
        <v>2227</v>
      </c>
      <c r="AC111" s="266" t="s">
        <v>2178</v>
      </c>
      <c r="AD111" s="266" t="s">
        <v>1945</v>
      </c>
      <c r="AE111" s="266" t="s">
        <v>1981</v>
      </c>
      <c r="AF111" s="266" t="s">
        <v>1996</v>
      </c>
      <c r="AG111" s="266" t="s">
        <v>4228</v>
      </c>
      <c r="AH111" s="266" t="s">
        <v>2142</v>
      </c>
      <c r="AI111" s="266" t="s">
        <v>2171</v>
      </c>
    </row>
    <row r="112" spans="1:35" x14ac:dyDescent="0.25">
      <c r="A112" s="264" t="str">
        <f>HLOOKUP(Overview!$P$8,$B$1:$AI$1500,112,FALSE)</f>
        <v xml:space="preserve">          10011923</v>
      </c>
      <c r="B112" s="252"/>
      <c r="C112" s="183">
        <v>10074474</v>
      </c>
      <c r="D112" s="287" t="s">
        <v>4250</v>
      </c>
      <c r="E112" s="264" t="s">
        <v>1955</v>
      </c>
      <c r="F112" s="264" t="s">
        <v>2155</v>
      </c>
      <c r="G112" s="264" t="s">
        <v>2155</v>
      </c>
      <c r="I112" s="264" t="s">
        <v>1991</v>
      </c>
      <c r="J112" s="264" t="s">
        <v>2263</v>
      </c>
      <c r="K112" s="264" t="s">
        <v>2029</v>
      </c>
      <c r="L112" s="264" t="s">
        <v>2024</v>
      </c>
      <c r="M112" s="264" t="s">
        <v>1919</v>
      </c>
      <c r="N112" s="264" t="s">
        <v>2142</v>
      </c>
      <c r="O112" s="264" t="s">
        <v>2061</v>
      </c>
      <c r="P112" s="264" t="s">
        <v>1936</v>
      </c>
      <c r="Q112" s="264" t="s">
        <v>1945</v>
      </c>
      <c r="R112" s="264" t="s">
        <v>4217</v>
      </c>
      <c r="S112" s="264" t="s">
        <v>2084</v>
      </c>
      <c r="T112" s="264" t="s">
        <v>4241</v>
      </c>
      <c r="U112" s="264" t="s">
        <v>1996</v>
      </c>
      <c r="V112" s="264" t="s">
        <v>3544</v>
      </c>
      <c r="W112" s="264" t="s">
        <v>2208</v>
      </c>
      <c r="X112" s="264" t="s">
        <v>2309</v>
      </c>
      <c r="Y112" s="264" t="s">
        <v>2263</v>
      </c>
      <c r="Z112" s="265" t="s">
        <v>2082</v>
      </c>
      <c r="AA112" s="265" t="s">
        <v>3573</v>
      </c>
      <c r="AB112" s="265" t="s">
        <v>2002</v>
      </c>
      <c r="AC112" s="265" t="s">
        <v>1931</v>
      </c>
      <c r="AD112" s="265" t="s">
        <v>2098</v>
      </c>
      <c r="AE112" s="265" t="s">
        <v>2227</v>
      </c>
      <c r="AF112" s="265" t="s">
        <v>2075</v>
      </c>
      <c r="AG112" s="265" t="s">
        <v>2263</v>
      </c>
      <c r="AH112" s="265" t="s">
        <v>1916</v>
      </c>
      <c r="AI112" s="265" t="s">
        <v>1916</v>
      </c>
    </row>
    <row r="113" spans="1:35" x14ac:dyDescent="0.25">
      <c r="A113" s="264" t="str">
        <f>HLOOKUP(Overview!$P$8,$B$1:$AI$1500,113,FALSE)</f>
        <v xml:space="preserve">          10014792</v>
      </c>
      <c r="B113" s="252"/>
      <c r="C113" s="183">
        <v>10003020</v>
      </c>
      <c r="D113" s="288" t="s">
        <v>2306</v>
      </c>
      <c r="E113" s="252" t="s">
        <v>1825</v>
      </c>
      <c r="F113" s="252" t="s">
        <v>3573</v>
      </c>
      <c r="G113" s="252" t="s">
        <v>1884</v>
      </c>
      <c r="I113" s="252" t="s">
        <v>2075</v>
      </c>
      <c r="J113" s="252" t="s">
        <v>1861</v>
      </c>
      <c r="K113" s="252" t="s">
        <v>3664</v>
      </c>
      <c r="L113" s="252" t="s">
        <v>2080</v>
      </c>
      <c r="M113" s="252" t="s">
        <v>1914</v>
      </c>
      <c r="N113" s="252" t="s">
        <v>1916</v>
      </c>
      <c r="O113" s="252" t="s">
        <v>2022</v>
      </c>
      <c r="P113" s="252" t="s">
        <v>1981</v>
      </c>
      <c r="Q113" s="252" t="s">
        <v>2098</v>
      </c>
      <c r="R113" s="252" t="s">
        <v>1919</v>
      </c>
      <c r="S113" s="252" t="s">
        <v>2238</v>
      </c>
      <c r="T113" s="252" t="s">
        <v>4242</v>
      </c>
      <c r="U113" s="252" t="s">
        <v>2075</v>
      </c>
      <c r="V113" s="252" t="s">
        <v>2243</v>
      </c>
      <c r="W113" s="252" t="s">
        <v>2263</v>
      </c>
      <c r="X113" s="252" t="s">
        <v>2117</v>
      </c>
      <c r="Y113" s="252" t="s">
        <v>1861</v>
      </c>
      <c r="Z113" s="266" t="s">
        <v>1943</v>
      </c>
      <c r="AA113" s="266" t="s">
        <v>1884</v>
      </c>
      <c r="AB113" s="266" t="s">
        <v>2035</v>
      </c>
      <c r="AC113" s="266" t="s">
        <v>1925</v>
      </c>
      <c r="AD113" s="266" t="s">
        <v>2073</v>
      </c>
      <c r="AE113" s="266" t="s">
        <v>2002</v>
      </c>
      <c r="AF113" s="266" t="s">
        <v>2031</v>
      </c>
      <c r="AG113" s="266" t="s">
        <v>1861</v>
      </c>
      <c r="AH113" s="266" t="s">
        <v>1897</v>
      </c>
      <c r="AI113" s="266" t="s">
        <v>1897</v>
      </c>
    </row>
    <row r="114" spans="1:35" x14ac:dyDescent="0.25">
      <c r="A114" s="264" t="str">
        <f>HLOOKUP(Overview!$P$8,$B$1:$AI$1500,114,FALSE)</f>
        <v xml:space="preserve">          10088249</v>
      </c>
      <c r="B114" s="252"/>
      <c r="C114" s="183">
        <v>10003021</v>
      </c>
      <c r="D114" s="287" t="s">
        <v>2096</v>
      </c>
      <c r="E114" s="264" t="s">
        <v>1867</v>
      </c>
      <c r="F114" s="264" t="s">
        <v>1884</v>
      </c>
      <c r="G114" s="264" t="s">
        <v>1936</v>
      </c>
      <c r="I114" s="264" t="s">
        <v>2031</v>
      </c>
      <c r="J114" s="264" t="s">
        <v>1973</v>
      </c>
      <c r="K114" s="264" t="s">
        <v>2153</v>
      </c>
      <c r="L114" s="264" t="s">
        <v>4217</v>
      </c>
      <c r="M114" s="264" t="s">
        <v>2142</v>
      </c>
      <c r="N114" s="264" t="s">
        <v>1897</v>
      </c>
      <c r="O114" s="264" t="s">
        <v>1943</v>
      </c>
      <c r="P114" s="264" t="s">
        <v>2227</v>
      </c>
      <c r="Q114" s="264" t="s">
        <v>2073</v>
      </c>
      <c r="R114" s="264" t="s">
        <v>1914</v>
      </c>
      <c r="S114" s="264" t="s">
        <v>2029</v>
      </c>
      <c r="T114" s="264" t="s">
        <v>4223</v>
      </c>
      <c r="U114" s="264" t="s">
        <v>2031</v>
      </c>
      <c r="V114" s="264" t="s">
        <v>2309</v>
      </c>
      <c r="W114" s="264" t="s">
        <v>1861</v>
      </c>
      <c r="X114" s="264" t="s">
        <v>2071</v>
      </c>
      <c r="Y114" s="264" t="s">
        <v>1973</v>
      </c>
      <c r="Z114" s="265" t="s">
        <v>2007</v>
      </c>
      <c r="AA114" s="265" t="s">
        <v>1936</v>
      </c>
      <c r="AB114" s="265" t="s">
        <v>2113</v>
      </c>
      <c r="AC114" s="265" t="s">
        <v>2055</v>
      </c>
      <c r="AD114" s="265" t="s">
        <v>2024</v>
      </c>
      <c r="AE114" s="265" t="s">
        <v>2035</v>
      </c>
      <c r="AF114" s="265" t="s">
        <v>2107</v>
      </c>
      <c r="AG114" s="265" t="s">
        <v>1973</v>
      </c>
      <c r="AH114" s="265" t="s">
        <v>2000</v>
      </c>
      <c r="AI114" s="265" t="s">
        <v>2000</v>
      </c>
    </row>
    <row r="115" spans="1:35" x14ac:dyDescent="0.25">
      <c r="A115" s="264" t="str">
        <f>HLOOKUP(Overview!$P$8,$B$1:$AI$1500,115,FALSE)</f>
        <v xml:space="preserve">          10109406</v>
      </c>
      <c r="B115" s="252"/>
      <c r="C115" s="183">
        <v>10003018</v>
      </c>
      <c r="D115" s="288" t="s">
        <v>3591</v>
      </c>
      <c r="E115" s="252" t="s">
        <v>2165</v>
      </c>
      <c r="F115" s="252" t="s">
        <v>1936</v>
      </c>
      <c r="G115" s="252" t="s">
        <v>1981</v>
      </c>
      <c r="I115" s="252" t="s">
        <v>2107</v>
      </c>
      <c r="J115" s="252" t="s">
        <v>2018</v>
      </c>
      <c r="K115" s="252" t="s">
        <v>2127</v>
      </c>
      <c r="L115" s="252" t="s">
        <v>1919</v>
      </c>
      <c r="M115" s="252" t="s">
        <v>1829</v>
      </c>
      <c r="N115" s="252" t="s">
        <v>2000</v>
      </c>
      <c r="O115" s="252" t="s">
        <v>2007</v>
      </c>
      <c r="P115" s="252" t="s">
        <v>2002</v>
      </c>
      <c r="Q115" s="252" t="s">
        <v>2024</v>
      </c>
      <c r="R115" s="252" t="s">
        <v>2142</v>
      </c>
      <c r="S115" s="252" t="s">
        <v>3664</v>
      </c>
      <c r="T115" s="252" t="s">
        <v>4243</v>
      </c>
      <c r="U115" s="252" t="s">
        <v>2107</v>
      </c>
      <c r="V115" s="252" t="s">
        <v>2117</v>
      </c>
      <c r="W115" s="252" t="s">
        <v>1973</v>
      </c>
      <c r="X115" s="252" t="s">
        <v>2205</v>
      </c>
      <c r="Y115" s="252" t="s">
        <v>2018</v>
      </c>
      <c r="Z115" s="266" t="s">
        <v>1916</v>
      </c>
      <c r="AA115" s="266" t="s">
        <v>1981</v>
      </c>
      <c r="AB115" s="266" t="s">
        <v>1967</v>
      </c>
      <c r="AC115" s="266" t="s">
        <v>1983</v>
      </c>
      <c r="AD115" s="266" t="s">
        <v>2080</v>
      </c>
      <c r="AE115" s="266" t="s">
        <v>2113</v>
      </c>
      <c r="AF115" s="266" t="s">
        <v>3619</v>
      </c>
      <c r="AG115" s="266" t="s">
        <v>2018</v>
      </c>
      <c r="AH115" s="266" t="s">
        <v>1996</v>
      </c>
      <c r="AI115" s="266" t="s">
        <v>1996</v>
      </c>
    </row>
    <row r="116" spans="1:35" x14ac:dyDescent="0.25">
      <c r="A116" s="264" t="str">
        <f>HLOOKUP(Overview!$P$8,$B$1:$AI$1500,116,FALSE)</f>
        <v xml:space="preserve">          10123485</v>
      </c>
      <c r="B116" s="252"/>
      <c r="C116" s="183">
        <v>10003019</v>
      </c>
      <c r="D116" s="287" t="s">
        <v>4312</v>
      </c>
      <c r="E116" s="264" t="s">
        <v>1837</v>
      </c>
      <c r="F116" s="264" t="s">
        <v>1981</v>
      </c>
      <c r="G116" s="264" t="s">
        <v>2227</v>
      </c>
      <c r="I116" s="264" t="s">
        <v>2117</v>
      </c>
      <c r="J116" s="264" t="s">
        <v>2155</v>
      </c>
      <c r="K116" s="264" t="s">
        <v>1977</v>
      </c>
      <c r="L116" s="264" t="s">
        <v>1914</v>
      </c>
      <c r="M116" s="264" t="s">
        <v>1979</v>
      </c>
      <c r="N116" s="264" t="s">
        <v>1996</v>
      </c>
      <c r="O116" s="264" t="s">
        <v>1916</v>
      </c>
      <c r="P116" s="264" t="s">
        <v>2035</v>
      </c>
      <c r="Q116" s="264" t="s">
        <v>2080</v>
      </c>
      <c r="R116" s="264" t="s">
        <v>1829</v>
      </c>
      <c r="S116" s="264" t="s">
        <v>3665</v>
      </c>
      <c r="T116" s="264" t="s">
        <v>4226</v>
      </c>
      <c r="U116" s="264" t="s">
        <v>2117</v>
      </c>
      <c r="V116" s="264" t="s">
        <v>2230</v>
      </c>
      <c r="W116" s="264" t="s">
        <v>2018</v>
      </c>
      <c r="X116" s="264" t="s">
        <v>2203</v>
      </c>
      <c r="Y116" s="264" t="s">
        <v>2155</v>
      </c>
      <c r="Z116" s="265" t="s">
        <v>1897</v>
      </c>
      <c r="AA116" s="265" t="s">
        <v>2227</v>
      </c>
      <c r="AB116" s="265" t="s">
        <v>1945</v>
      </c>
      <c r="AC116" s="265" t="s">
        <v>2032</v>
      </c>
      <c r="AD116" s="265" t="s">
        <v>1919</v>
      </c>
      <c r="AE116" s="265" t="s">
        <v>1967</v>
      </c>
      <c r="AF116" s="265" t="s">
        <v>2302</v>
      </c>
      <c r="AG116" s="265" t="s">
        <v>2155</v>
      </c>
      <c r="AH116" s="265" t="s">
        <v>1991</v>
      </c>
      <c r="AI116" s="265" t="s">
        <v>1991</v>
      </c>
    </row>
    <row r="117" spans="1:35" x14ac:dyDescent="0.25">
      <c r="A117" s="264" t="str">
        <f>HLOOKUP(Overview!$P$8,$B$1:$AI$1500,117,FALSE)</f>
        <v xml:space="preserve">          10123487</v>
      </c>
      <c r="B117" s="252"/>
      <c r="C117" s="183">
        <v>10002813</v>
      </c>
      <c r="D117" s="288" t="s">
        <v>4263</v>
      </c>
      <c r="E117" s="252" t="s">
        <v>1843</v>
      </c>
      <c r="F117" s="252" t="s">
        <v>2227</v>
      </c>
      <c r="G117" s="252" t="s">
        <v>2002</v>
      </c>
      <c r="I117" s="252" t="s">
        <v>2230</v>
      </c>
      <c r="J117" s="252" t="s">
        <v>3573</v>
      </c>
      <c r="K117" s="252" t="s">
        <v>1873</v>
      </c>
      <c r="L117" s="252" t="s">
        <v>2142</v>
      </c>
      <c r="M117" s="252" t="s">
        <v>2082</v>
      </c>
      <c r="N117" s="252" t="s">
        <v>1991</v>
      </c>
      <c r="O117" s="252" t="s">
        <v>1897</v>
      </c>
      <c r="P117" s="252" t="s">
        <v>2113</v>
      </c>
      <c r="Q117" s="252" t="s">
        <v>2056</v>
      </c>
      <c r="R117" s="252" t="s">
        <v>1979</v>
      </c>
      <c r="S117" s="252" t="s">
        <v>2137</v>
      </c>
      <c r="T117" s="252" t="s">
        <v>2306</v>
      </c>
      <c r="U117" s="252" t="s">
        <v>2230</v>
      </c>
      <c r="V117" s="252" t="s">
        <v>2071</v>
      </c>
      <c r="W117" s="252" t="s">
        <v>2155</v>
      </c>
      <c r="X117" s="252" t="s">
        <v>1903</v>
      </c>
      <c r="Y117" s="252" t="s">
        <v>3573</v>
      </c>
      <c r="Z117" s="266" t="s">
        <v>2000</v>
      </c>
      <c r="AA117" s="266" t="s">
        <v>2002</v>
      </c>
      <c r="AB117" s="266" t="s">
        <v>2098</v>
      </c>
      <c r="AC117" s="266" t="s">
        <v>2084</v>
      </c>
      <c r="AD117" s="266" t="s">
        <v>1914</v>
      </c>
      <c r="AE117" s="266" t="s">
        <v>1945</v>
      </c>
      <c r="AF117" s="266" t="s">
        <v>2243</v>
      </c>
      <c r="AG117" s="266" t="s">
        <v>4234</v>
      </c>
      <c r="AH117" s="266" t="s">
        <v>2075</v>
      </c>
      <c r="AI117" s="266" t="s">
        <v>2075</v>
      </c>
    </row>
    <row r="118" spans="1:35" x14ac:dyDescent="0.25">
      <c r="A118" s="264" t="str">
        <f>HLOOKUP(Overview!$P$8,$B$1:$AI$1500,118,FALSE)</f>
        <v xml:space="preserve">          20028083</v>
      </c>
      <c r="B118" s="252"/>
      <c r="C118" s="183">
        <v>10002814</v>
      </c>
      <c r="D118" s="287" t="s">
        <v>2354</v>
      </c>
      <c r="E118" s="264" t="s">
        <v>3616</v>
      </c>
      <c r="F118" s="264" t="s">
        <v>2002</v>
      </c>
      <c r="G118" s="264" t="s">
        <v>2035</v>
      </c>
      <c r="I118" s="264" t="s">
        <v>2071</v>
      </c>
      <c r="J118" s="264" t="s">
        <v>1884</v>
      </c>
      <c r="K118" s="264" t="s">
        <v>1940</v>
      </c>
      <c r="L118" s="264" t="s">
        <v>1829</v>
      </c>
      <c r="M118" s="264" t="s">
        <v>2061</v>
      </c>
      <c r="N118" s="264" t="s">
        <v>2075</v>
      </c>
      <c r="O118" s="264" t="s">
        <v>2000</v>
      </c>
      <c r="P118" s="264" t="s">
        <v>1967</v>
      </c>
      <c r="Q118" s="264" t="s">
        <v>4217</v>
      </c>
      <c r="R118" s="264" t="s">
        <v>2082</v>
      </c>
      <c r="S118" s="264" t="s">
        <v>3591</v>
      </c>
      <c r="T118" s="264" t="s">
        <v>2275</v>
      </c>
      <c r="U118" s="264" t="s">
        <v>2071</v>
      </c>
      <c r="V118" s="264" t="s">
        <v>2205</v>
      </c>
      <c r="W118" s="264" t="s">
        <v>4234</v>
      </c>
      <c r="X118" s="264" t="s">
        <v>2005</v>
      </c>
      <c r="Y118" s="264" t="s">
        <v>1884</v>
      </c>
      <c r="Z118" s="265" t="s">
        <v>1996</v>
      </c>
      <c r="AA118" s="265" t="s">
        <v>2035</v>
      </c>
      <c r="AB118" s="265" t="s">
        <v>2073</v>
      </c>
      <c r="AC118" s="265" t="s">
        <v>1938</v>
      </c>
      <c r="AD118" s="265" t="s">
        <v>2142</v>
      </c>
      <c r="AE118" s="265" t="s">
        <v>2098</v>
      </c>
      <c r="AF118" s="265" t="s">
        <v>2309</v>
      </c>
      <c r="AG118" s="265" t="s">
        <v>1884</v>
      </c>
      <c r="AH118" s="265" t="s">
        <v>2031</v>
      </c>
      <c r="AI118" s="265" t="s">
        <v>2031</v>
      </c>
    </row>
    <row r="119" spans="1:35" x14ac:dyDescent="0.25">
      <c r="A119" s="264" t="str">
        <f>HLOOKUP(Overview!$P$8,$B$1:$AI$1500,119,FALSE)</f>
        <v xml:space="preserve">          20028084</v>
      </c>
      <c r="B119" s="252"/>
      <c r="C119" s="183">
        <v>10002815</v>
      </c>
      <c r="D119" s="288" t="s">
        <v>2356</v>
      </c>
      <c r="E119" s="252" t="s">
        <v>1827</v>
      </c>
      <c r="F119" s="252" t="s">
        <v>2035</v>
      </c>
      <c r="G119" s="252" t="s">
        <v>2113</v>
      </c>
      <c r="I119" s="252" t="s">
        <v>1903</v>
      </c>
      <c r="J119" s="252" t="s">
        <v>1936</v>
      </c>
      <c r="K119" s="252" t="s">
        <v>2236</v>
      </c>
      <c r="L119" s="252" t="s">
        <v>1979</v>
      </c>
      <c r="M119" s="252" t="s">
        <v>2022</v>
      </c>
      <c r="N119" s="252" t="s">
        <v>2031</v>
      </c>
      <c r="O119" s="252" t="s">
        <v>1996</v>
      </c>
      <c r="P119" s="252" t="s">
        <v>1945</v>
      </c>
      <c r="Q119" s="252" t="s">
        <v>1919</v>
      </c>
      <c r="R119" s="252" t="s">
        <v>2061</v>
      </c>
      <c r="S119" s="252" t="s">
        <v>1977</v>
      </c>
      <c r="T119" s="252" t="s">
        <v>4230</v>
      </c>
      <c r="U119" s="252" t="s">
        <v>2203</v>
      </c>
      <c r="V119" s="252" t="s">
        <v>4220</v>
      </c>
      <c r="W119" s="252" t="s">
        <v>1884</v>
      </c>
      <c r="X119" s="252" t="s">
        <v>4221</v>
      </c>
      <c r="Y119" s="252" t="s">
        <v>1936</v>
      </c>
      <c r="Z119" s="266" t="s">
        <v>3545</v>
      </c>
      <c r="AA119" s="266" t="s">
        <v>2113</v>
      </c>
      <c r="AB119" s="266" t="s">
        <v>2024</v>
      </c>
      <c r="AC119" s="266" t="s">
        <v>2029</v>
      </c>
      <c r="AD119" s="266" t="s">
        <v>1829</v>
      </c>
      <c r="AE119" s="266" t="s">
        <v>2073</v>
      </c>
      <c r="AF119" s="266" t="s">
        <v>2117</v>
      </c>
      <c r="AG119" s="266" t="s">
        <v>1936</v>
      </c>
      <c r="AH119" s="266" t="s">
        <v>2107</v>
      </c>
      <c r="AI119" s="266" t="s">
        <v>2107</v>
      </c>
    </row>
    <row r="120" spans="1:35" x14ac:dyDescent="0.25">
      <c r="A120" s="264" t="str">
        <f>HLOOKUP(Overview!$P$8,$B$1:$AI$1500,120,FALSE)</f>
        <v xml:space="preserve">          20028085</v>
      </c>
      <c r="B120" s="252"/>
      <c r="C120" s="183">
        <v>10002812</v>
      </c>
      <c r="D120" s="287" t="s">
        <v>2344</v>
      </c>
      <c r="E120" s="264" t="s">
        <v>1853</v>
      </c>
      <c r="F120" s="264" t="s">
        <v>2113</v>
      </c>
      <c r="G120" s="264" t="s">
        <v>1967</v>
      </c>
      <c r="I120" s="264" t="s">
        <v>2005</v>
      </c>
      <c r="J120" s="264" t="s">
        <v>1981</v>
      </c>
      <c r="K120" s="264" t="s">
        <v>2037</v>
      </c>
      <c r="L120" s="264" t="s">
        <v>2082</v>
      </c>
      <c r="M120" s="264" t="s">
        <v>1943</v>
      </c>
      <c r="N120" s="264" t="s">
        <v>2107</v>
      </c>
      <c r="O120" s="264" t="s">
        <v>1991</v>
      </c>
      <c r="P120" s="264" t="s">
        <v>2098</v>
      </c>
      <c r="Q120" s="264" t="s">
        <v>1914</v>
      </c>
      <c r="R120" s="264" t="s">
        <v>2022</v>
      </c>
      <c r="S120" s="264" t="s">
        <v>2157</v>
      </c>
      <c r="T120" s="264" t="s">
        <v>1975</v>
      </c>
      <c r="U120" s="264" t="s">
        <v>2051</v>
      </c>
      <c r="V120" s="264" t="s">
        <v>4223</v>
      </c>
      <c r="W120" s="264" t="s">
        <v>1936</v>
      </c>
      <c r="X120" s="264" t="s">
        <v>4244</v>
      </c>
      <c r="Y120" s="264" t="s">
        <v>1981</v>
      </c>
      <c r="Z120" s="265" t="s">
        <v>3557</v>
      </c>
      <c r="AA120" s="265" t="s">
        <v>1967</v>
      </c>
      <c r="AB120" s="265" t="s">
        <v>2080</v>
      </c>
      <c r="AC120" s="265" t="s">
        <v>2137</v>
      </c>
      <c r="AD120" s="265" t="s">
        <v>1979</v>
      </c>
      <c r="AE120" s="265" t="s">
        <v>2024</v>
      </c>
      <c r="AF120" s="265" t="s">
        <v>2230</v>
      </c>
      <c r="AG120" s="265" t="s">
        <v>1981</v>
      </c>
      <c r="AH120" s="265" t="s">
        <v>3619</v>
      </c>
      <c r="AI120" s="265" t="s">
        <v>3619</v>
      </c>
    </row>
    <row r="121" spans="1:35" x14ac:dyDescent="0.25">
      <c r="A121" s="264" t="str">
        <f>HLOOKUP(Overview!$P$8,$B$1:$AI$1500,121,FALSE)</f>
        <v xml:space="preserve">          20028248</v>
      </c>
      <c r="B121" s="252"/>
      <c r="C121" s="183">
        <v>10002817</v>
      </c>
      <c r="D121" s="288" t="s">
        <v>3898</v>
      </c>
      <c r="E121" s="252" t="s">
        <v>1962</v>
      </c>
      <c r="F121" s="252" t="s">
        <v>3618</v>
      </c>
      <c r="G121" s="252" t="s">
        <v>1945</v>
      </c>
      <c r="I121" s="252" t="s">
        <v>2306</v>
      </c>
      <c r="J121" s="252" t="s">
        <v>2227</v>
      </c>
      <c r="K121" s="252" t="s">
        <v>1960</v>
      </c>
      <c r="L121" s="252" t="s">
        <v>2061</v>
      </c>
      <c r="M121" s="252" t="s">
        <v>2007</v>
      </c>
      <c r="N121" s="252" t="s">
        <v>2117</v>
      </c>
      <c r="O121" s="252" t="s">
        <v>2075</v>
      </c>
      <c r="P121" s="252" t="s">
        <v>2073</v>
      </c>
      <c r="Q121" s="252" t="s">
        <v>2142</v>
      </c>
      <c r="R121" s="252" t="s">
        <v>1943</v>
      </c>
      <c r="S121" s="252" t="s">
        <v>1873</v>
      </c>
      <c r="T121" s="252" t="s">
        <v>2366</v>
      </c>
      <c r="U121" s="252" t="s">
        <v>2005</v>
      </c>
      <c r="V121" s="252" t="s">
        <v>4226</v>
      </c>
      <c r="W121" s="252" t="s">
        <v>1981</v>
      </c>
      <c r="X121" s="252" t="s">
        <v>4245</v>
      </c>
      <c r="Y121" s="252" t="s">
        <v>2227</v>
      </c>
      <c r="Z121" s="266" t="s">
        <v>3555</v>
      </c>
      <c r="AA121" s="266" t="s">
        <v>1945</v>
      </c>
      <c r="AB121" s="266" t="s">
        <v>4217</v>
      </c>
      <c r="AC121" s="266" t="s">
        <v>2153</v>
      </c>
      <c r="AD121" s="266" t="s">
        <v>2082</v>
      </c>
      <c r="AE121" s="266" t="s">
        <v>2080</v>
      </c>
      <c r="AF121" s="266" t="s">
        <v>2071</v>
      </c>
      <c r="AG121" s="266" t="s">
        <v>2227</v>
      </c>
      <c r="AH121" s="266" t="s">
        <v>2302</v>
      </c>
      <c r="AI121" s="266" t="s">
        <v>2117</v>
      </c>
    </row>
    <row r="122" spans="1:35" x14ac:dyDescent="0.25">
      <c r="A122" s="264" t="str">
        <f>HLOOKUP(Overview!$P$8,$B$1:$AI$1500,122,FALSE)</f>
        <v xml:space="preserve">          20028249</v>
      </c>
      <c r="B122" s="252"/>
      <c r="C122" s="183">
        <v>10078575</v>
      </c>
      <c r="D122" s="287" t="s">
        <v>3691</v>
      </c>
      <c r="E122" s="264" t="s">
        <v>4207</v>
      </c>
      <c r="F122" s="264" t="s">
        <v>1967</v>
      </c>
      <c r="G122" s="264" t="s">
        <v>2098</v>
      </c>
      <c r="I122" s="264" t="s">
        <v>2261</v>
      </c>
      <c r="J122" s="264" t="s">
        <v>2002</v>
      </c>
      <c r="K122" s="264" t="s">
        <v>2194</v>
      </c>
      <c r="L122" s="264" t="s">
        <v>2022</v>
      </c>
      <c r="M122" s="264" t="s">
        <v>1916</v>
      </c>
      <c r="N122" s="264" t="s">
        <v>2230</v>
      </c>
      <c r="O122" s="264" t="s">
        <v>2031</v>
      </c>
      <c r="P122" s="264" t="s">
        <v>2024</v>
      </c>
      <c r="Q122" s="264" t="s">
        <v>1829</v>
      </c>
      <c r="R122" s="264" t="s">
        <v>2007</v>
      </c>
      <c r="S122" s="264" t="s">
        <v>1940</v>
      </c>
      <c r="T122" s="264" t="s">
        <v>2091</v>
      </c>
      <c r="U122" s="264" t="s">
        <v>4221</v>
      </c>
      <c r="V122" s="264" t="s">
        <v>1903</v>
      </c>
      <c r="W122" s="264" t="s">
        <v>2227</v>
      </c>
      <c r="X122" s="264" t="s">
        <v>4246</v>
      </c>
      <c r="Y122" s="264" t="s">
        <v>2002</v>
      </c>
      <c r="Z122" s="265" t="s">
        <v>3559</v>
      </c>
      <c r="AA122" s="265" t="s">
        <v>2098</v>
      </c>
      <c r="AB122" s="265" t="s">
        <v>1919</v>
      </c>
      <c r="AC122" s="265" t="s">
        <v>2064</v>
      </c>
      <c r="AD122" s="265" t="s">
        <v>2061</v>
      </c>
      <c r="AE122" s="265" t="s">
        <v>2056</v>
      </c>
      <c r="AF122" s="265" t="s">
        <v>2205</v>
      </c>
      <c r="AG122" s="265" t="s">
        <v>2002</v>
      </c>
      <c r="AH122" s="265" t="s">
        <v>3544</v>
      </c>
      <c r="AI122" s="265" t="s">
        <v>2230</v>
      </c>
    </row>
    <row r="123" spans="1:35" x14ac:dyDescent="0.25">
      <c r="A123" s="264" t="str">
        <f>HLOOKUP(Overview!$P$8,$B$1:$AI$1500,123,FALSE)</f>
        <v xml:space="preserve">          20028250</v>
      </c>
      <c r="B123" s="252"/>
      <c r="C123" s="263">
        <v>20028270</v>
      </c>
      <c r="D123" s="288" t="s">
        <v>3595</v>
      </c>
      <c r="E123" s="252" t="s">
        <v>1965</v>
      </c>
      <c r="F123" s="252" t="s">
        <v>1945</v>
      </c>
      <c r="G123" s="252" t="s">
        <v>2073</v>
      </c>
      <c r="I123" s="252" t="s">
        <v>2185</v>
      </c>
      <c r="J123" s="252" t="s">
        <v>2035</v>
      </c>
      <c r="K123" s="252" t="s">
        <v>2105</v>
      </c>
      <c r="L123" s="252" t="s">
        <v>1943</v>
      </c>
      <c r="M123" s="252" t="s">
        <v>1897</v>
      </c>
      <c r="N123" s="252" t="s">
        <v>2071</v>
      </c>
      <c r="O123" s="252" t="s">
        <v>2107</v>
      </c>
      <c r="P123" s="252" t="s">
        <v>2080</v>
      </c>
      <c r="Q123" s="252" t="s">
        <v>1979</v>
      </c>
      <c r="R123" s="252" t="s">
        <v>1916</v>
      </c>
      <c r="S123" s="252" t="s">
        <v>2037</v>
      </c>
      <c r="T123" s="252" t="s">
        <v>1942</v>
      </c>
      <c r="U123" s="252" t="s">
        <v>2306</v>
      </c>
      <c r="V123" s="252" t="s">
        <v>2005</v>
      </c>
      <c r="W123" s="252" t="s">
        <v>2002</v>
      </c>
      <c r="X123" s="252" t="s">
        <v>4247</v>
      </c>
      <c r="Y123" s="252" t="s">
        <v>2035</v>
      </c>
      <c r="Z123" s="266" t="s">
        <v>3547</v>
      </c>
      <c r="AA123" s="266" t="s">
        <v>2073</v>
      </c>
      <c r="AB123" s="266" t="s">
        <v>1914</v>
      </c>
      <c r="AC123" s="266" t="s">
        <v>1977</v>
      </c>
      <c r="AD123" s="266" t="s">
        <v>2171</v>
      </c>
      <c r="AE123" s="266" t="s">
        <v>4217</v>
      </c>
      <c r="AF123" s="266" t="s">
        <v>2203</v>
      </c>
      <c r="AG123" s="266" t="s">
        <v>2035</v>
      </c>
      <c r="AH123" s="266" t="s">
        <v>2243</v>
      </c>
      <c r="AI123" s="266" t="s">
        <v>2071</v>
      </c>
    </row>
    <row r="124" spans="1:35" x14ac:dyDescent="0.25">
      <c r="A124" s="264" t="str">
        <f>HLOOKUP(Overview!$P$8,$B$1:$AI$1500,124,FALSE)</f>
        <v xml:space="preserve">          20028251</v>
      </c>
      <c r="B124" s="252"/>
      <c r="C124" s="183">
        <v>20028271</v>
      </c>
      <c r="D124" s="287" t="s">
        <v>4474</v>
      </c>
      <c r="E124" s="264" t="s">
        <v>1831</v>
      </c>
      <c r="F124" s="264" t="s">
        <v>2098</v>
      </c>
      <c r="G124" s="264" t="s">
        <v>2024</v>
      </c>
      <c r="I124" s="264" t="s">
        <v>3549</v>
      </c>
      <c r="J124" s="264" t="s">
        <v>2113</v>
      </c>
      <c r="K124" s="264" t="s">
        <v>1953</v>
      </c>
      <c r="L124" s="264" t="s">
        <v>2007</v>
      </c>
      <c r="M124" s="264" t="s">
        <v>2000</v>
      </c>
      <c r="N124" s="264" t="s">
        <v>2203</v>
      </c>
      <c r="O124" s="264" t="s">
        <v>2117</v>
      </c>
      <c r="P124" s="264" t="s">
        <v>4236</v>
      </c>
      <c r="Q124" s="264" t="s">
        <v>2082</v>
      </c>
      <c r="R124" s="264" t="s">
        <v>1897</v>
      </c>
      <c r="S124" s="264" t="s">
        <v>1960</v>
      </c>
      <c r="T124" s="264" t="s">
        <v>1959</v>
      </c>
      <c r="U124" s="264" t="s">
        <v>2185</v>
      </c>
      <c r="V124" s="264" t="s">
        <v>2185</v>
      </c>
      <c r="W124" s="264" t="s">
        <v>2035</v>
      </c>
      <c r="X124" s="264" t="s">
        <v>4248</v>
      </c>
      <c r="Y124" s="264" t="s">
        <v>2113</v>
      </c>
      <c r="Z124" s="265" t="s">
        <v>3566</v>
      </c>
      <c r="AA124" s="265" t="s">
        <v>2024</v>
      </c>
      <c r="AB124" s="265" t="s">
        <v>2142</v>
      </c>
      <c r="AC124" s="265" t="s">
        <v>2157</v>
      </c>
      <c r="AD124" s="265" t="s">
        <v>1943</v>
      </c>
      <c r="AE124" s="265" t="s">
        <v>1919</v>
      </c>
      <c r="AF124" s="265" t="s">
        <v>1903</v>
      </c>
      <c r="AG124" s="265" t="s">
        <v>2113</v>
      </c>
      <c r="AH124" s="265" t="s">
        <v>2309</v>
      </c>
      <c r="AI124" s="265" t="s">
        <v>2205</v>
      </c>
    </row>
    <row r="125" spans="1:35" x14ac:dyDescent="0.25">
      <c r="A125" s="264" t="str">
        <f>HLOOKUP(Overview!$P$8,$B$1:$AI$1500,125,FALSE)</f>
        <v xml:space="preserve">          20028252</v>
      </c>
      <c r="B125" s="252"/>
      <c r="C125" s="183">
        <v>20028269</v>
      </c>
      <c r="D125" s="288" t="s">
        <v>3598</v>
      </c>
      <c r="E125" s="252" t="s">
        <v>1855</v>
      </c>
      <c r="F125" s="252" t="s">
        <v>2073</v>
      </c>
      <c r="G125" s="252" t="s">
        <v>2080</v>
      </c>
      <c r="I125" s="252" t="s">
        <v>3553</v>
      </c>
      <c r="J125" s="252" t="s">
        <v>1967</v>
      </c>
      <c r="K125" s="252" t="s">
        <v>2151</v>
      </c>
      <c r="L125" s="252" t="s">
        <v>1916</v>
      </c>
      <c r="M125" s="252" t="s">
        <v>1996</v>
      </c>
      <c r="N125" s="252" t="s">
        <v>4239</v>
      </c>
      <c r="O125" s="252" t="s">
        <v>2230</v>
      </c>
      <c r="P125" s="252" t="s">
        <v>4217</v>
      </c>
      <c r="Q125" s="252" t="s">
        <v>2061</v>
      </c>
      <c r="R125" s="252" t="s">
        <v>2000</v>
      </c>
      <c r="S125" s="252" t="s">
        <v>2105</v>
      </c>
      <c r="T125" s="252" t="s">
        <v>1998</v>
      </c>
      <c r="U125" s="252" t="s">
        <v>2091</v>
      </c>
      <c r="V125" s="252" t="s">
        <v>4249</v>
      </c>
      <c r="W125" s="252" t="s">
        <v>2113</v>
      </c>
      <c r="X125" s="252" t="s">
        <v>4250</v>
      </c>
      <c r="Y125" s="252" t="s">
        <v>1967</v>
      </c>
      <c r="Z125" s="266" t="s">
        <v>1991</v>
      </c>
      <c r="AA125" s="266" t="s">
        <v>2080</v>
      </c>
      <c r="AB125" s="266" t="s">
        <v>1829</v>
      </c>
      <c r="AC125" s="266" t="s">
        <v>1873</v>
      </c>
      <c r="AD125" s="266" t="s">
        <v>2007</v>
      </c>
      <c r="AE125" s="266" t="s">
        <v>1914</v>
      </c>
      <c r="AF125" s="266" t="s">
        <v>2005</v>
      </c>
      <c r="AG125" s="266" t="s">
        <v>1967</v>
      </c>
      <c r="AH125" s="266" t="s">
        <v>2117</v>
      </c>
      <c r="AI125" s="266" t="s">
        <v>2203</v>
      </c>
    </row>
    <row r="126" spans="1:35" x14ac:dyDescent="0.25">
      <c r="A126" s="264" t="str">
        <f>HLOOKUP(Overview!$P$8,$B$1:$AI$1500,126,FALSE)</f>
        <v xml:space="preserve">          20028253</v>
      </c>
      <c r="B126" s="252"/>
      <c r="C126" s="183">
        <v>20028256</v>
      </c>
      <c r="D126" s="287" t="s">
        <v>3596</v>
      </c>
      <c r="E126" s="264" t="s">
        <v>4214</v>
      </c>
      <c r="F126" s="264" t="s">
        <v>2024</v>
      </c>
      <c r="G126" s="264" t="s">
        <v>4217</v>
      </c>
      <c r="I126" s="264" t="s">
        <v>3551</v>
      </c>
      <c r="J126" s="264" t="s">
        <v>1945</v>
      </c>
      <c r="K126" s="264" t="s">
        <v>2057</v>
      </c>
      <c r="L126" s="264" t="s">
        <v>1897</v>
      </c>
      <c r="M126" s="264" t="s">
        <v>1991</v>
      </c>
      <c r="N126" s="264" t="s">
        <v>4220</v>
      </c>
      <c r="O126" s="264" t="s">
        <v>2071</v>
      </c>
      <c r="P126" s="264" t="s">
        <v>1919</v>
      </c>
      <c r="Q126" s="264" t="s">
        <v>2022</v>
      </c>
      <c r="R126" s="264" t="s">
        <v>1996</v>
      </c>
      <c r="S126" s="264" t="s">
        <v>1953</v>
      </c>
      <c r="T126" s="264" t="s">
        <v>2049</v>
      </c>
      <c r="U126" s="264" t="s">
        <v>1942</v>
      </c>
      <c r="V126" s="264" t="s">
        <v>2275</v>
      </c>
      <c r="W126" s="264" t="s">
        <v>1967</v>
      </c>
      <c r="X126" s="264" t="s">
        <v>2306</v>
      </c>
      <c r="Y126" s="264" t="s">
        <v>1945</v>
      </c>
      <c r="Z126" s="265" t="s">
        <v>2249</v>
      </c>
      <c r="AA126" s="265" t="s">
        <v>4217</v>
      </c>
      <c r="AB126" s="265" t="s">
        <v>1979</v>
      </c>
      <c r="AC126" s="265" t="s">
        <v>1940</v>
      </c>
      <c r="AD126" s="265" t="s">
        <v>1916</v>
      </c>
      <c r="AE126" s="265" t="s">
        <v>2142</v>
      </c>
      <c r="AF126" s="265" t="s">
        <v>4244</v>
      </c>
      <c r="AG126" s="265" t="s">
        <v>1945</v>
      </c>
      <c r="AH126" s="265" t="s">
        <v>2230</v>
      </c>
      <c r="AI126" s="265" t="s">
        <v>1903</v>
      </c>
    </row>
    <row r="127" spans="1:35" x14ac:dyDescent="0.25">
      <c r="A127" s="264" t="str">
        <f>HLOOKUP(Overview!$P$8,$B$1:$AI$1500,127,FALSE)</f>
        <v xml:space="preserve">          20028336</v>
      </c>
      <c r="B127" s="252"/>
      <c r="C127" s="183">
        <v>20028257</v>
      </c>
      <c r="D127" s="288" t="s">
        <v>3513</v>
      </c>
      <c r="E127" s="252" t="s">
        <v>4211</v>
      </c>
      <c r="F127" s="252" t="s">
        <v>2080</v>
      </c>
      <c r="G127" s="252" t="s">
        <v>1919</v>
      </c>
      <c r="I127" s="252" t="s">
        <v>4251</v>
      </c>
      <c r="J127" s="252" t="s">
        <v>2098</v>
      </c>
      <c r="K127" s="252" t="s">
        <v>1927</v>
      </c>
      <c r="L127" s="252" t="s">
        <v>1996</v>
      </c>
      <c r="M127" s="252" t="s">
        <v>2075</v>
      </c>
      <c r="N127" s="252" t="s">
        <v>4240</v>
      </c>
      <c r="O127" s="252" t="s">
        <v>2205</v>
      </c>
      <c r="P127" s="252" t="s">
        <v>1914</v>
      </c>
      <c r="Q127" s="252" t="s">
        <v>1943</v>
      </c>
      <c r="R127" s="252" t="s">
        <v>1991</v>
      </c>
      <c r="S127" s="252" t="s">
        <v>2109</v>
      </c>
      <c r="T127" s="252" t="s">
        <v>2121</v>
      </c>
      <c r="U127" s="252" t="s">
        <v>1959</v>
      </c>
      <c r="V127" s="252" t="s">
        <v>1975</v>
      </c>
      <c r="W127" s="252" t="s">
        <v>1945</v>
      </c>
      <c r="X127" s="252" t="s">
        <v>2261</v>
      </c>
      <c r="Y127" s="252" t="s">
        <v>2098</v>
      </c>
      <c r="Z127" s="266" t="s">
        <v>2075</v>
      </c>
      <c r="AA127" s="266" t="s">
        <v>1919</v>
      </c>
      <c r="AB127" s="266" t="s">
        <v>2082</v>
      </c>
      <c r="AC127" s="266" t="s">
        <v>2037</v>
      </c>
      <c r="AD127" s="266" t="s">
        <v>1897</v>
      </c>
      <c r="AE127" s="266" t="s">
        <v>1829</v>
      </c>
      <c r="AF127" s="266" t="s">
        <v>4245</v>
      </c>
      <c r="AG127" s="266" t="s">
        <v>2098</v>
      </c>
      <c r="AH127" s="266" t="s">
        <v>2071</v>
      </c>
      <c r="AI127" s="266" t="s">
        <v>2005</v>
      </c>
    </row>
    <row r="128" spans="1:35" x14ac:dyDescent="0.25">
      <c r="A128" s="264" t="str">
        <f>HLOOKUP(Overview!$P$8,$B$1:$AI$1500,128,FALSE)</f>
        <v xml:space="preserve">          10123484</v>
      </c>
      <c r="B128" s="252"/>
      <c r="C128" s="183">
        <v>20028259</v>
      </c>
      <c r="D128" s="287" t="s">
        <v>4261</v>
      </c>
      <c r="E128" s="264" t="s">
        <v>1865</v>
      </c>
      <c r="F128" s="264" t="s">
        <v>2056</v>
      </c>
      <c r="G128" s="264" t="s">
        <v>1914</v>
      </c>
      <c r="I128" s="264" t="s">
        <v>4252</v>
      </c>
      <c r="J128" s="264" t="s">
        <v>2073</v>
      </c>
      <c r="K128" s="264" t="s">
        <v>2146</v>
      </c>
      <c r="L128" s="264" t="s">
        <v>1991</v>
      </c>
      <c r="M128" s="264" t="s">
        <v>2031</v>
      </c>
      <c r="N128" s="264" t="s">
        <v>4241</v>
      </c>
      <c r="O128" s="264" t="s">
        <v>2203</v>
      </c>
      <c r="P128" s="264" t="s">
        <v>2142</v>
      </c>
      <c r="Q128" s="264" t="s">
        <v>2007</v>
      </c>
      <c r="R128" s="264" t="s">
        <v>2075</v>
      </c>
      <c r="S128" s="264" t="s">
        <v>2151</v>
      </c>
      <c r="T128" s="264" t="s">
        <v>2192</v>
      </c>
      <c r="U128" s="264" t="s">
        <v>1998</v>
      </c>
      <c r="V128" s="264" t="s">
        <v>2091</v>
      </c>
      <c r="W128" s="264" t="s">
        <v>2098</v>
      </c>
      <c r="X128" s="264" t="s">
        <v>2185</v>
      </c>
      <c r="Y128" s="264" t="s">
        <v>2073</v>
      </c>
      <c r="Z128" s="265" t="s">
        <v>2031</v>
      </c>
      <c r="AA128" s="265" t="s">
        <v>1914</v>
      </c>
      <c r="AB128" s="265" t="s">
        <v>2061</v>
      </c>
      <c r="AC128" s="265" t="s">
        <v>1960</v>
      </c>
      <c r="AD128" s="265" t="s">
        <v>2000</v>
      </c>
      <c r="AE128" s="265" t="s">
        <v>1979</v>
      </c>
      <c r="AF128" s="265" t="s">
        <v>4246</v>
      </c>
      <c r="AG128" s="265" t="s">
        <v>2073</v>
      </c>
      <c r="AH128" s="265" t="s">
        <v>2205</v>
      </c>
      <c r="AI128" s="265" t="s">
        <v>2306</v>
      </c>
    </row>
    <row r="129" spans="1:35" x14ac:dyDescent="0.25">
      <c r="A129" s="264" t="str">
        <f>HLOOKUP(Overview!$P$8,$B$1:$AI$1500,129,FALSE)</f>
        <v xml:space="preserve">          10000042</v>
      </c>
      <c r="B129" s="252"/>
      <c r="C129" s="183">
        <v>20028258</v>
      </c>
      <c r="D129" s="288" t="s">
        <v>4171</v>
      </c>
      <c r="E129" s="252" t="s">
        <v>1882</v>
      </c>
      <c r="F129" s="252" t="s">
        <v>4217</v>
      </c>
      <c r="G129" s="252" t="s">
        <v>2142</v>
      </c>
      <c r="I129" s="252" t="s">
        <v>3589</v>
      </c>
      <c r="J129" s="252" t="s">
        <v>2024</v>
      </c>
      <c r="K129" s="252" t="s">
        <v>1963</v>
      </c>
      <c r="L129" s="252" t="s">
        <v>2075</v>
      </c>
      <c r="M129" s="252" t="s">
        <v>2107</v>
      </c>
      <c r="N129" s="252" t="s">
        <v>4242</v>
      </c>
      <c r="O129" s="252" t="s">
        <v>4239</v>
      </c>
      <c r="P129" s="252" t="s">
        <v>1829</v>
      </c>
      <c r="Q129" s="252" t="s">
        <v>1916</v>
      </c>
      <c r="R129" s="252" t="s">
        <v>2031</v>
      </c>
      <c r="S129" s="252" t="s">
        <v>2057</v>
      </c>
      <c r="T129" s="252" t="s">
        <v>2115</v>
      </c>
      <c r="U129" s="252" t="s">
        <v>2049</v>
      </c>
      <c r="V129" s="252" t="s">
        <v>1942</v>
      </c>
      <c r="W129" s="252" t="s">
        <v>2073</v>
      </c>
      <c r="X129" s="252" t="s">
        <v>2317</v>
      </c>
      <c r="Y129" s="252" t="s">
        <v>2024</v>
      </c>
      <c r="Z129" s="266" t="s">
        <v>2107</v>
      </c>
      <c r="AA129" s="266" t="s">
        <v>2142</v>
      </c>
      <c r="AB129" s="266" t="s">
        <v>2022</v>
      </c>
      <c r="AC129" s="266" t="s">
        <v>2194</v>
      </c>
      <c r="AD129" s="266" t="s">
        <v>1996</v>
      </c>
      <c r="AE129" s="266" t="s">
        <v>2082</v>
      </c>
      <c r="AF129" s="266" t="s">
        <v>4247</v>
      </c>
      <c r="AG129" s="266" t="s">
        <v>2024</v>
      </c>
      <c r="AH129" s="266" t="s">
        <v>2203</v>
      </c>
      <c r="AI129" s="266" t="s">
        <v>2261</v>
      </c>
    </row>
    <row r="130" spans="1:35" x14ac:dyDescent="0.25">
      <c r="A130" s="264" t="str">
        <f>HLOOKUP(Overview!$P$8,$B$1:$AI$1500,130,FALSE)</f>
        <v xml:space="preserve">          10000252</v>
      </c>
      <c r="B130" s="252"/>
      <c r="C130" s="183">
        <v>20000015</v>
      </c>
      <c r="D130" s="287" t="s">
        <v>4184</v>
      </c>
      <c r="E130" s="264" t="s">
        <v>4212</v>
      </c>
      <c r="F130" s="264" t="s">
        <v>1919</v>
      </c>
      <c r="G130" s="264" t="s">
        <v>1829</v>
      </c>
      <c r="I130" s="264" t="s">
        <v>4253</v>
      </c>
      <c r="J130" s="264" t="s">
        <v>2080</v>
      </c>
      <c r="K130" s="264" t="s">
        <v>2265</v>
      </c>
      <c r="L130" s="264" t="s">
        <v>2031</v>
      </c>
      <c r="M130" s="264" t="s">
        <v>2117</v>
      </c>
      <c r="N130" s="264" t="s">
        <v>4223</v>
      </c>
      <c r="O130" s="264" t="s">
        <v>4220</v>
      </c>
      <c r="P130" s="264" t="s">
        <v>1979</v>
      </c>
      <c r="Q130" s="264" t="s">
        <v>1897</v>
      </c>
      <c r="R130" s="264" t="s">
        <v>2107</v>
      </c>
      <c r="S130" s="264" t="s">
        <v>1927</v>
      </c>
      <c r="T130" s="264" t="s">
        <v>4254</v>
      </c>
      <c r="U130" s="264" t="s">
        <v>2121</v>
      </c>
      <c r="V130" s="264" t="s">
        <v>1959</v>
      </c>
      <c r="W130" s="264" t="s">
        <v>2024</v>
      </c>
      <c r="X130" s="264" t="s">
        <v>2275</v>
      </c>
      <c r="Y130" s="264" t="s">
        <v>2080</v>
      </c>
      <c r="Z130" s="265" t="s">
        <v>2117</v>
      </c>
      <c r="AA130" s="265" t="s">
        <v>1829</v>
      </c>
      <c r="AB130" s="265" t="s">
        <v>2171</v>
      </c>
      <c r="AC130" s="265" t="s">
        <v>1953</v>
      </c>
      <c r="AD130" s="265" t="s">
        <v>1991</v>
      </c>
      <c r="AE130" s="265" t="s">
        <v>2061</v>
      </c>
      <c r="AF130" s="265" t="s">
        <v>4248</v>
      </c>
      <c r="AG130" s="265" t="s">
        <v>2080</v>
      </c>
      <c r="AH130" s="265" t="s">
        <v>1903</v>
      </c>
      <c r="AI130" s="265" t="s">
        <v>2185</v>
      </c>
    </row>
    <row r="131" spans="1:35" x14ac:dyDescent="0.25">
      <c r="A131" s="264" t="str">
        <f>HLOOKUP(Overview!$P$8,$B$1:$AI$1500,131,FALSE)</f>
        <v xml:space="preserve">          10001091</v>
      </c>
      <c r="B131" s="252"/>
      <c r="C131" s="183">
        <v>20000016</v>
      </c>
      <c r="D131" s="288" t="s">
        <v>1969</v>
      </c>
      <c r="E131" s="252" t="s">
        <v>1917</v>
      </c>
      <c r="F131" s="252" t="s">
        <v>1914</v>
      </c>
      <c r="G131" s="252" t="s">
        <v>1979</v>
      </c>
      <c r="I131" s="252" t="s">
        <v>4255</v>
      </c>
      <c r="J131" s="252" t="s">
        <v>2056</v>
      </c>
      <c r="K131" s="252" t="s">
        <v>3540</v>
      </c>
      <c r="L131" s="252" t="s">
        <v>2107</v>
      </c>
      <c r="M131" s="252" t="s">
        <v>2230</v>
      </c>
      <c r="N131" s="252" t="s">
        <v>4243</v>
      </c>
      <c r="O131" s="252" t="s">
        <v>4223</v>
      </c>
      <c r="P131" s="252" t="s">
        <v>2082</v>
      </c>
      <c r="Q131" s="252" t="s">
        <v>2000</v>
      </c>
      <c r="R131" s="252" t="s">
        <v>2117</v>
      </c>
      <c r="S131" s="252" t="s">
        <v>2146</v>
      </c>
      <c r="T131" s="252" t="s">
        <v>4232</v>
      </c>
      <c r="U131" s="252" t="s">
        <v>2192</v>
      </c>
      <c r="V131" s="252" t="s">
        <v>1998</v>
      </c>
      <c r="W131" s="252" t="s">
        <v>2080</v>
      </c>
      <c r="X131" s="252" t="s">
        <v>4230</v>
      </c>
      <c r="Y131" s="252" t="s">
        <v>2056</v>
      </c>
      <c r="Z131" s="266" t="s">
        <v>2230</v>
      </c>
      <c r="AA131" s="266" t="s">
        <v>1979</v>
      </c>
      <c r="AB131" s="266" t="s">
        <v>1943</v>
      </c>
      <c r="AC131" s="266" t="s">
        <v>2151</v>
      </c>
      <c r="AD131" s="266" t="s">
        <v>2075</v>
      </c>
      <c r="AE131" s="266" t="s">
        <v>2022</v>
      </c>
      <c r="AF131" s="266" t="s">
        <v>4250</v>
      </c>
      <c r="AG131" s="266" t="s">
        <v>4217</v>
      </c>
      <c r="AH131" s="266" t="s">
        <v>2005</v>
      </c>
      <c r="AI131" s="266" t="s">
        <v>4256</v>
      </c>
    </row>
    <row r="132" spans="1:35" x14ac:dyDescent="0.25">
      <c r="A132" s="264" t="str">
        <f>HLOOKUP(Overview!$P$8,$B$1:$AI$1500,132,FALSE)</f>
        <v xml:space="preserve">          10001096</v>
      </c>
      <c r="B132" s="252"/>
      <c r="C132" s="183">
        <v>20000014</v>
      </c>
      <c r="D132" s="287" t="s">
        <v>1863</v>
      </c>
      <c r="E132" s="264" t="s">
        <v>4224</v>
      </c>
      <c r="F132" s="264" t="s">
        <v>2142</v>
      </c>
      <c r="G132" s="264" t="s">
        <v>2082</v>
      </c>
      <c r="I132" s="264" t="s">
        <v>3579</v>
      </c>
      <c r="J132" s="264" t="s">
        <v>4217</v>
      </c>
      <c r="K132" s="264" t="s">
        <v>2163</v>
      </c>
      <c r="L132" s="264" t="s">
        <v>2117</v>
      </c>
      <c r="M132" s="264" t="s">
        <v>2071</v>
      </c>
      <c r="N132" s="264" t="s">
        <v>4226</v>
      </c>
      <c r="O132" s="264" t="s">
        <v>4226</v>
      </c>
      <c r="P132" s="264" t="s">
        <v>2061</v>
      </c>
      <c r="Q132" s="264" t="s">
        <v>1996</v>
      </c>
      <c r="R132" s="264" t="s">
        <v>2230</v>
      </c>
      <c r="S132" s="264" t="s">
        <v>1963</v>
      </c>
      <c r="T132" s="264" t="s">
        <v>2140</v>
      </c>
      <c r="U132" s="264" t="s">
        <v>2115</v>
      </c>
      <c r="V132" s="264" t="s">
        <v>2049</v>
      </c>
      <c r="W132" s="264" t="s">
        <v>4217</v>
      </c>
      <c r="X132" s="264" t="s">
        <v>4257</v>
      </c>
      <c r="Y132" s="264" t="s">
        <v>1919</v>
      </c>
      <c r="Z132" s="265" t="s">
        <v>2071</v>
      </c>
      <c r="AA132" s="265" t="s">
        <v>2082</v>
      </c>
      <c r="AB132" s="265" t="s">
        <v>2007</v>
      </c>
      <c r="AC132" s="265" t="s">
        <v>2057</v>
      </c>
      <c r="AD132" s="265" t="s">
        <v>2031</v>
      </c>
      <c r="AE132" s="265" t="s">
        <v>2171</v>
      </c>
      <c r="AF132" s="265" t="s">
        <v>2306</v>
      </c>
      <c r="AG132" s="265" t="s">
        <v>2142</v>
      </c>
      <c r="AH132" s="265" t="s">
        <v>4246</v>
      </c>
      <c r="AI132" s="265" t="s">
        <v>4258</v>
      </c>
    </row>
    <row r="133" spans="1:35" x14ac:dyDescent="0.25">
      <c r="A133" s="264" t="str">
        <f>HLOOKUP(Overview!$P$8,$B$1:$AI$1500,133,FALSE)</f>
        <v xml:space="preserve">          10001100</v>
      </c>
      <c r="B133" s="252"/>
      <c r="C133" s="183">
        <v>10006605</v>
      </c>
      <c r="D133" s="288" t="s">
        <v>4475</v>
      </c>
      <c r="E133" s="252" t="s">
        <v>4227</v>
      </c>
      <c r="F133" s="252" t="s">
        <v>1829</v>
      </c>
      <c r="G133" s="252" t="s">
        <v>2061</v>
      </c>
      <c r="I133" s="252" t="s">
        <v>3577</v>
      </c>
      <c r="J133" s="252" t="s">
        <v>1919</v>
      </c>
      <c r="K133" s="252" t="s">
        <v>2144</v>
      </c>
      <c r="L133" s="252" t="s">
        <v>2230</v>
      </c>
      <c r="M133" s="252" t="s">
        <v>2205</v>
      </c>
      <c r="N133" s="252" t="s">
        <v>1903</v>
      </c>
      <c r="O133" s="252" t="s">
        <v>2051</v>
      </c>
      <c r="P133" s="252" t="s">
        <v>2022</v>
      </c>
      <c r="Q133" s="252" t="s">
        <v>1991</v>
      </c>
      <c r="R133" s="252" t="s">
        <v>2071</v>
      </c>
      <c r="S133" s="252" t="s">
        <v>3668</v>
      </c>
      <c r="T133" s="252" t="s">
        <v>2086</v>
      </c>
      <c r="U133" s="252" t="s">
        <v>2086</v>
      </c>
      <c r="V133" s="252" t="s">
        <v>3624</v>
      </c>
      <c r="W133" s="252" t="s">
        <v>1919</v>
      </c>
      <c r="X133" s="252" t="s">
        <v>1975</v>
      </c>
      <c r="Y133" s="252" t="s">
        <v>1914</v>
      </c>
      <c r="Z133" s="266" t="s">
        <v>2205</v>
      </c>
      <c r="AA133" s="266" t="s">
        <v>2061</v>
      </c>
      <c r="AB133" s="266" t="s">
        <v>1916</v>
      </c>
      <c r="AC133" s="266" t="s">
        <v>1927</v>
      </c>
      <c r="AD133" s="266" t="s">
        <v>2107</v>
      </c>
      <c r="AE133" s="266" t="s">
        <v>1943</v>
      </c>
      <c r="AF133" s="266" t="s">
        <v>2261</v>
      </c>
      <c r="AG133" s="266" t="s">
        <v>1829</v>
      </c>
      <c r="AH133" s="266" t="s">
        <v>2306</v>
      </c>
      <c r="AI133" s="266" t="s">
        <v>2175</v>
      </c>
    </row>
    <row r="134" spans="1:35" x14ac:dyDescent="0.25">
      <c r="A134" s="264" t="str">
        <f>HLOOKUP(Overview!$P$8,$B$1:$AI$1500,134,FALSE)</f>
        <v xml:space="preserve">          10001108</v>
      </c>
      <c r="B134" s="252"/>
      <c r="C134" s="183">
        <v>10027596</v>
      </c>
      <c r="D134" s="287" t="s">
        <v>1879</v>
      </c>
      <c r="E134" s="264" t="s">
        <v>4229</v>
      </c>
      <c r="F134" s="264" t="s">
        <v>1979</v>
      </c>
      <c r="G134" s="264" t="s">
        <v>2022</v>
      </c>
      <c r="I134" s="264" t="s">
        <v>3581</v>
      </c>
      <c r="J134" s="264" t="s">
        <v>1914</v>
      </c>
      <c r="K134" s="264" t="s">
        <v>3668</v>
      </c>
      <c r="L134" s="264" t="s">
        <v>2071</v>
      </c>
      <c r="M134" s="264" t="s">
        <v>2203</v>
      </c>
      <c r="N134" s="264" t="s">
        <v>2005</v>
      </c>
      <c r="O134" s="264" t="s">
        <v>1903</v>
      </c>
      <c r="P134" s="264" t="s">
        <v>1943</v>
      </c>
      <c r="Q134" s="264" t="s">
        <v>2075</v>
      </c>
      <c r="R134" s="264" t="s">
        <v>2205</v>
      </c>
      <c r="S134" s="264" t="s">
        <v>3670</v>
      </c>
      <c r="T134" s="264" t="s">
        <v>2376</v>
      </c>
      <c r="U134" s="264" t="s">
        <v>2177</v>
      </c>
      <c r="V134" s="264" t="s">
        <v>2121</v>
      </c>
      <c r="W134" s="264" t="s">
        <v>2142</v>
      </c>
      <c r="X134" s="264" t="s">
        <v>2366</v>
      </c>
      <c r="Y134" s="264" t="s">
        <v>2142</v>
      </c>
      <c r="Z134" s="265" t="s">
        <v>2203</v>
      </c>
      <c r="AA134" s="265" t="s">
        <v>2022</v>
      </c>
      <c r="AB134" s="265" t="s">
        <v>1897</v>
      </c>
      <c r="AC134" s="265" t="s">
        <v>1963</v>
      </c>
      <c r="AD134" s="265" t="s">
        <v>2302</v>
      </c>
      <c r="AE134" s="265" t="s">
        <v>2007</v>
      </c>
      <c r="AF134" s="265" t="s">
        <v>2185</v>
      </c>
      <c r="AG134" s="265" t="s">
        <v>1916</v>
      </c>
      <c r="AH134" s="265" t="s">
        <v>2261</v>
      </c>
      <c r="AI134" s="265" t="s">
        <v>2317</v>
      </c>
    </row>
    <row r="135" spans="1:35" x14ac:dyDescent="0.25">
      <c r="A135" s="264" t="str">
        <f>HLOOKUP(Overview!$P$8,$B$1:$AI$1500,135,FALSE)</f>
        <v xml:space="preserve">          10001109</v>
      </c>
      <c r="B135" s="252"/>
      <c r="C135" s="183">
        <v>10006598</v>
      </c>
      <c r="D135" s="288" t="s">
        <v>1888</v>
      </c>
      <c r="E135" s="252" t="s">
        <v>4213</v>
      </c>
      <c r="F135" s="252" t="s">
        <v>2082</v>
      </c>
      <c r="G135" s="252" t="s">
        <v>2171</v>
      </c>
      <c r="I135" s="252" t="s">
        <v>4256</v>
      </c>
      <c r="J135" s="252" t="s">
        <v>2142</v>
      </c>
      <c r="K135" s="252" t="s">
        <v>3676</v>
      </c>
      <c r="L135" s="252" t="s">
        <v>2205</v>
      </c>
      <c r="M135" s="252" t="s">
        <v>4239</v>
      </c>
      <c r="N135" s="252" t="s">
        <v>4259</v>
      </c>
      <c r="O135" s="252" t="s">
        <v>2005</v>
      </c>
      <c r="P135" s="252" t="s">
        <v>2007</v>
      </c>
      <c r="Q135" s="252" t="s">
        <v>2031</v>
      </c>
      <c r="R135" s="252" t="s">
        <v>2203</v>
      </c>
      <c r="S135" s="252" t="s">
        <v>3671</v>
      </c>
      <c r="T135" s="252" t="s">
        <v>2177</v>
      </c>
      <c r="U135" s="252" t="s">
        <v>2256</v>
      </c>
      <c r="V135" s="252" t="s">
        <v>2192</v>
      </c>
      <c r="W135" s="252" t="s">
        <v>1829</v>
      </c>
      <c r="X135" s="252" t="s">
        <v>2091</v>
      </c>
      <c r="Y135" s="252" t="s">
        <v>1829</v>
      </c>
      <c r="Z135" s="266" t="s">
        <v>2005</v>
      </c>
      <c r="AA135" s="266" t="s">
        <v>2171</v>
      </c>
      <c r="AB135" s="266" t="s">
        <v>2000</v>
      </c>
      <c r="AC135" s="266" t="s">
        <v>2265</v>
      </c>
      <c r="AD135" s="266" t="s">
        <v>3544</v>
      </c>
      <c r="AE135" s="266" t="s">
        <v>1916</v>
      </c>
      <c r="AF135" s="266" t="s">
        <v>2317</v>
      </c>
      <c r="AG135" s="266" t="s">
        <v>1897</v>
      </c>
      <c r="AH135" s="266" t="s">
        <v>2185</v>
      </c>
      <c r="AI135" s="266" t="s">
        <v>2275</v>
      </c>
    </row>
    <row r="136" spans="1:35" x14ac:dyDescent="0.25">
      <c r="A136" s="264" t="str">
        <f>HLOOKUP(Overview!$P$8,$B$1:$AI$1500,136,FALSE)</f>
        <v xml:space="preserve">          10001111</v>
      </c>
      <c r="B136" s="252"/>
      <c r="C136" s="183">
        <v>10085752</v>
      </c>
      <c r="D136" s="287" t="s">
        <v>2059</v>
      </c>
      <c r="E136" s="264" t="s">
        <v>2089</v>
      </c>
      <c r="F136" s="264" t="s">
        <v>2061</v>
      </c>
      <c r="G136" s="264" t="s">
        <v>1943</v>
      </c>
      <c r="I136" s="264" t="s">
        <v>4258</v>
      </c>
      <c r="J136" s="264" t="s">
        <v>1829</v>
      </c>
      <c r="K136" s="264" t="s">
        <v>4260</v>
      </c>
      <c r="L136" s="264" t="s">
        <v>2203</v>
      </c>
      <c r="M136" s="264" t="s">
        <v>4220</v>
      </c>
      <c r="N136" s="264" t="s">
        <v>4221</v>
      </c>
      <c r="O136" s="264" t="s">
        <v>4221</v>
      </c>
      <c r="P136" s="264" t="s">
        <v>1916</v>
      </c>
      <c r="Q136" s="264" t="s">
        <v>2107</v>
      </c>
      <c r="R136" s="264" t="s">
        <v>4239</v>
      </c>
      <c r="S136" s="264" t="s">
        <v>3672</v>
      </c>
      <c r="T136" s="264" t="s">
        <v>2256</v>
      </c>
      <c r="U136" s="264" t="s">
        <v>2285</v>
      </c>
      <c r="V136" s="264" t="s">
        <v>2115</v>
      </c>
      <c r="W136" s="264" t="s">
        <v>1979</v>
      </c>
      <c r="X136" s="264" t="s">
        <v>1942</v>
      </c>
      <c r="Y136" s="264" t="s">
        <v>1979</v>
      </c>
      <c r="Z136" s="265" t="s">
        <v>2185</v>
      </c>
      <c r="AA136" s="265" t="s">
        <v>1943</v>
      </c>
      <c r="AB136" s="265" t="s">
        <v>1996</v>
      </c>
      <c r="AC136" s="265" t="s">
        <v>3540</v>
      </c>
      <c r="AD136" s="265" t="s">
        <v>2243</v>
      </c>
      <c r="AE136" s="265" t="s">
        <v>1897</v>
      </c>
      <c r="AF136" s="265" t="s">
        <v>2275</v>
      </c>
      <c r="AG136" s="265" t="s">
        <v>2000</v>
      </c>
      <c r="AH136" s="265" t="s">
        <v>3549</v>
      </c>
      <c r="AI136" s="265" t="s">
        <v>1975</v>
      </c>
    </row>
    <row r="137" spans="1:35" x14ac:dyDescent="0.25">
      <c r="A137" s="264" t="str">
        <f>HLOOKUP(Overview!$P$8,$B$1:$AI$1500,137,FALSE)</f>
        <v xml:space="preserve">          10001120</v>
      </c>
      <c r="B137" s="252"/>
      <c r="C137" s="183">
        <v>10085753</v>
      </c>
      <c r="D137" s="288" t="s">
        <v>1951</v>
      </c>
      <c r="E137" s="252" t="s">
        <v>1899</v>
      </c>
      <c r="F137" s="252" t="s">
        <v>2022</v>
      </c>
      <c r="G137" s="252" t="s">
        <v>2007</v>
      </c>
      <c r="I137" s="252" t="s">
        <v>3584</v>
      </c>
      <c r="J137" s="252" t="s">
        <v>1979</v>
      </c>
      <c r="K137" s="252" t="s">
        <v>4261</v>
      </c>
      <c r="L137" s="252" t="s">
        <v>4239</v>
      </c>
      <c r="M137" s="252" t="s">
        <v>4242</v>
      </c>
      <c r="N137" s="252" t="s">
        <v>4225</v>
      </c>
      <c r="O137" s="252" t="s">
        <v>4225</v>
      </c>
      <c r="P137" s="252" t="s">
        <v>1897</v>
      </c>
      <c r="Q137" s="252" t="s">
        <v>2302</v>
      </c>
      <c r="R137" s="252" t="s">
        <v>4220</v>
      </c>
      <c r="S137" s="252" t="s">
        <v>3675</v>
      </c>
      <c r="T137" s="252" t="s">
        <v>2285</v>
      </c>
      <c r="U137" s="252" t="s">
        <v>1908</v>
      </c>
      <c r="V137" s="252" t="s">
        <v>2140</v>
      </c>
      <c r="W137" s="252" t="s">
        <v>2082</v>
      </c>
      <c r="X137" s="252" t="s">
        <v>1959</v>
      </c>
      <c r="Y137" s="252" t="s">
        <v>2082</v>
      </c>
      <c r="Z137" s="266" t="s">
        <v>2175</v>
      </c>
      <c r="AA137" s="266" t="s">
        <v>2007</v>
      </c>
      <c r="AB137" s="266" t="s">
        <v>1991</v>
      </c>
      <c r="AC137" s="266" t="s">
        <v>2163</v>
      </c>
      <c r="AD137" s="266" t="s">
        <v>2309</v>
      </c>
      <c r="AE137" s="266" t="s">
        <v>2000</v>
      </c>
      <c r="AF137" s="266" t="s">
        <v>4230</v>
      </c>
      <c r="AG137" s="266" t="s">
        <v>1996</v>
      </c>
      <c r="AH137" s="266" t="s">
        <v>3553</v>
      </c>
      <c r="AI137" s="266" t="s">
        <v>2366</v>
      </c>
    </row>
    <row r="138" spans="1:35" x14ac:dyDescent="0.25">
      <c r="A138" s="264" t="str">
        <f>HLOOKUP(Overview!$P$8,$B$1:$AI$1500,138,FALSE)</f>
        <v xml:space="preserve">          10001122</v>
      </c>
      <c r="B138" s="252"/>
      <c r="C138" s="183">
        <v>10000829</v>
      </c>
      <c r="D138" s="287" t="s">
        <v>1947</v>
      </c>
      <c r="E138" s="264" t="s">
        <v>2027</v>
      </c>
      <c r="F138" s="264" t="s">
        <v>2171</v>
      </c>
      <c r="G138" s="264" t="s">
        <v>1916</v>
      </c>
      <c r="I138" s="264" t="s">
        <v>2175</v>
      </c>
      <c r="J138" s="264" t="s">
        <v>2082</v>
      </c>
      <c r="K138" s="264" t="s">
        <v>4262</v>
      </c>
      <c r="L138" s="264" t="s">
        <v>4220</v>
      </c>
      <c r="M138" s="264" t="s">
        <v>4223</v>
      </c>
      <c r="N138" s="264" t="s">
        <v>2261</v>
      </c>
      <c r="O138" s="264" t="s">
        <v>2306</v>
      </c>
      <c r="P138" s="264" t="s">
        <v>2000</v>
      </c>
      <c r="Q138" s="264" t="s">
        <v>2243</v>
      </c>
      <c r="R138" s="264" t="s">
        <v>4241</v>
      </c>
      <c r="S138" s="264" t="s">
        <v>3676</v>
      </c>
      <c r="T138" s="264" t="s">
        <v>1908</v>
      </c>
      <c r="U138" s="264" t="s">
        <v>1890</v>
      </c>
      <c r="V138" s="264" t="s">
        <v>2086</v>
      </c>
      <c r="W138" s="264" t="s">
        <v>1943</v>
      </c>
      <c r="X138" s="264" t="s">
        <v>1998</v>
      </c>
      <c r="Y138" s="264" t="s">
        <v>2061</v>
      </c>
      <c r="Z138" s="265" t="s">
        <v>2275</v>
      </c>
      <c r="AA138" s="265" t="s">
        <v>1916</v>
      </c>
      <c r="AB138" s="265" t="s">
        <v>2249</v>
      </c>
      <c r="AC138" s="265" t="s">
        <v>2144</v>
      </c>
      <c r="AD138" s="265" t="s">
        <v>2117</v>
      </c>
      <c r="AE138" s="265" t="s">
        <v>1996</v>
      </c>
      <c r="AF138" s="265" t="s">
        <v>3620</v>
      </c>
      <c r="AG138" s="265" t="s">
        <v>1991</v>
      </c>
      <c r="AH138" s="265" t="s">
        <v>3551</v>
      </c>
      <c r="AI138" s="265" t="s">
        <v>2091</v>
      </c>
    </row>
    <row r="139" spans="1:35" x14ac:dyDescent="0.25">
      <c r="A139" s="264" t="str">
        <f>HLOOKUP(Overview!$P$8,$B$1:$AI$1500,139,FALSE)</f>
        <v xml:space="preserve">          10001123</v>
      </c>
      <c r="B139" s="252"/>
      <c r="C139" s="183">
        <v>10033036</v>
      </c>
      <c r="D139" s="288" t="s">
        <v>2216</v>
      </c>
      <c r="E139" s="252" t="s">
        <v>2186</v>
      </c>
      <c r="F139" s="252" t="s">
        <v>1943</v>
      </c>
      <c r="G139" s="252" t="s">
        <v>1897</v>
      </c>
      <c r="I139" s="252" t="s">
        <v>2317</v>
      </c>
      <c r="J139" s="252" t="s">
        <v>2061</v>
      </c>
      <c r="K139" s="252" t="s">
        <v>4263</v>
      </c>
      <c r="L139" s="252" t="s">
        <v>4241</v>
      </c>
      <c r="M139" s="252" t="s">
        <v>4243</v>
      </c>
      <c r="N139" s="252" t="s">
        <v>2185</v>
      </c>
      <c r="O139" s="252" t="s">
        <v>2261</v>
      </c>
      <c r="P139" s="252" t="s">
        <v>1996</v>
      </c>
      <c r="Q139" s="252" t="s">
        <v>2309</v>
      </c>
      <c r="R139" s="252" t="s">
        <v>4242</v>
      </c>
      <c r="S139" s="252" t="s">
        <v>3677</v>
      </c>
      <c r="T139" s="252" t="s">
        <v>2039</v>
      </c>
      <c r="U139" s="252" t="s">
        <v>1984</v>
      </c>
      <c r="V139" s="252" t="s">
        <v>2177</v>
      </c>
      <c r="W139" s="252" t="s">
        <v>2007</v>
      </c>
      <c r="X139" s="252" t="s">
        <v>2049</v>
      </c>
      <c r="Y139" s="252" t="s">
        <v>2022</v>
      </c>
      <c r="Z139" s="266" t="s">
        <v>1975</v>
      </c>
      <c r="AA139" s="266" t="s">
        <v>1897</v>
      </c>
      <c r="AB139" s="266" t="s">
        <v>2075</v>
      </c>
      <c r="AC139" s="266" t="s">
        <v>3675</v>
      </c>
      <c r="AD139" s="266" t="s">
        <v>2230</v>
      </c>
      <c r="AE139" s="266" t="s">
        <v>1991</v>
      </c>
      <c r="AF139" s="266" t="s">
        <v>1975</v>
      </c>
      <c r="AG139" s="266" t="s">
        <v>2075</v>
      </c>
      <c r="AH139" s="266" t="s">
        <v>4251</v>
      </c>
      <c r="AI139" s="266" t="s">
        <v>1942</v>
      </c>
    </row>
    <row r="140" spans="1:35" x14ac:dyDescent="0.25">
      <c r="A140" s="264" t="str">
        <f>HLOOKUP(Overview!$P$8,$B$1:$AI$1500,140,FALSE)</f>
        <v xml:space="preserve">          10001128</v>
      </c>
      <c r="B140" s="252"/>
      <c r="C140" s="183">
        <v>10127497</v>
      </c>
      <c r="D140" s="287" t="s">
        <v>2119</v>
      </c>
      <c r="E140" s="264" t="s">
        <v>2198</v>
      </c>
      <c r="F140" s="264" t="s">
        <v>2007</v>
      </c>
      <c r="G140" s="264" t="s">
        <v>2000</v>
      </c>
      <c r="I140" s="264" t="s">
        <v>2275</v>
      </c>
      <c r="J140" s="264" t="s">
        <v>2022</v>
      </c>
      <c r="K140" s="264" t="s">
        <v>4264</v>
      </c>
      <c r="L140" s="264" t="s">
        <v>4242</v>
      </c>
      <c r="M140" s="264" t="s">
        <v>4226</v>
      </c>
      <c r="N140" s="264" t="s">
        <v>4249</v>
      </c>
      <c r="O140" s="264" t="s">
        <v>2185</v>
      </c>
      <c r="P140" s="264" t="s">
        <v>1991</v>
      </c>
      <c r="Q140" s="264" t="s">
        <v>2117</v>
      </c>
      <c r="R140" s="264" t="s">
        <v>4223</v>
      </c>
      <c r="S140" s="264" t="s">
        <v>4195</v>
      </c>
      <c r="T140" s="264" t="s">
        <v>1890</v>
      </c>
      <c r="U140" s="264" t="s">
        <v>1971</v>
      </c>
      <c r="V140" s="264" t="s">
        <v>2256</v>
      </c>
      <c r="W140" s="264" t="s">
        <v>1916</v>
      </c>
      <c r="X140" s="264" t="s">
        <v>4265</v>
      </c>
      <c r="Y140" s="264" t="s">
        <v>2171</v>
      </c>
      <c r="Z140" s="265" t="s">
        <v>2091</v>
      </c>
      <c r="AA140" s="265" t="s">
        <v>2000</v>
      </c>
      <c r="AB140" s="265" t="s">
        <v>2031</v>
      </c>
      <c r="AC140" s="265" t="s">
        <v>3676</v>
      </c>
      <c r="AD140" s="265" t="s">
        <v>2071</v>
      </c>
      <c r="AE140" s="265" t="s">
        <v>2249</v>
      </c>
      <c r="AF140" s="265" t="s">
        <v>2366</v>
      </c>
      <c r="AG140" s="265" t="s">
        <v>2031</v>
      </c>
      <c r="AH140" s="265" t="s">
        <v>4252</v>
      </c>
      <c r="AI140" s="265" t="s">
        <v>1959</v>
      </c>
    </row>
    <row r="141" spans="1:35" x14ac:dyDescent="0.25">
      <c r="A141" s="264" t="str">
        <f>HLOOKUP(Overview!$P$8,$B$1:$AI$1500,141,FALSE)</f>
        <v xml:space="preserve">          10001129</v>
      </c>
      <c r="B141" s="252"/>
      <c r="C141" s="183">
        <v>10001993</v>
      </c>
      <c r="D141" s="288" t="s">
        <v>2015</v>
      </c>
      <c r="E141" s="252" t="s">
        <v>2087</v>
      </c>
      <c r="F141" s="252" t="s">
        <v>1916</v>
      </c>
      <c r="G141" s="252" t="s">
        <v>1996</v>
      </c>
      <c r="I141" s="252" t="s">
        <v>1975</v>
      </c>
      <c r="J141" s="252" t="s">
        <v>1943</v>
      </c>
      <c r="K141" s="252" t="s">
        <v>3683</v>
      </c>
      <c r="L141" s="252" t="s">
        <v>4223</v>
      </c>
      <c r="M141" s="252" t="s">
        <v>2051</v>
      </c>
      <c r="N141" s="252" t="s">
        <v>3584</v>
      </c>
      <c r="O141" s="252" t="s">
        <v>4266</v>
      </c>
      <c r="P141" s="252" t="s">
        <v>2075</v>
      </c>
      <c r="Q141" s="252" t="s">
        <v>2230</v>
      </c>
      <c r="R141" s="252" t="s">
        <v>4226</v>
      </c>
      <c r="S141" s="252" t="s">
        <v>4267</v>
      </c>
      <c r="T141" s="252" t="s">
        <v>1934</v>
      </c>
      <c r="U141" s="252" t="s">
        <v>2160</v>
      </c>
      <c r="V141" s="252" t="s">
        <v>2285</v>
      </c>
      <c r="W141" s="252" t="s">
        <v>1897</v>
      </c>
      <c r="X141" s="252" t="s">
        <v>2121</v>
      </c>
      <c r="Y141" s="252" t="s">
        <v>1943</v>
      </c>
      <c r="Z141" s="266" t="s">
        <v>1942</v>
      </c>
      <c r="AA141" s="266" t="s">
        <v>1996</v>
      </c>
      <c r="AB141" s="266" t="s">
        <v>2107</v>
      </c>
      <c r="AC141" s="266" t="s">
        <v>3677</v>
      </c>
      <c r="AD141" s="266" t="s">
        <v>2205</v>
      </c>
      <c r="AE141" s="266" t="s">
        <v>2340</v>
      </c>
      <c r="AF141" s="266" t="s">
        <v>2091</v>
      </c>
      <c r="AG141" s="266" t="s">
        <v>2107</v>
      </c>
      <c r="AH141" s="266" t="s">
        <v>3589</v>
      </c>
      <c r="AI141" s="266" t="s">
        <v>1998</v>
      </c>
    </row>
    <row r="142" spans="1:35" x14ac:dyDescent="0.25">
      <c r="A142" s="264" t="str">
        <f>HLOOKUP(Overview!$P$8,$B$1:$AI$1500,142,FALSE)</f>
        <v xml:space="preserve">          10001130</v>
      </c>
      <c r="B142" s="252"/>
      <c r="C142" s="183">
        <v>10002431</v>
      </c>
      <c r="D142" s="287" t="s">
        <v>1912</v>
      </c>
      <c r="E142" s="264" t="s">
        <v>2125</v>
      </c>
      <c r="F142" s="264" t="s">
        <v>1897</v>
      </c>
      <c r="G142" s="264" t="s">
        <v>1991</v>
      </c>
      <c r="I142" s="264" t="s">
        <v>3621</v>
      </c>
      <c r="J142" s="264" t="s">
        <v>2007</v>
      </c>
      <c r="K142" s="264" t="s">
        <v>3684</v>
      </c>
      <c r="L142" s="264" t="s">
        <v>4243</v>
      </c>
      <c r="M142" s="264" t="s">
        <v>1903</v>
      </c>
      <c r="N142" s="264" t="s">
        <v>2275</v>
      </c>
      <c r="O142" s="264" t="s">
        <v>4230</v>
      </c>
      <c r="P142" s="264" t="s">
        <v>2031</v>
      </c>
      <c r="Q142" s="264" t="s">
        <v>2071</v>
      </c>
      <c r="R142" s="264" t="s">
        <v>2051</v>
      </c>
      <c r="S142" s="264" t="s">
        <v>4199</v>
      </c>
      <c r="T142" s="264" t="s">
        <v>1971</v>
      </c>
      <c r="U142" s="264" t="s">
        <v>2078</v>
      </c>
      <c r="V142" s="264" t="s">
        <v>1908</v>
      </c>
      <c r="W142" s="264" t="s">
        <v>2000</v>
      </c>
      <c r="X142" s="264" t="s">
        <v>2192</v>
      </c>
      <c r="Y142" s="264" t="s">
        <v>2007</v>
      </c>
      <c r="Z142" s="265" t="s">
        <v>1959</v>
      </c>
      <c r="AA142" s="265" t="s">
        <v>1991</v>
      </c>
      <c r="AB142" s="265" t="s">
        <v>2117</v>
      </c>
      <c r="AC142" s="265" t="s">
        <v>4195</v>
      </c>
      <c r="AD142" s="265" t="s">
        <v>2203</v>
      </c>
      <c r="AE142" s="265" t="s">
        <v>2075</v>
      </c>
      <c r="AF142" s="265" t="s">
        <v>1942</v>
      </c>
      <c r="AG142" s="265" t="s">
        <v>3619</v>
      </c>
      <c r="AH142" s="265" t="s">
        <v>4253</v>
      </c>
      <c r="AI142" s="265" t="s">
        <v>2049</v>
      </c>
    </row>
    <row r="143" spans="1:35" x14ac:dyDescent="0.25">
      <c r="A143" s="264" t="str">
        <f>HLOOKUP(Overview!$P$8,$B$1:$AI$1500,143,FALSE)</f>
        <v xml:space="preserve">          10001136</v>
      </c>
      <c r="B143" s="252"/>
      <c r="C143" s="183">
        <v>10001034</v>
      </c>
      <c r="D143" s="288" t="s">
        <v>4476</v>
      </c>
      <c r="E143" s="252" t="s">
        <v>2066</v>
      </c>
      <c r="F143" s="252" t="s">
        <v>2000</v>
      </c>
      <c r="G143" s="252" t="s">
        <v>2249</v>
      </c>
      <c r="I143" s="252" t="s">
        <v>2091</v>
      </c>
      <c r="J143" s="252" t="s">
        <v>1916</v>
      </c>
      <c r="K143" s="252" t="s">
        <v>3685</v>
      </c>
      <c r="L143" s="252" t="s">
        <v>4226</v>
      </c>
      <c r="M143" s="252" t="s">
        <v>2005</v>
      </c>
      <c r="N143" s="252" t="s">
        <v>4230</v>
      </c>
      <c r="O143" s="252" t="s">
        <v>1975</v>
      </c>
      <c r="P143" s="252" t="s">
        <v>2107</v>
      </c>
      <c r="Q143" s="252" t="s">
        <v>2205</v>
      </c>
      <c r="R143" s="252" t="s">
        <v>2005</v>
      </c>
      <c r="S143" s="252" t="s">
        <v>4261</v>
      </c>
      <c r="T143" s="252" t="s">
        <v>2160</v>
      </c>
      <c r="U143" s="252" t="s">
        <v>3627</v>
      </c>
      <c r="V143" s="252" t="s">
        <v>2039</v>
      </c>
      <c r="W143" s="252" t="s">
        <v>1996</v>
      </c>
      <c r="X143" s="252" t="s">
        <v>2115</v>
      </c>
      <c r="Y143" s="252" t="s">
        <v>1916</v>
      </c>
      <c r="Z143" s="266" t="s">
        <v>1998</v>
      </c>
      <c r="AA143" s="266" t="s">
        <v>2249</v>
      </c>
      <c r="AB143" s="266" t="s">
        <v>2230</v>
      </c>
      <c r="AC143" s="266" t="s">
        <v>4268</v>
      </c>
      <c r="AD143" s="266" t="s">
        <v>2051</v>
      </c>
      <c r="AE143" s="266" t="s">
        <v>2031</v>
      </c>
      <c r="AF143" s="266" t="s">
        <v>1959</v>
      </c>
      <c r="AG143" s="266" t="s">
        <v>2302</v>
      </c>
      <c r="AH143" s="266" t="s">
        <v>4255</v>
      </c>
      <c r="AI143" s="266" t="s">
        <v>3623</v>
      </c>
    </row>
    <row r="144" spans="1:35" x14ac:dyDescent="0.25">
      <c r="A144" s="264" t="str">
        <f>HLOOKUP(Overview!$P$8,$B$1:$AI$1500,144,FALSE)</f>
        <v xml:space="preserve">          10001142</v>
      </c>
      <c r="B144" s="252"/>
      <c r="C144" s="183">
        <v>10002297</v>
      </c>
      <c r="D144" s="287" t="s">
        <v>4477</v>
      </c>
      <c r="E144" s="264" t="s">
        <v>2132</v>
      </c>
      <c r="F144" s="264" t="s">
        <v>1996</v>
      </c>
      <c r="G144" s="264" t="s">
        <v>2359</v>
      </c>
      <c r="I144" s="264" t="s">
        <v>1942</v>
      </c>
      <c r="J144" s="264" t="s">
        <v>1897</v>
      </c>
      <c r="K144" s="264" t="s">
        <v>2159</v>
      </c>
      <c r="L144" s="264" t="s">
        <v>2005</v>
      </c>
      <c r="M144" s="264" t="s">
        <v>4221</v>
      </c>
      <c r="N144" s="264" t="s">
        <v>1975</v>
      </c>
      <c r="O144" s="264" t="s">
        <v>2366</v>
      </c>
      <c r="P144" s="264" t="s">
        <v>2117</v>
      </c>
      <c r="Q144" s="264" t="s">
        <v>2203</v>
      </c>
      <c r="R144" s="264" t="s">
        <v>4225</v>
      </c>
      <c r="S144" s="264" t="s">
        <v>4263</v>
      </c>
      <c r="T144" s="264" t="s">
        <v>2078</v>
      </c>
      <c r="U144" s="264" t="s">
        <v>2124</v>
      </c>
      <c r="V144" s="264" t="s">
        <v>1890</v>
      </c>
      <c r="W144" s="264" t="s">
        <v>1991</v>
      </c>
      <c r="X144" s="264" t="s">
        <v>2140</v>
      </c>
      <c r="Y144" s="264" t="s">
        <v>1897</v>
      </c>
      <c r="Z144" s="265" t="s">
        <v>2049</v>
      </c>
      <c r="AA144" s="265" t="s">
        <v>2075</v>
      </c>
      <c r="AB144" s="265" t="s">
        <v>2071</v>
      </c>
      <c r="AC144" s="265" t="s">
        <v>4269</v>
      </c>
      <c r="AD144" s="265" t="s">
        <v>1903</v>
      </c>
      <c r="AE144" s="265" t="s">
        <v>2107</v>
      </c>
      <c r="AF144" s="265" t="s">
        <v>1998</v>
      </c>
      <c r="AG144" s="265" t="s">
        <v>3544</v>
      </c>
      <c r="AH144" s="265" t="s">
        <v>3579</v>
      </c>
      <c r="AI144" s="265" t="s">
        <v>2121</v>
      </c>
    </row>
    <row r="145" spans="1:35" x14ac:dyDescent="0.25">
      <c r="A145" s="264" t="str">
        <f>HLOOKUP(Overview!$P$8,$B$1:$AI$1500,145,FALSE)</f>
        <v xml:space="preserve">          10001150</v>
      </c>
      <c r="B145" s="252"/>
      <c r="C145" s="183">
        <v>10001614</v>
      </c>
      <c r="D145" s="288" t="s">
        <v>1955</v>
      </c>
      <c r="E145" s="252" t="s">
        <v>2068</v>
      </c>
      <c r="F145" s="252" t="s">
        <v>3545</v>
      </c>
      <c r="G145" s="252" t="s">
        <v>2075</v>
      </c>
      <c r="I145" s="252" t="s">
        <v>1959</v>
      </c>
      <c r="J145" s="252" t="s">
        <v>2000</v>
      </c>
      <c r="K145" s="252" t="s">
        <v>2013</v>
      </c>
      <c r="L145" s="252" t="s">
        <v>4221</v>
      </c>
      <c r="M145" s="252" t="s">
        <v>2185</v>
      </c>
      <c r="N145" s="252" t="s">
        <v>4270</v>
      </c>
      <c r="O145" s="252" t="s">
        <v>2091</v>
      </c>
      <c r="P145" s="252" t="s">
        <v>2230</v>
      </c>
      <c r="Q145" s="252" t="s">
        <v>4239</v>
      </c>
      <c r="R145" s="252" t="s">
        <v>2306</v>
      </c>
      <c r="S145" s="252" t="s">
        <v>4271</v>
      </c>
      <c r="T145" s="252" t="s">
        <v>2181</v>
      </c>
      <c r="U145" s="252" t="s">
        <v>2070</v>
      </c>
      <c r="V145" s="252" t="s">
        <v>1934</v>
      </c>
      <c r="W145" s="252" t="s">
        <v>2340</v>
      </c>
      <c r="X145" s="252" t="s">
        <v>2086</v>
      </c>
      <c r="Y145" s="252" t="s">
        <v>2000</v>
      </c>
      <c r="Z145" s="266" t="s">
        <v>2372</v>
      </c>
      <c r="AA145" s="266" t="s">
        <v>2031</v>
      </c>
      <c r="AB145" s="266" t="s">
        <v>2205</v>
      </c>
      <c r="AC145" s="266" t="s">
        <v>4260</v>
      </c>
      <c r="AD145" s="266" t="s">
        <v>2005</v>
      </c>
      <c r="AE145" s="266" t="s">
        <v>2302</v>
      </c>
      <c r="AF145" s="266" t="s">
        <v>2049</v>
      </c>
      <c r="AG145" s="266" t="s">
        <v>2243</v>
      </c>
      <c r="AH145" s="266" t="s">
        <v>3577</v>
      </c>
      <c r="AI145" s="266" t="s">
        <v>2192</v>
      </c>
    </row>
    <row r="146" spans="1:35" x14ac:dyDescent="0.25">
      <c r="A146" s="264" t="str">
        <f>HLOOKUP(Overview!$P$8,$B$1:$AI$1500,146,FALSE)</f>
        <v xml:space="preserve">          10001704</v>
      </c>
      <c r="B146" s="252"/>
      <c r="C146" s="183">
        <v>10097402</v>
      </c>
      <c r="D146" s="287" t="s">
        <v>2098</v>
      </c>
      <c r="E146" s="264" t="s">
        <v>4216</v>
      </c>
      <c r="F146" s="264" t="s">
        <v>3557</v>
      </c>
      <c r="G146" s="264" t="s">
        <v>2031</v>
      </c>
      <c r="I146" s="264" t="s">
        <v>1998</v>
      </c>
      <c r="J146" s="264" t="s">
        <v>1996</v>
      </c>
      <c r="K146" s="264" t="s">
        <v>2123</v>
      </c>
      <c r="L146" s="264" t="s">
        <v>4225</v>
      </c>
      <c r="M146" s="264" t="s">
        <v>4249</v>
      </c>
      <c r="N146" s="264" t="s">
        <v>2091</v>
      </c>
      <c r="O146" s="264" t="s">
        <v>1942</v>
      </c>
      <c r="P146" s="264" t="s">
        <v>2071</v>
      </c>
      <c r="Q146" s="264" t="s">
        <v>4220</v>
      </c>
      <c r="R146" s="264" t="s">
        <v>2261</v>
      </c>
      <c r="S146" s="264" t="s">
        <v>4272</v>
      </c>
      <c r="T146" s="264" t="s">
        <v>4235</v>
      </c>
      <c r="U146" s="264" t="s">
        <v>2178</v>
      </c>
      <c r="V146" s="264" t="s">
        <v>1971</v>
      </c>
      <c r="W146" s="264" t="s">
        <v>2359</v>
      </c>
      <c r="X146" s="264" t="s">
        <v>2376</v>
      </c>
      <c r="Y146" s="264" t="s">
        <v>1996</v>
      </c>
      <c r="Z146" s="265" t="s">
        <v>2121</v>
      </c>
      <c r="AA146" s="265" t="s">
        <v>2107</v>
      </c>
      <c r="AB146" s="265" t="s">
        <v>2203</v>
      </c>
      <c r="AC146" s="265" t="s">
        <v>4261</v>
      </c>
      <c r="AD146" s="265" t="s">
        <v>4245</v>
      </c>
      <c r="AE146" s="265" t="s">
        <v>3544</v>
      </c>
      <c r="AF146" s="265" t="s">
        <v>4273</v>
      </c>
      <c r="AG146" s="265" t="s">
        <v>2309</v>
      </c>
      <c r="AH146" s="265" t="s">
        <v>3581</v>
      </c>
      <c r="AI146" s="265" t="s">
        <v>2115</v>
      </c>
    </row>
    <row r="147" spans="1:35" x14ac:dyDescent="0.25">
      <c r="A147" s="264" t="str">
        <f>HLOOKUP(Overview!$P$8,$B$1:$AI$1500,147,FALSE)</f>
        <v xml:space="preserve">          10001705</v>
      </c>
      <c r="B147" s="252"/>
      <c r="C147" s="183">
        <v>10000154</v>
      </c>
      <c r="D147" s="288" t="s">
        <v>2073</v>
      </c>
      <c r="E147" s="252" t="s">
        <v>4215</v>
      </c>
      <c r="F147" s="252" t="s">
        <v>3555</v>
      </c>
      <c r="G147" s="252" t="s">
        <v>2107</v>
      </c>
      <c r="I147" s="252" t="s">
        <v>2049</v>
      </c>
      <c r="J147" s="252" t="s">
        <v>1991</v>
      </c>
      <c r="K147" s="252" t="s">
        <v>2017</v>
      </c>
      <c r="L147" s="252" t="s">
        <v>4249</v>
      </c>
      <c r="M147" s="252" t="s">
        <v>4266</v>
      </c>
      <c r="N147" s="252" t="s">
        <v>1942</v>
      </c>
      <c r="O147" s="252" t="s">
        <v>1959</v>
      </c>
      <c r="P147" s="252" t="s">
        <v>2205</v>
      </c>
      <c r="Q147" s="252" t="s">
        <v>4240</v>
      </c>
      <c r="R147" s="252" t="s">
        <v>2185</v>
      </c>
      <c r="S147" s="252" t="s">
        <v>4274</v>
      </c>
      <c r="T147" s="252" t="s">
        <v>2096</v>
      </c>
      <c r="U147" s="252" t="s">
        <v>1931</v>
      </c>
      <c r="V147" s="252" t="s">
        <v>2368</v>
      </c>
      <c r="W147" s="252" t="s">
        <v>2075</v>
      </c>
      <c r="X147" s="252" t="s">
        <v>2177</v>
      </c>
      <c r="Y147" s="252" t="s">
        <v>3545</v>
      </c>
      <c r="Z147" s="266" t="s">
        <v>2192</v>
      </c>
      <c r="AA147" s="266" t="s">
        <v>2302</v>
      </c>
      <c r="AB147" s="266" t="s">
        <v>2397</v>
      </c>
      <c r="AC147" s="266" t="s">
        <v>4262</v>
      </c>
      <c r="AD147" s="266" t="s">
        <v>2306</v>
      </c>
      <c r="AE147" s="266" t="s">
        <v>2243</v>
      </c>
      <c r="AF147" s="266" t="s">
        <v>2121</v>
      </c>
      <c r="AG147" s="266" t="s">
        <v>2117</v>
      </c>
      <c r="AH147" s="266" t="s">
        <v>4256</v>
      </c>
      <c r="AI147" s="266" t="s">
        <v>2262</v>
      </c>
    </row>
    <row r="148" spans="1:35" x14ac:dyDescent="0.25">
      <c r="A148" s="264" t="str">
        <f>HLOOKUP(Overview!$P$8,$B$1:$AI$1500,148,FALSE)</f>
        <v xml:space="preserve">          10002897</v>
      </c>
      <c r="B148" s="252"/>
      <c r="C148" s="183">
        <v>10000759</v>
      </c>
      <c r="D148" s="287" t="s">
        <v>4478</v>
      </c>
      <c r="E148" s="264" t="s">
        <v>1821</v>
      </c>
      <c r="F148" s="264" t="s">
        <v>3559</v>
      </c>
      <c r="G148" s="264" t="s">
        <v>2302</v>
      </c>
      <c r="I148" s="264" t="s">
        <v>2121</v>
      </c>
      <c r="J148" s="264" t="s">
        <v>2075</v>
      </c>
      <c r="K148" s="264" t="s">
        <v>4275</v>
      </c>
      <c r="L148" s="264" t="s">
        <v>1975</v>
      </c>
      <c r="M148" s="264" t="s">
        <v>2175</v>
      </c>
      <c r="N148" s="264" t="s">
        <v>1959</v>
      </c>
      <c r="O148" s="264" t="s">
        <v>1998</v>
      </c>
      <c r="P148" s="264" t="s">
        <v>2203</v>
      </c>
      <c r="Q148" s="264" t="s">
        <v>4241</v>
      </c>
      <c r="R148" s="264" t="s">
        <v>3584</v>
      </c>
      <c r="S148" s="264" t="s">
        <v>3685</v>
      </c>
      <c r="T148" s="264" t="s">
        <v>2124</v>
      </c>
      <c r="U148" s="264" t="s">
        <v>1925</v>
      </c>
      <c r="V148" s="264" t="s">
        <v>2160</v>
      </c>
      <c r="W148" s="264" t="s">
        <v>2031</v>
      </c>
      <c r="X148" s="264" t="s">
        <v>2256</v>
      </c>
      <c r="Y148" s="264" t="s">
        <v>3557</v>
      </c>
      <c r="Z148" s="265" t="s">
        <v>2115</v>
      </c>
      <c r="AA148" s="265" t="s">
        <v>2243</v>
      </c>
      <c r="AB148" s="265" t="s">
        <v>2051</v>
      </c>
      <c r="AC148" s="265" t="s">
        <v>4263</v>
      </c>
      <c r="AD148" s="265" t="s">
        <v>2261</v>
      </c>
      <c r="AE148" s="265" t="s">
        <v>2309</v>
      </c>
      <c r="AF148" s="265" t="s">
        <v>2192</v>
      </c>
      <c r="AG148" s="265" t="s">
        <v>2230</v>
      </c>
      <c r="AH148" s="265" t="s">
        <v>4258</v>
      </c>
      <c r="AI148" s="265" t="s">
        <v>2086</v>
      </c>
    </row>
    <row r="149" spans="1:35" x14ac:dyDescent="0.25">
      <c r="A149" s="264" t="str">
        <f>HLOOKUP(Overview!$P$8,$B$1:$AI$1500,149,FALSE)</f>
        <v xml:space="preserve">          10057516</v>
      </c>
      <c r="B149" s="252"/>
      <c r="C149" s="183">
        <v>10000007</v>
      </c>
      <c r="D149" s="288" t="s">
        <v>2366</v>
      </c>
      <c r="E149" s="252" t="s">
        <v>1857</v>
      </c>
      <c r="F149" s="252" t="s">
        <v>3547</v>
      </c>
      <c r="G149" s="252" t="s">
        <v>2243</v>
      </c>
      <c r="I149" s="252" t="s">
        <v>2192</v>
      </c>
      <c r="J149" s="252" t="s">
        <v>2031</v>
      </c>
      <c r="K149" s="252" t="s">
        <v>2251</v>
      </c>
      <c r="L149" s="252" t="s">
        <v>2091</v>
      </c>
      <c r="M149" s="252" t="s">
        <v>4276</v>
      </c>
      <c r="N149" s="252" t="s">
        <v>1998</v>
      </c>
      <c r="O149" s="252" t="s">
        <v>2049</v>
      </c>
      <c r="P149" s="252" t="s">
        <v>4239</v>
      </c>
      <c r="Q149" s="252" t="s">
        <v>4242</v>
      </c>
      <c r="R149" s="252" t="s">
        <v>2275</v>
      </c>
      <c r="S149" s="252" t="s">
        <v>2159</v>
      </c>
      <c r="T149" s="252" t="s">
        <v>2070</v>
      </c>
      <c r="U149" s="252" t="s">
        <v>2055</v>
      </c>
      <c r="V149" s="252" t="s">
        <v>2078</v>
      </c>
      <c r="W149" s="252" t="s">
        <v>2107</v>
      </c>
      <c r="X149" s="252" t="s">
        <v>2285</v>
      </c>
      <c r="Y149" s="252" t="s">
        <v>3555</v>
      </c>
      <c r="Z149" s="266" t="s">
        <v>2177</v>
      </c>
      <c r="AA149" s="266" t="s">
        <v>2309</v>
      </c>
      <c r="AB149" s="266" t="s">
        <v>2005</v>
      </c>
      <c r="AC149" s="266" t="s">
        <v>4277</v>
      </c>
      <c r="AD149" s="266" t="s">
        <v>2185</v>
      </c>
      <c r="AE149" s="266" t="s">
        <v>2117</v>
      </c>
      <c r="AF149" s="266" t="s">
        <v>2115</v>
      </c>
      <c r="AG149" s="266" t="s">
        <v>2071</v>
      </c>
      <c r="AH149" s="266" t="s">
        <v>3584</v>
      </c>
      <c r="AI149" s="266" t="s">
        <v>2177</v>
      </c>
    </row>
    <row r="150" spans="1:35" x14ac:dyDescent="0.25">
      <c r="A150" s="264" t="str">
        <f>HLOOKUP(Overview!$P$8,$B$1:$AI$1500,150,FALSE)</f>
        <v xml:space="preserve">          10105909</v>
      </c>
      <c r="B150" s="252"/>
      <c r="C150" s="183">
        <v>10002282</v>
      </c>
      <c r="D150" s="287" t="s">
        <v>2137</v>
      </c>
      <c r="E150" s="264" t="s">
        <v>1989</v>
      </c>
      <c r="F150" s="264" t="s">
        <v>3566</v>
      </c>
      <c r="G150" s="264" t="s">
        <v>2309</v>
      </c>
      <c r="I150" s="264" t="s">
        <v>2115</v>
      </c>
      <c r="J150" s="264" t="s">
        <v>2107</v>
      </c>
      <c r="K150" s="264" t="s">
        <v>2102</v>
      </c>
      <c r="L150" s="264" t="s">
        <v>1942</v>
      </c>
      <c r="M150" s="264" t="s">
        <v>1975</v>
      </c>
      <c r="N150" s="264" t="s">
        <v>2049</v>
      </c>
      <c r="O150" s="264" t="s">
        <v>2121</v>
      </c>
      <c r="P150" s="264" t="s">
        <v>4220</v>
      </c>
      <c r="Q150" s="264" t="s">
        <v>4223</v>
      </c>
      <c r="R150" s="264" t="s">
        <v>4230</v>
      </c>
      <c r="S150" s="264" t="s">
        <v>2013</v>
      </c>
      <c r="T150" s="264" t="s">
        <v>2178</v>
      </c>
      <c r="U150" s="264" t="s">
        <v>1983</v>
      </c>
      <c r="V150" s="264" t="s">
        <v>3627</v>
      </c>
      <c r="W150" s="264" t="s">
        <v>3619</v>
      </c>
      <c r="X150" s="264" t="s">
        <v>1908</v>
      </c>
      <c r="Y150" s="264" t="s">
        <v>3559</v>
      </c>
      <c r="Z150" s="265" t="s">
        <v>2256</v>
      </c>
      <c r="AA150" s="265" t="s">
        <v>2117</v>
      </c>
      <c r="AB150" s="265" t="s">
        <v>2261</v>
      </c>
      <c r="AC150" s="265" t="s">
        <v>4278</v>
      </c>
      <c r="AD150" s="265" t="s">
        <v>4256</v>
      </c>
      <c r="AE150" s="265" t="s">
        <v>2230</v>
      </c>
      <c r="AF150" s="265" t="s">
        <v>2140</v>
      </c>
      <c r="AG150" s="265" t="s">
        <v>2205</v>
      </c>
      <c r="AH150" s="265" t="s">
        <v>2175</v>
      </c>
      <c r="AI150" s="265" t="s">
        <v>2256</v>
      </c>
    </row>
    <row r="151" spans="1:35" x14ac:dyDescent="0.25">
      <c r="A151" s="264" t="str">
        <f>HLOOKUP(Overview!$P$8,$B$1:$AI$1500,151,FALSE)</f>
        <v xml:space="preserve">          10114994</v>
      </c>
      <c r="B151" s="252"/>
      <c r="C151" s="183">
        <v>10120327</v>
      </c>
      <c r="D151" s="288" t="s">
        <v>2168</v>
      </c>
      <c r="E151" s="252" t="s">
        <v>1949</v>
      </c>
      <c r="F151" s="252" t="s">
        <v>1991</v>
      </c>
      <c r="G151" s="252" t="s">
        <v>2117</v>
      </c>
      <c r="I151" s="252" t="s">
        <v>2140</v>
      </c>
      <c r="J151" s="252" t="s">
        <v>2302</v>
      </c>
      <c r="K151" s="252" t="s">
        <v>2213</v>
      </c>
      <c r="L151" s="252" t="s">
        <v>1959</v>
      </c>
      <c r="M151" s="252" t="s">
        <v>2366</v>
      </c>
      <c r="N151" s="252" t="s">
        <v>4279</v>
      </c>
      <c r="O151" s="252" t="s">
        <v>2192</v>
      </c>
      <c r="P151" s="252" t="s">
        <v>4242</v>
      </c>
      <c r="Q151" s="252" t="s">
        <v>4243</v>
      </c>
      <c r="R151" s="252" t="s">
        <v>1942</v>
      </c>
      <c r="S151" s="252" t="s">
        <v>2111</v>
      </c>
      <c r="T151" s="252" t="s">
        <v>2156</v>
      </c>
      <c r="U151" s="252" t="s">
        <v>2032</v>
      </c>
      <c r="V151" s="252" t="s">
        <v>2096</v>
      </c>
      <c r="W151" s="252" t="s">
        <v>2302</v>
      </c>
      <c r="X151" s="252" t="s">
        <v>2039</v>
      </c>
      <c r="Y151" s="252" t="s">
        <v>3547</v>
      </c>
      <c r="Z151" s="266" t="s">
        <v>2285</v>
      </c>
      <c r="AA151" s="266" t="s">
        <v>2230</v>
      </c>
      <c r="AB151" s="266" t="s">
        <v>2185</v>
      </c>
      <c r="AC151" s="266" t="s">
        <v>4272</v>
      </c>
      <c r="AD151" s="266" t="s">
        <v>3584</v>
      </c>
      <c r="AE151" s="266" t="s">
        <v>2071</v>
      </c>
      <c r="AF151" s="266" t="s">
        <v>2086</v>
      </c>
      <c r="AG151" s="266" t="s">
        <v>2203</v>
      </c>
      <c r="AH151" s="266" t="s">
        <v>2317</v>
      </c>
      <c r="AI151" s="266" t="s">
        <v>2285</v>
      </c>
    </row>
    <row r="152" spans="1:35" x14ac:dyDescent="0.25">
      <c r="A152" s="264" t="str">
        <f>HLOOKUP(Overview!$P$8,$B$1:$AI$1500,152,FALSE)</f>
        <v xml:space="preserve">          10114996</v>
      </c>
      <c r="B152" s="252"/>
      <c r="C152" s="183">
        <v>10000831</v>
      </c>
      <c r="D152" s="287" t="s">
        <v>3583</v>
      </c>
      <c r="E152" s="264" t="s">
        <v>2009</v>
      </c>
      <c r="F152" s="264" t="s">
        <v>2249</v>
      </c>
      <c r="G152" s="264" t="s">
        <v>2230</v>
      </c>
      <c r="I152" s="264" t="s">
        <v>2086</v>
      </c>
      <c r="J152" s="264" t="s">
        <v>3544</v>
      </c>
      <c r="K152" s="264" t="s">
        <v>2173</v>
      </c>
      <c r="L152" s="264" t="s">
        <v>1998</v>
      </c>
      <c r="M152" s="264" t="s">
        <v>2091</v>
      </c>
      <c r="N152" s="264" t="s">
        <v>2121</v>
      </c>
      <c r="O152" s="264" t="s">
        <v>2115</v>
      </c>
      <c r="P152" s="264" t="s">
        <v>4223</v>
      </c>
      <c r="Q152" s="264" t="s">
        <v>4226</v>
      </c>
      <c r="R152" s="264" t="s">
        <v>1959</v>
      </c>
      <c r="S152" s="264" t="s">
        <v>2017</v>
      </c>
      <c r="T152" s="264" t="s">
        <v>1931</v>
      </c>
      <c r="U152" s="264" t="s">
        <v>3571</v>
      </c>
      <c r="V152" s="264" t="s">
        <v>2124</v>
      </c>
      <c r="W152" s="264" t="s">
        <v>3544</v>
      </c>
      <c r="X152" s="264" t="s">
        <v>1890</v>
      </c>
      <c r="Y152" s="264" t="s">
        <v>3566</v>
      </c>
      <c r="Z152" s="265" t="s">
        <v>1908</v>
      </c>
      <c r="AA152" s="265" t="s">
        <v>2071</v>
      </c>
      <c r="AB152" s="265" t="s">
        <v>3549</v>
      </c>
      <c r="AC152" s="265" t="s">
        <v>4280</v>
      </c>
      <c r="AD152" s="265" t="s">
        <v>2175</v>
      </c>
      <c r="AE152" s="265" t="s">
        <v>2397</v>
      </c>
      <c r="AF152" s="265" t="s">
        <v>2376</v>
      </c>
      <c r="AG152" s="265" t="s">
        <v>1903</v>
      </c>
      <c r="AH152" s="265" t="s">
        <v>2275</v>
      </c>
      <c r="AI152" s="265" t="s">
        <v>3626</v>
      </c>
    </row>
    <row r="153" spans="1:35" x14ac:dyDescent="0.25">
      <c r="A153" s="264" t="str">
        <f>HLOOKUP(Overview!$P$8,$B$1:$AI$1500,153,FALSE)</f>
        <v xml:space="preserve">          10114997</v>
      </c>
      <c r="B153" s="252"/>
      <c r="C153" s="183">
        <v>10000852</v>
      </c>
      <c r="D153" s="288" t="s">
        <v>2026</v>
      </c>
      <c r="E153" s="252" t="s">
        <v>2196</v>
      </c>
      <c r="F153" s="252" t="s">
        <v>2340</v>
      </c>
      <c r="G153" s="252" t="s">
        <v>2071</v>
      </c>
      <c r="I153" s="252" t="s">
        <v>2177</v>
      </c>
      <c r="J153" s="252" t="s">
        <v>2243</v>
      </c>
      <c r="K153" s="252" t="s">
        <v>2212</v>
      </c>
      <c r="L153" s="252" t="s">
        <v>2049</v>
      </c>
      <c r="M153" s="252" t="s">
        <v>1942</v>
      </c>
      <c r="N153" s="252" t="s">
        <v>2192</v>
      </c>
      <c r="O153" s="252" t="s">
        <v>4254</v>
      </c>
      <c r="P153" s="252" t="s">
        <v>4243</v>
      </c>
      <c r="Q153" s="252" t="s">
        <v>2051</v>
      </c>
      <c r="R153" s="252" t="s">
        <v>1998</v>
      </c>
      <c r="S153" s="252" t="s">
        <v>2251</v>
      </c>
      <c r="T153" s="252" t="s">
        <v>1925</v>
      </c>
      <c r="U153" s="252" t="s">
        <v>2084</v>
      </c>
      <c r="V153" s="252" t="s">
        <v>2070</v>
      </c>
      <c r="W153" s="252" t="s">
        <v>2243</v>
      </c>
      <c r="X153" s="252" t="s">
        <v>1934</v>
      </c>
      <c r="Y153" s="252" t="s">
        <v>1991</v>
      </c>
      <c r="Z153" s="266" t="s">
        <v>2039</v>
      </c>
      <c r="AA153" s="266" t="s">
        <v>2205</v>
      </c>
      <c r="AB153" s="266" t="s">
        <v>3553</v>
      </c>
      <c r="AC153" s="266" t="s">
        <v>4264</v>
      </c>
      <c r="AD153" s="266" t="s">
        <v>2317</v>
      </c>
      <c r="AE153" s="266" t="s">
        <v>2051</v>
      </c>
      <c r="AF153" s="266" t="s">
        <v>2346</v>
      </c>
      <c r="AG153" s="266" t="s">
        <v>2005</v>
      </c>
      <c r="AH153" s="266" t="s">
        <v>1975</v>
      </c>
      <c r="AI153" s="266" t="s">
        <v>1908</v>
      </c>
    </row>
    <row r="154" spans="1:35" x14ac:dyDescent="0.25">
      <c r="A154" s="264" t="str">
        <f>HLOOKUP(Overview!$P$8,$B$1:$AI$1500,154,FALSE)</f>
        <v xml:space="preserve">          10120687</v>
      </c>
      <c r="B154" s="252"/>
      <c r="C154" s="183">
        <v>10097747</v>
      </c>
      <c r="D154" s="287" t="s">
        <v>3676</v>
      </c>
      <c r="E154" s="264" t="s">
        <v>1839</v>
      </c>
      <c r="F154" s="264" t="s">
        <v>2075</v>
      </c>
      <c r="G154" s="264" t="s">
        <v>2205</v>
      </c>
      <c r="I154" s="264" t="s">
        <v>2256</v>
      </c>
      <c r="J154" s="264" t="s">
        <v>2309</v>
      </c>
      <c r="K154" s="264" t="s">
        <v>2276</v>
      </c>
      <c r="L154" s="264" t="s">
        <v>2121</v>
      </c>
      <c r="M154" s="264" t="s">
        <v>1959</v>
      </c>
      <c r="N154" s="264" t="s">
        <v>2115</v>
      </c>
      <c r="O154" s="264" t="s">
        <v>4232</v>
      </c>
      <c r="P154" s="264" t="s">
        <v>4226</v>
      </c>
      <c r="Q154" s="264" t="s">
        <v>1903</v>
      </c>
      <c r="R154" s="264" t="s">
        <v>2049</v>
      </c>
      <c r="S154" s="264" t="s">
        <v>2276</v>
      </c>
      <c r="T154" s="264" t="s">
        <v>2055</v>
      </c>
      <c r="U154" s="264" t="s">
        <v>1938</v>
      </c>
      <c r="V154" s="264" t="s">
        <v>4281</v>
      </c>
      <c r="W154" s="264" t="s">
        <v>2309</v>
      </c>
      <c r="X154" s="264" t="s">
        <v>1971</v>
      </c>
      <c r="Y154" s="264" t="s">
        <v>2249</v>
      </c>
      <c r="Z154" s="265" t="s">
        <v>1890</v>
      </c>
      <c r="AA154" s="265" t="s">
        <v>2203</v>
      </c>
      <c r="AB154" s="265" t="s">
        <v>3551</v>
      </c>
      <c r="AC154" s="265" t="s">
        <v>2159</v>
      </c>
      <c r="AD154" s="265" t="s">
        <v>2275</v>
      </c>
      <c r="AE154" s="265" t="s">
        <v>1903</v>
      </c>
      <c r="AF154" s="265" t="s">
        <v>2177</v>
      </c>
      <c r="AG154" s="265" t="s">
        <v>4245</v>
      </c>
      <c r="AH154" s="265" t="s">
        <v>2366</v>
      </c>
      <c r="AI154" s="265" t="s">
        <v>2039</v>
      </c>
    </row>
    <row r="155" spans="1:35" x14ac:dyDescent="0.25">
      <c r="A155" s="264" t="str">
        <f>HLOOKUP(Overview!$P$8,$B$1:$AI$1500,155,FALSE)</f>
        <v xml:space="preserve">          10123486</v>
      </c>
      <c r="B155" s="252"/>
      <c r="C155" s="183">
        <v>10002011</v>
      </c>
      <c r="D155" s="288" t="s">
        <v>4262</v>
      </c>
      <c r="E155" s="252" t="s">
        <v>1906</v>
      </c>
      <c r="F155" s="252" t="s">
        <v>2031</v>
      </c>
      <c r="G155" s="252" t="s">
        <v>2203</v>
      </c>
      <c r="I155" s="252" t="s">
        <v>2285</v>
      </c>
      <c r="J155" s="252" t="s">
        <v>2117</v>
      </c>
      <c r="K155" s="252" t="s">
        <v>3690</v>
      </c>
      <c r="L155" s="252" t="s">
        <v>2192</v>
      </c>
      <c r="M155" s="252" t="s">
        <v>1998</v>
      </c>
      <c r="N155" s="252" t="s">
        <v>4254</v>
      </c>
      <c r="O155" s="252" t="s">
        <v>2140</v>
      </c>
      <c r="P155" s="252" t="s">
        <v>2005</v>
      </c>
      <c r="Q155" s="252" t="s">
        <v>2005</v>
      </c>
      <c r="R155" s="252" t="s">
        <v>2121</v>
      </c>
      <c r="S155" s="252" t="s">
        <v>2279</v>
      </c>
      <c r="T155" s="252" t="s">
        <v>1983</v>
      </c>
      <c r="U155" s="252" t="s">
        <v>2029</v>
      </c>
      <c r="V155" s="252" t="s">
        <v>2178</v>
      </c>
      <c r="W155" s="252" t="s">
        <v>2117</v>
      </c>
      <c r="X155" s="252" t="s">
        <v>2220</v>
      </c>
      <c r="Y155" s="252" t="s">
        <v>2340</v>
      </c>
      <c r="Z155" s="266" t="s">
        <v>1934</v>
      </c>
      <c r="AA155" s="266" t="s">
        <v>2397</v>
      </c>
      <c r="AB155" s="266" t="s">
        <v>4252</v>
      </c>
      <c r="AC155" s="266" t="s">
        <v>2013</v>
      </c>
      <c r="AD155" s="266" t="s">
        <v>4230</v>
      </c>
      <c r="AE155" s="266" t="s">
        <v>2005</v>
      </c>
      <c r="AF155" s="266" t="s">
        <v>2256</v>
      </c>
      <c r="AG155" s="266" t="s">
        <v>4246</v>
      </c>
      <c r="AH155" s="266" t="s">
        <v>2091</v>
      </c>
      <c r="AI155" s="266" t="s">
        <v>1890</v>
      </c>
    </row>
    <row r="156" spans="1:35" x14ac:dyDescent="0.25">
      <c r="A156" s="264" t="str">
        <f>HLOOKUP(Overview!$P$8,$B$1:$AI$1500,156,FALSE)</f>
        <v xml:space="preserve">          10123993</v>
      </c>
      <c r="B156" s="252"/>
      <c r="C156" s="183">
        <v>10002456</v>
      </c>
      <c r="D156" s="287" t="s">
        <v>4345</v>
      </c>
      <c r="E156" s="264" t="s">
        <v>1871</v>
      </c>
      <c r="F156" s="264" t="s">
        <v>2107</v>
      </c>
      <c r="G156" s="264" t="s">
        <v>2397</v>
      </c>
      <c r="I156" s="264" t="s">
        <v>1908</v>
      </c>
      <c r="J156" s="264" t="s">
        <v>2230</v>
      </c>
      <c r="K156" s="264" t="s">
        <v>3692</v>
      </c>
      <c r="L156" s="264" t="s">
        <v>2115</v>
      </c>
      <c r="M156" s="264" t="s">
        <v>2049</v>
      </c>
      <c r="N156" s="264" t="s">
        <v>4282</v>
      </c>
      <c r="O156" s="264" t="s">
        <v>2086</v>
      </c>
      <c r="P156" s="264" t="s">
        <v>4219</v>
      </c>
      <c r="Q156" s="264" t="s">
        <v>4219</v>
      </c>
      <c r="R156" s="264" t="s">
        <v>2192</v>
      </c>
      <c r="S156" s="264" t="s">
        <v>2354</v>
      </c>
      <c r="T156" s="264" t="s">
        <v>2032</v>
      </c>
      <c r="U156" s="264" t="s">
        <v>3664</v>
      </c>
      <c r="V156" s="264" t="s">
        <v>2156</v>
      </c>
      <c r="W156" s="264" t="s">
        <v>2230</v>
      </c>
      <c r="X156" s="264" t="s">
        <v>2291</v>
      </c>
      <c r="Y156" s="264" t="s">
        <v>2359</v>
      </c>
      <c r="Z156" s="265" t="s">
        <v>1984</v>
      </c>
      <c r="AA156" s="265" t="s">
        <v>2051</v>
      </c>
      <c r="AB156" s="265" t="s">
        <v>3579</v>
      </c>
      <c r="AC156" s="265" t="s">
        <v>2111</v>
      </c>
      <c r="AD156" s="265" t="s">
        <v>1975</v>
      </c>
      <c r="AE156" s="265" t="s">
        <v>2261</v>
      </c>
      <c r="AF156" s="265" t="s">
        <v>2285</v>
      </c>
      <c r="AG156" s="265" t="s">
        <v>2306</v>
      </c>
      <c r="AH156" s="265" t="s">
        <v>1942</v>
      </c>
      <c r="AI156" s="265" t="s">
        <v>1934</v>
      </c>
    </row>
    <row r="157" spans="1:35" x14ac:dyDescent="0.25">
      <c r="A157" s="264" t="str">
        <f>HLOOKUP(Overview!$P$8,$B$1:$AI$1500,157,FALSE)</f>
        <v xml:space="preserve">          10133014</v>
      </c>
      <c r="B157" s="252"/>
      <c r="C157" s="183">
        <v>10001044</v>
      </c>
      <c r="D157" s="288" t="s">
        <v>4479</v>
      </c>
      <c r="E157" s="252" t="s">
        <v>3617</v>
      </c>
      <c r="F157" s="252" t="s">
        <v>3619</v>
      </c>
      <c r="G157" s="252" t="s">
        <v>2051</v>
      </c>
      <c r="I157" s="252" t="s">
        <v>2039</v>
      </c>
      <c r="J157" s="252" t="s">
        <v>2071</v>
      </c>
      <c r="K157" s="252" t="s">
        <v>3693</v>
      </c>
      <c r="L157" s="252" t="s">
        <v>2140</v>
      </c>
      <c r="M157" s="252" t="s">
        <v>2121</v>
      </c>
      <c r="N157" s="252" t="s">
        <v>4232</v>
      </c>
      <c r="O157" s="252" t="s">
        <v>2177</v>
      </c>
      <c r="P157" s="252" t="s">
        <v>4221</v>
      </c>
      <c r="Q157" s="252" t="s">
        <v>4221</v>
      </c>
      <c r="R157" s="252" t="s">
        <v>2115</v>
      </c>
      <c r="S157" s="252" t="s">
        <v>2356</v>
      </c>
      <c r="T157" s="252" t="s">
        <v>3571</v>
      </c>
      <c r="U157" s="252" t="s">
        <v>3665</v>
      </c>
      <c r="V157" s="252" t="s">
        <v>1931</v>
      </c>
      <c r="W157" s="252" t="s">
        <v>2071</v>
      </c>
      <c r="X157" s="252" t="s">
        <v>2319</v>
      </c>
      <c r="Y157" s="252" t="s">
        <v>2075</v>
      </c>
      <c r="Z157" s="266" t="s">
        <v>2150</v>
      </c>
      <c r="AA157" s="266" t="s">
        <v>1903</v>
      </c>
      <c r="AB157" s="266" t="s">
        <v>2175</v>
      </c>
      <c r="AC157" s="266" t="s">
        <v>2123</v>
      </c>
      <c r="AD157" s="266" t="s">
        <v>2366</v>
      </c>
      <c r="AE157" s="266" t="s">
        <v>2185</v>
      </c>
      <c r="AF157" s="266" t="s">
        <v>1908</v>
      </c>
      <c r="AG157" s="266" t="s">
        <v>2261</v>
      </c>
      <c r="AH157" s="266" t="s">
        <v>1959</v>
      </c>
      <c r="AI157" s="266" t="s">
        <v>1971</v>
      </c>
    </row>
    <row r="158" spans="1:35" x14ac:dyDescent="0.25">
      <c r="A158" s="264" t="str">
        <f>HLOOKUP(Overview!$P$8,$B$1:$AI$1500,158,FALSE)</f>
        <v xml:space="preserve">          10109992</v>
      </c>
      <c r="B158" s="252"/>
      <c r="C158" s="183">
        <v>10000227</v>
      </c>
      <c r="D158" s="287" t="s">
        <v>4340</v>
      </c>
      <c r="E158" s="264" t="s">
        <v>1892</v>
      </c>
      <c r="F158" s="264" t="s">
        <v>2302</v>
      </c>
      <c r="G158" s="264" t="s">
        <v>1903</v>
      </c>
      <c r="I158" s="264" t="s">
        <v>1890</v>
      </c>
      <c r="J158" s="264" t="s">
        <v>2205</v>
      </c>
      <c r="K158" s="264" t="s">
        <v>3515</v>
      </c>
      <c r="L158" s="264" t="s">
        <v>2086</v>
      </c>
      <c r="M158" s="264" t="s">
        <v>2192</v>
      </c>
      <c r="N158" s="264" t="s">
        <v>2140</v>
      </c>
      <c r="O158" s="264" t="s">
        <v>2256</v>
      </c>
      <c r="P158" s="264" t="s">
        <v>2306</v>
      </c>
      <c r="Q158" s="264" t="s">
        <v>2306</v>
      </c>
      <c r="R158" s="264" t="s">
        <v>2140</v>
      </c>
      <c r="S158" s="264" t="s">
        <v>2344</v>
      </c>
      <c r="T158" s="264" t="s">
        <v>2084</v>
      </c>
      <c r="U158" s="264" t="s">
        <v>2137</v>
      </c>
      <c r="V158" s="264" t="s">
        <v>1925</v>
      </c>
      <c r="W158" s="264" t="s">
        <v>2205</v>
      </c>
      <c r="X158" s="264" t="s">
        <v>2273</v>
      </c>
      <c r="Y158" s="264" t="s">
        <v>2031</v>
      </c>
      <c r="Z158" s="265" t="s">
        <v>1971</v>
      </c>
      <c r="AA158" s="265" t="s">
        <v>2005</v>
      </c>
      <c r="AB158" s="265" t="s">
        <v>2317</v>
      </c>
      <c r="AC158" s="265" t="s">
        <v>2223</v>
      </c>
      <c r="AD158" s="265" t="s">
        <v>3621</v>
      </c>
      <c r="AE158" s="265" t="s">
        <v>4256</v>
      </c>
      <c r="AF158" s="265" t="s">
        <v>1890</v>
      </c>
      <c r="AG158" s="265" t="s">
        <v>2185</v>
      </c>
      <c r="AH158" s="265" t="s">
        <v>1998</v>
      </c>
      <c r="AI158" s="265" t="s">
        <v>2188</v>
      </c>
    </row>
    <row r="159" spans="1:35" x14ac:dyDescent="0.25">
      <c r="A159" s="264" t="str">
        <f>HLOOKUP(Overview!$P$8,$B$1:$AI$1500,159,FALSE)</f>
        <v xml:space="preserve">          10110007</v>
      </c>
      <c r="B159" s="252"/>
      <c r="C159" s="183">
        <v>10097400</v>
      </c>
      <c r="D159" s="288" t="s">
        <v>1977</v>
      </c>
      <c r="E159" s="252" t="s">
        <v>2041</v>
      </c>
      <c r="F159" s="252" t="s">
        <v>2243</v>
      </c>
      <c r="G159" s="252" t="s">
        <v>2005</v>
      </c>
      <c r="I159" s="252" t="s">
        <v>1934</v>
      </c>
      <c r="J159" s="252" t="s">
        <v>2203</v>
      </c>
      <c r="L159" s="252" t="s">
        <v>2177</v>
      </c>
      <c r="M159" s="252" t="s">
        <v>2115</v>
      </c>
      <c r="N159" s="252" t="s">
        <v>2086</v>
      </c>
      <c r="O159" s="252" t="s">
        <v>2285</v>
      </c>
      <c r="P159" s="252" t="s">
        <v>2261</v>
      </c>
      <c r="Q159" s="252" t="s">
        <v>2261</v>
      </c>
      <c r="R159" s="252" t="s">
        <v>2086</v>
      </c>
      <c r="S159" s="252" t="s">
        <v>3512</v>
      </c>
      <c r="T159" s="252" t="s">
        <v>2238</v>
      </c>
      <c r="U159" s="252" t="s">
        <v>2252</v>
      </c>
      <c r="V159" s="252" t="s">
        <v>2055</v>
      </c>
      <c r="W159" s="252" t="s">
        <v>2203</v>
      </c>
      <c r="X159" s="252" t="s">
        <v>2160</v>
      </c>
      <c r="Y159" s="252" t="s">
        <v>2107</v>
      </c>
      <c r="Z159" s="266" t="s">
        <v>2188</v>
      </c>
      <c r="AA159" s="266" t="s">
        <v>4225</v>
      </c>
      <c r="AB159" s="266" t="s">
        <v>2275</v>
      </c>
      <c r="AC159" s="266" t="s">
        <v>2017</v>
      </c>
      <c r="AD159" s="266" t="s">
        <v>2091</v>
      </c>
      <c r="AE159" s="266" t="s">
        <v>2020</v>
      </c>
      <c r="AF159" s="266" t="s">
        <v>1934</v>
      </c>
      <c r="AG159" s="266" t="s">
        <v>3549</v>
      </c>
      <c r="AH159" s="266" t="s">
        <v>2049</v>
      </c>
      <c r="AI159" s="266" t="s">
        <v>2368</v>
      </c>
    </row>
    <row r="160" spans="1:35" x14ac:dyDescent="0.25">
      <c r="A160" s="264" t="str">
        <f>HLOOKUP(Overview!$P$8,$B$1:$AI$1500,160,FALSE)</f>
        <v xml:space="preserve">          10110009</v>
      </c>
      <c r="B160" s="252"/>
      <c r="C160" s="183">
        <v>10000780</v>
      </c>
      <c r="D160" s="287" t="s">
        <v>2157</v>
      </c>
      <c r="E160" s="264" t="s">
        <v>1835</v>
      </c>
      <c r="F160" s="264" t="s">
        <v>2117</v>
      </c>
      <c r="G160" s="264" t="s">
        <v>4225</v>
      </c>
      <c r="I160" s="264" t="s">
        <v>1971</v>
      </c>
      <c r="J160" s="264" t="s">
        <v>4239</v>
      </c>
      <c r="L160" s="264" t="s">
        <v>2256</v>
      </c>
      <c r="M160" s="264" t="s">
        <v>4254</v>
      </c>
      <c r="N160" s="264" t="s">
        <v>2376</v>
      </c>
      <c r="O160" s="264" t="s">
        <v>1908</v>
      </c>
      <c r="P160" s="264" t="s">
        <v>2185</v>
      </c>
      <c r="Q160" s="264" t="s">
        <v>2185</v>
      </c>
      <c r="R160" s="264" t="s">
        <v>2177</v>
      </c>
      <c r="S160" s="264" t="s">
        <v>3421</v>
      </c>
      <c r="T160" s="264" t="s">
        <v>1938</v>
      </c>
      <c r="U160" s="264" t="s">
        <v>2272</v>
      </c>
      <c r="V160" s="264" t="s">
        <v>1983</v>
      </c>
      <c r="W160" s="264" t="s">
        <v>2397</v>
      </c>
      <c r="X160" s="264" t="s">
        <v>2078</v>
      </c>
      <c r="Y160" s="264" t="s">
        <v>3619</v>
      </c>
      <c r="Z160" s="265" t="s">
        <v>2291</v>
      </c>
      <c r="AA160" s="265" t="s">
        <v>2261</v>
      </c>
      <c r="AB160" s="265" t="s">
        <v>3620</v>
      </c>
      <c r="AC160" s="265" t="s">
        <v>2251</v>
      </c>
      <c r="AD160" s="265" t="s">
        <v>1942</v>
      </c>
      <c r="AE160" s="265" t="s">
        <v>3584</v>
      </c>
      <c r="AF160" s="265" t="s">
        <v>1984</v>
      </c>
      <c r="AG160" s="265" t="s">
        <v>3553</v>
      </c>
      <c r="AH160" s="265" t="s">
        <v>2121</v>
      </c>
      <c r="AI160" s="265" t="s">
        <v>2402</v>
      </c>
    </row>
    <row r="161" spans="1:35" x14ac:dyDescent="0.25">
      <c r="A161" s="264" t="str">
        <f>HLOOKUP(Overview!$P$8,$B$1:$AI$1500,161,FALSE)</f>
        <v xml:space="preserve">          10110010</v>
      </c>
      <c r="B161" s="252"/>
      <c r="C161" s="183">
        <v>10000011</v>
      </c>
      <c r="D161" s="288" t="s">
        <v>1926</v>
      </c>
      <c r="E161" s="252" t="s">
        <v>1910</v>
      </c>
      <c r="F161" s="252" t="s">
        <v>2230</v>
      </c>
      <c r="G161" s="252" t="s">
        <v>2261</v>
      </c>
      <c r="I161" s="252" t="s">
        <v>2188</v>
      </c>
      <c r="J161" s="252" t="s">
        <v>4220</v>
      </c>
      <c r="L161" s="252" t="s">
        <v>2285</v>
      </c>
      <c r="M161" s="252" t="s">
        <v>4232</v>
      </c>
      <c r="N161" s="252" t="s">
        <v>2177</v>
      </c>
      <c r="O161" s="252" t="s">
        <v>1890</v>
      </c>
      <c r="P161" s="252" t="s">
        <v>4283</v>
      </c>
      <c r="Q161" s="252" t="s">
        <v>4249</v>
      </c>
      <c r="R161" s="252" t="s">
        <v>2256</v>
      </c>
      <c r="S161" s="252" t="s">
        <v>3417</v>
      </c>
      <c r="T161" s="252" t="s">
        <v>2029</v>
      </c>
      <c r="U161" s="252" t="s">
        <v>2153</v>
      </c>
      <c r="V161" s="252" t="s">
        <v>2032</v>
      </c>
      <c r="W161" s="252" t="s">
        <v>1903</v>
      </c>
      <c r="X161" s="252" t="s">
        <v>2181</v>
      </c>
      <c r="Y161" s="252" t="s">
        <v>2302</v>
      </c>
      <c r="Z161" s="266" t="s">
        <v>2319</v>
      </c>
      <c r="AA161" s="266" t="s">
        <v>2185</v>
      </c>
      <c r="AB161" s="266" t="s">
        <v>1975</v>
      </c>
      <c r="AC161" s="266" t="s">
        <v>2102</v>
      </c>
      <c r="AD161" s="266" t="s">
        <v>1959</v>
      </c>
      <c r="AE161" s="266" t="s">
        <v>2317</v>
      </c>
      <c r="AF161" s="266" t="s">
        <v>1971</v>
      </c>
      <c r="AG161" s="266" t="s">
        <v>3551</v>
      </c>
      <c r="AH161" s="266" t="s">
        <v>2192</v>
      </c>
      <c r="AI161" s="266" t="s">
        <v>2311</v>
      </c>
    </row>
    <row r="162" spans="1:35" x14ac:dyDescent="0.25">
      <c r="A162" s="264" t="str">
        <f>HLOOKUP(Overview!$P$8,$B$1:$AI$1500,162,FALSE)</f>
        <v xml:space="preserve">          10110014</v>
      </c>
      <c r="B162" s="252"/>
      <c r="C162" s="183">
        <v>10002281</v>
      </c>
      <c r="D162" s="287" t="s">
        <v>1873</v>
      </c>
      <c r="E162" s="264" t="s">
        <v>4218</v>
      </c>
      <c r="F162" s="264" t="s">
        <v>2071</v>
      </c>
      <c r="G162" s="264" t="s">
        <v>2185</v>
      </c>
      <c r="I162" s="264" t="s">
        <v>2220</v>
      </c>
      <c r="J162" s="264" t="s">
        <v>4240</v>
      </c>
      <c r="L162" s="264" t="s">
        <v>1908</v>
      </c>
      <c r="M162" s="264" t="s">
        <v>2140</v>
      </c>
      <c r="N162" s="264" t="s">
        <v>2256</v>
      </c>
      <c r="O162" s="264" t="s">
        <v>1934</v>
      </c>
      <c r="P162" s="264" t="s">
        <v>2020</v>
      </c>
      <c r="Q162" s="264" t="s">
        <v>2275</v>
      </c>
      <c r="R162" s="264" t="s">
        <v>1908</v>
      </c>
      <c r="S162" s="264" t="s">
        <v>3510</v>
      </c>
      <c r="T162" s="264" t="s">
        <v>3664</v>
      </c>
      <c r="U162" s="264" t="s">
        <v>2064</v>
      </c>
      <c r="V162" s="264" t="s">
        <v>3571</v>
      </c>
      <c r="W162" s="264" t="s">
        <v>2005</v>
      </c>
      <c r="X162" s="264" t="s">
        <v>3627</v>
      </c>
      <c r="Y162" s="264" t="s">
        <v>3544</v>
      </c>
      <c r="Z162" s="265" t="s">
        <v>2273</v>
      </c>
      <c r="AA162" s="265" t="s">
        <v>2175</v>
      </c>
      <c r="AB162" s="265" t="s">
        <v>2366</v>
      </c>
      <c r="AC162" s="265" t="s">
        <v>2270</v>
      </c>
      <c r="AD162" s="265" t="s">
        <v>1998</v>
      </c>
      <c r="AE162" s="265" t="s">
        <v>2275</v>
      </c>
      <c r="AF162" s="265" t="s">
        <v>2291</v>
      </c>
      <c r="AG162" s="265" t="s">
        <v>4251</v>
      </c>
      <c r="AH162" s="265" t="s">
        <v>2115</v>
      </c>
      <c r="AI162" s="265" t="s">
        <v>2220</v>
      </c>
    </row>
    <row r="163" spans="1:35" x14ac:dyDescent="0.25">
      <c r="A163" s="264" t="str">
        <f>HLOOKUP(Overview!$P$8,$B$1:$AI$1500,163,FALSE)</f>
        <v xml:space="preserve">          10110015</v>
      </c>
      <c r="B163" s="252"/>
      <c r="C163" s="216">
        <v>20029816</v>
      </c>
      <c r="D163" s="288" t="s">
        <v>1940</v>
      </c>
      <c r="E163" s="252" t="s">
        <v>2148</v>
      </c>
      <c r="F163" s="252" t="s">
        <v>2203</v>
      </c>
      <c r="G163" s="252" t="s">
        <v>2175</v>
      </c>
      <c r="I163" s="252" t="s">
        <v>2291</v>
      </c>
      <c r="J163" s="252" t="s">
        <v>4241</v>
      </c>
      <c r="L163" s="252" t="s">
        <v>2039</v>
      </c>
      <c r="M163" s="252" t="s">
        <v>2086</v>
      </c>
      <c r="N163" s="252" t="s">
        <v>2285</v>
      </c>
      <c r="O163" s="252" t="s">
        <v>1984</v>
      </c>
      <c r="P163" s="252" t="s">
        <v>4284</v>
      </c>
      <c r="Q163" s="252" t="s">
        <v>4230</v>
      </c>
      <c r="R163" s="252" t="s">
        <v>2039</v>
      </c>
      <c r="S163" s="252" t="s">
        <v>3595</v>
      </c>
      <c r="T163" s="252" t="s">
        <v>3665</v>
      </c>
      <c r="U163" s="252" t="s">
        <v>2127</v>
      </c>
      <c r="V163" s="252" t="s">
        <v>2084</v>
      </c>
      <c r="W163" s="252" t="s">
        <v>4225</v>
      </c>
      <c r="X163" s="252" t="s">
        <v>2096</v>
      </c>
      <c r="Y163" s="252" t="s">
        <v>2243</v>
      </c>
      <c r="Z163" s="266" t="s">
        <v>2338</v>
      </c>
      <c r="AA163" s="266" t="s">
        <v>2317</v>
      </c>
      <c r="AB163" s="266" t="s">
        <v>3621</v>
      </c>
      <c r="AC163" s="266" t="s">
        <v>2213</v>
      </c>
      <c r="AD163" s="266" t="s">
        <v>2049</v>
      </c>
      <c r="AE163" s="266" t="s">
        <v>4230</v>
      </c>
      <c r="AF163" s="266" t="s">
        <v>2319</v>
      </c>
      <c r="AG163" s="266" t="s">
        <v>4252</v>
      </c>
      <c r="AH163" s="266" t="s">
        <v>4232</v>
      </c>
      <c r="AI163" s="266" t="s">
        <v>2291</v>
      </c>
    </row>
    <row r="164" spans="1:35" x14ac:dyDescent="0.25">
      <c r="A164" s="264" t="str">
        <f>HLOOKUP(Overview!$P$8,$B$1:$AI$1500,164,FALSE)</f>
        <v xml:space="preserve">          10110019</v>
      </c>
      <c r="B164" s="252"/>
      <c r="C164" s="263">
        <v>20029817</v>
      </c>
      <c r="D164" s="287" t="s">
        <v>4302</v>
      </c>
      <c r="E164" s="264" t="s">
        <v>1929</v>
      </c>
      <c r="F164" s="264" t="s">
        <v>2051</v>
      </c>
      <c r="G164" s="264" t="s">
        <v>2317</v>
      </c>
      <c r="I164" s="264" t="s">
        <v>2319</v>
      </c>
      <c r="J164" s="264" t="s">
        <v>4242</v>
      </c>
      <c r="L164" s="264" t="s">
        <v>1890</v>
      </c>
      <c r="M164" s="264" t="s">
        <v>2177</v>
      </c>
      <c r="N164" s="264" t="s">
        <v>1908</v>
      </c>
      <c r="O164" s="264" t="s">
        <v>2150</v>
      </c>
      <c r="P164" s="264" t="s">
        <v>4266</v>
      </c>
      <c r="Q164" s="264" t="s">
        <v>1975</v>
      </c>
      <c r="R164" s="264" t="s">
        <v>1890</v>
      </c>
      <c r="S164" s="264" t="s">
        <v>3692</v>
      </c>
      <c r="T164" s="264" t="s">
        <v>2137</v>
      </c>
      <c r="U164" s="264" t="s">
        <v>1977</v>
      </c>
      <c r="V164" s="264" t="s">
        <v>2094</v>
      </c>
      <c r="W164" s="264" t="s">
        <v>2306</v>
      </c>
      <c r="X164" s="264" t="s">
        <v>2124</v>
      </c>
      <c r="Y164" s="264" t="s">
        <v>2309</v>
      </c>
      <c r="Z164" s="265" t="s">
        <v>2160</v>
      </c>
      <c r="AA164" s="265" t="s">
        <v>2275</v>
      </c>
      <c r="AB164" s="265" t="s">
        <v>2091</v>
      </c>
      <c r="AC164" s="265" t="s">
        <v>2173</v>
      </c>
      <c r="AD164" s="265" t="s">
        <v>3623</v>
      </c>
      <c r="AE164" s="265" t="s">
        <v>1975</v>
      </c>
      <c r="AF164" s="265" t="s">
        <v>2273</v>
      </c>
      <c r="AG164" s="265" t="s">
        <v>3589</v>
      </c>
      <c r="AH164" s="265" t="s">
        <v>2140</v>
      </c>
      <c r="AI164" s="265" t="s">
        <v>2319</v>
      </c>
    </row>
    <row r="165" spans="1:35" x14ac:dyDescent="0.25">
      <c r="A165" s="264" t="str">
        <f>HLOOKUP(Overview!$P$8,$B$1:$AI$1500,165,FALSE)</f>
        <v xml:space="preserve">          10110022</v>
      </c>
      <c r="B165" s="252"/>
      <c r="C165" s="183">
        <v>20029818</v>
      </c>
      <c r="D165" s="288" t="s">
        <v>2037</v>
      </c>
      <c r="E165" s="252" t="s">
        <v>1877</v>
      </c>
      <c r="F165" s="252" t="s">
        <v>1903</v>
      </c>
      <c r="G165" s="252" t="s">
        <v>2275</v>
      </c>
      <c r="I165" s="252" t="s">
        <v>2273</v>
      </c>
      <c r="J165" s="252" t="s">
        <v>4223</v>
      </c>
      <c r="L165" s="252" t="s">
        <v>1934</v>
      </c>
      <c r="M165" s="252" t="s">
        <v>2256</v>
      </c>
      <c r="N165" s="252" t="s">
        <v>2039</v>
      </c>
      <c r="O165" s="252" t="s">
        <v>1971</v>
      </c>
      <c r="P165" s="252" t="s">
        <v>2275</v>
      </c>
      <c r="Q165" s="252" t="s">
        <v>2366</v>
      </c>
      <c r="R165" s="252" t="s">
        <v>1934</v>
      </c>
      <c r="S165" s="252" t="s">
        <v>3693</v>
      </c>
      <c r="T165" s="252" t="s">
        <v>2252</v>
      </c>
      <c r="U165" s="252" t="s">
        <v>2157</v>
      </c>
      <c r="V165" s="252" t="s">
        <v>2134</v>
      </c>
      <c r="W165" s="252" t="s">
        <v>2261</v>
      </c>
      <c r="X165" s="252" t="s">
        <v>2070</v>
      </c>
      <c r="Y165" s="252" t="s">
        <v>2117</v>
      </c>
      <c r="Z165" s="266" t="s">
        <v>2078</v>
      </c>
      <c r="AA165" s="266" t="s">
        <v>3620</v>
      </c>
      <c r="AB165" s="266" t="s">
        <v>1942</v>
      </c>
      <c r="AC165" s="266" t="s">
        <v>2212</v>
      </c>
      <c r="AD165" s="266" t="s">
        <v>2372</v>
      </c>
      <c r="AE165" s="266" t="s">
        <v>2366</v>
      </c>
      <c r="AF165" s="266" t="s">
        <v>2338</v>
      </c>
      <c r="AG165" s="266" t="s">
        <v>4253</v>
      </c>
      <c r="AH165" s="266" t="s">
        <v>2086</v>
      </c>
      <c r="AI165" s="266" t="s">
        <v>2273</v>
      </c>
    </row>
    <row r="166" spans="1:35" x14ac:dyDescent="0.25">
      <c r="A166" s="264" t="str">
        <f>HLOOKUP(Overview!$P$8,$B$1:$AI$1500,166,FALSE)</f>
        <v xml:space="preserve">          10110023</v>
      </c>
      <c r="B166" s="252"/>
      <c r="C166" s="183">
        <v>10000104</v>
      </c>
      <c r="D166" s="287" t="s">
        <v>1960</v>
      </c>
      <c r="E166" s="264" t="s">
        <v>2208</v>
      </c>
      <c r="F166" s="264" t="s">
        <v>2005</v>
      </c>
      <c r="G166" s="264" t="s">
        <v>1975</v>
      </c>
      <c r="I166" s="264" t="s">
        <v>2338</v>
      </c>
      <c r="J166" s="264" t="s">
        <v>4243</v>
      </c>
      <c r="L166" s="264" t="s">
        <v>1984</v>
      </c>
      <c r="M166" s="264" t="s">
        <v>2285</v>
      </c>
      <c r="N166" s="264" t="s">
        <v>1890</v>
      </c>
      <c r="O166" s="264" t="s">
        <v>2188</v>
      </c>
      <c r="P166" s="264" t="s">
        <v>4230</v>
      </c>
      <c r="Q166" s="264" t="s">
        <v>2091</v>
      </c>
      <c r="R166" s="264" t="s">
        <v>1984</v>
      </c>
      <c r="S166" s="264" t="s">
        <v>3694</v>
      </c>
      <c r="T166" s="264" t="s">
        <v>2272</v>
      </c>
      <c r="U166" s="264" t="s">
        <v>1873</v>
      </c>
      <c r="V166" s="264" t="s">
        <v>1938</v>
      </c>
      <c r="W166" s="264" t="s">
        <v>2185</v>
      </c>
      <c r="X166" s="264" t="s">
        <v>4281</v>
      </c>
      <c r="Y166" s="264" t="s">
        <v>2230</v>
      </c>
      <c r="Z166" s="265" t="s">
        <v>3628</v>
      </c>
      <c r="AA166" s="265" t="s">
        <v>1975</v>
      </c>
      <c r="AB166" s="265" t="s">
        <v>1959</v>
      </c>
      <c r="AC166" s="265" t="s">
        <v>2257</v>
      </c>
      <c r="AD166" s="265" t="s">
        <v>2121</v>
      </c>
      <c r="AE166" s="265" t="s">
        <v>2091</v>
      </c>
      <c r="AF166" s="265" t="s">
        <v>2160</v>
      </c>
      <c r="AG166" s="265" t="s">
        <v>4255</v>
      </c>
      <c r="AH166" s="265" t="s">
        <v>2177</v>
      </c>
      <c r="AI166" s="265" t="s">
        <v>2338</v>
      </c>
    </row>
    <row r="167" spans="1:35" x14ac:dyDescent="0.25">
      <c r="A167" s="264" t="str">
        <f>HLOOKUP(Overview!$P$8,$B$1:$AI$1500,167,FALSE)</f>
        <v xml:space="preserve">          10110032</v>
      </c>
      <c r="B167" s="252"/>
      <c r="C167" s="183">
        <v>10000883</v>
      </c>
      <c r="D167" s="288" t="s">
        <v>2105</v>
      </c>
      <c r="E167" s="252" t="s">
        <v>4228</v>
      </c>
      <c r="F167" s="252" t="s">
        <v>2261</v>
      </c>
      <c r="G167" s="252" t="s">
        <v>2366</v>
      </c>
      <c r="I167" s="252" t="s">
        <v>2160</v>
      </c>
      <c r="J167" s="252" t="s">
        <v>4226</v>
      </c>
      <c r="L167" s="252" t="s">
        <v>2150</v>
      </c>
      <c r="M167" s="252" t="s">
        <v>1908</v>
      </c>
      <c r="N167" s="252" t="s">
        <v>1934</v>
      </c>
      <c r="O167" s="252" t="s">
        <v>2160</v>
      </c>
      <c r="P167" s="252" t="s">
        <v>4285</v>
      </c>
      <c r="Q167" s="252" t="s">
        <v>1942</v>
      </c>
      <c r="R167" s="252" t="s">
        <v>2150</v>
      </c>
      <c r="S167" s="252" t="s">
        <v>3515</v>
      </c>
      <c r="T167" s="252" t="s">
        <v>3591</v>
      </c>
      <c r="U167" s="252" t="s">
        <v>1940</v>
      </c>
      <c r="V167" s="252" t="s">
        <v>2029</v>
      </c>
      <c r="W167" s="252" t="s">
        <v>4256</v>
      </c>
      <c r="X167" s="252" t="s">
        <v>4286</v>
      </c>
      <c r="Y167" s="252" t="s">
        <v>2071</v>
      </c>
      <c r="Z167" s="266" t="s">
        <v>2070</v>
      </c>
      <c r="AA167" s="266" t="s">
        <v>2366</v>
      </c>
      <c r="AB167" s="266" t="s">
        <v>1998</v>
      </c>
      <c r="AC167" s="266" t="s">
        <v>2276</v>
      </c>
      <c r="AD167" s="266" t="s">
        <v>2192</v>
      </c>
      <c r="AE167" s="266" t="s">
        <v>1942</v>
      </c>
      <c r="AF167" s="266" t="s">
        <v>2078</v>
      </c>
      <c r="AG167" s="266" t="s">
        <v>3579</v>
      </c>
      <c r="AH167" s="266" t="s">
        <v>2256</v>
      </c>
      <c r="AI167" s="266" t="s">
        <v>2160</v>
      </c>
    </row>
    <row r="168" spans="1:35" x14ac:dyDescent="0.25">
      <c r="A168" s="264" t="str">
        <f>HLOOKUP(Overview!$P$8,$B$1:$AI$1500,168,FALSE)</f>
        <v xml:space="preserve">          10110033</v>
      </c>
      <c r="B168" s="252"/>
      <c r="C168" s="183">
        <v>10000184</v>
      </c>
      <c r="D168" s="287" t="s">
        <v>1953</v>
      </c>
      <c r="E168" s="264" t="s">
        <v>2263</v>
      </c>
      <c r="F168" s="264" t="s">
        <v>2185</v>
      </c>
      <c r="G168" s="264" t="s">
        <v>3621</v>
      </c>
      <c r="I168" s="264" t="s">
        <v>2078</v>
      </c>
      <c r="J168" s="264" t="s">
        <v>2051</v>
      </c>
      <c r="L168" s="264" t="s">
        <v>1971</v>
      </c>
      <c r="M168" s="264" t="s">
        <v>1890</v>
      </c>
      <c r="N168" s="264" t="s">
        <v>1971</v>
      </c>
      <c r="O168" s="264" t="s">
        <v>2078</v>
      </c>
      <c r="P168" s="264" t="s">
        <v>1975</v>
      </c>
      <c r="Q168" s="264" t="s">
        <v>1959</v>
      </c>
      <c r="R168" s="264" t="s">
        <v>1971</v>
      </c>
      <c r="S168" s="264" t="s">
        <v>3516</v>
      </c>
      <c r="T168" s="264" t="s">
        <v>2153</v>
      </c>
      <c r="U168" s="264" t="s">
        <v>2236</v>
      </c>
      <c r="V168" s="264" t="s">
        <v>3664</v>
      </c>
      <c r="W168" s="264" t="s">
        <v>4258</v>
      </c>
      <c r="X168" s="264" t="s">
        <v>4287</v>
      </c>
      <c r="Y168" s="264" t="s">
        <v>2205</v>
      </c>
      <c r="Z168" s="265" t="s">
        <v>2178</v>
      </c>
      <c r="AA168" s="265" t="s">
        <v>3621</v>
      </c>
      <c r="AB168" s="265" t="s">
        <v>2049</v>
      </c>
      <c r="AC168" s="265" t="s">
        <v>2301</v>
      </c>
      <c r="AD168" s="265" t="s">
        <v>2115</v>
      </c>
      <c r="AE168" s="265" t="s">
        <v>1959</v>
      </c>
      <c r="AF168" s="265" t="s">
        <v>2181</v>
      </c>
      <c r="AG168" s="265" t="s">
        <v>3577</v>
      </c>
      <c r="AH168" s="265" t="s">
        <v>2285</v>
      </c>
      <c r="AI168" s="265" t="s">
        <v>2078</v>
      </c>
    </row>
    <row r="169" spans="1:35" x14ac:dyDescent="0.25">
      <c r="A169" s="264" t="str">
        <f>HLOOKUP(Overview!$P$8,$B$1:$AI$1500,169,FALSE)</f>
        <v xml:space="preserve">          10110038</v>
      </c>
      <c r="B169" s="252"/>
      <c r="C169" s="183">
        <v>10000862</v>
      </c>
      <c r="D169" s="288" t="s">
        <v>2109</v>
      </c>
      <c r="E169" s="252" t="s">
        <v>4231</v>
      </c>
      <c r="F169" s="252" t="s">
        <v>4258</v>
      </c>
      <c r="G169" s="252" t="s">
        <v>2091</v>
      </c>
      <c r="I169" s="252" t="s">
        <v>3627</v>
      </c>
      <c r="J169" s="252" t="s">
        <v>1903</v>
      </c>
      <c r="L169" s="252" t="s">
        <v>2188</v>
      </c>
      <c r="M169" s="252" t="s">
        <v>1934</v>
      </c>
      <c r="N169" s="252" t="s">
        <v>2188</v>
      </c>
      <c r="O169" s="252" t="s">
        <v>2181</v>
      </c>
      <c r="P169" s="252" t="s">
        <v>2366</v>
      </c>
      <c r="Q169" s="252" t="s">
        <v>1998</v>
      </c>
      <c r="R169" s="252" t="s">
        <v>2368</v>
      </c>
      <c r="S169" s="252" t="s">
        <v>3423</v>
      </c>
      <c r="T169" s="252" t="s">
        <v>2064</v>
      </c>
      <c r="U169" s="252" t="s">
        <v>2037</v>
      </c>
      <c r="V169" s="252" t="s">
        <v>3665</v>
      </c>
      <c r="W169" s="252" t="s">
        <v>3584</v>
      </c>
      <c r="X169" s="252" t="s">
        <v>4288</v>
      </c>
      <c r="Y169" s="252" t="s">
        <v>2203</v>
      </c>
      <c r="Z169" s="266" t="s">
        <v>2325</v>
      </c>
      <c r="AA169" s="266" t="s">
        <v>2091</v>
      </c>
      <c r="AB169" s="266" t="s">
        <v>3622</v>
      </c>
      <c r="AC169" s="266" t="s">
        <v>2179</v>
      </c>
      <c r="AD169" s="266" t="s">
        <v>4289</v>
      </c>
      <c r="AE169" s="266" t="s">
        <v>1998</v>
      </c>
      <c r="AF169" s="266" t="s">
        <v>3627</v>
      </c>
      <c r="AG169" s="266" t="s">
        <v>3581</v>
      </c>
      <c r="AH169" s="266" t="s">
        <v>1908</v>
      </c>
      <c r="AI169" s="266" t="s">
        <v>2181</v>
      </c>
    </row>
    <row r="170" spans="1:35" x14ac:dyDescent="0.25">
      <c r="A170" s="264" t="str">
        <f>HLOOKUP(Overview!$P$8,$B$1:$AI$1500,170,FALSE)</f>
        <v xml:space="preserve">          10110040</v>
      </c>
      <c r="B170" s="252"/>
      <c r="C170" s="183">
        <v>10000219</v>
      </c>
      <c r="D170" s="287" t="s">
        <v>2151</v>
      </c>
      <c r="E170" s="264" t="s">
        <v>4222</v>
      </c>
      <c r="F170" s="264" t="s">
        <v>2175</v>
      </c>
      <c r="G170" s="264" t="s">
        <v>1942</v>
      </c>
      <c r="I170" s="264" t="s">
        <v>2096</v>
      </c>
      <c r="J170" s="264" t="s">
        <v>2005</v>
      </c>
      <c r="L170" s="264" t="s">
        <v>2220</v>
      </c>
      <c r="M170" s="264" t="s">
        <v>1984</v>
      </c>
      <c r="N170" s="264" t="s">
        <v>2414</v>
      </c>
      <c r="O170" s="264" t="s">
        <v>2096</v>
      </c>
      <c r="P170" s="264" t="s">
        <v>2091</v>
      </c>
      <c r="Q170" s="264" t="s">
        <v>2049</v>
      </c>
      <c r="R170" s="264" t="s">
        <v>2414</v>
      </c>
      <c r="S170" s="264" t="s">
        <v>3521</v>
      </c>
      <c r="T170" s="264" t="s">
        <v>2127</v>
      </c>
      <c r="U170" s="264" t="s">
        <v>1960</v>
      </c>
      <c r="V170" s="264" t="s">
        <v>2137</v>
      </c>
      <c r="W170" s="264" t="s">
        <v>2175</v>
      </c>
      <c r="X170" s="264" t="s">
        <v>2178</v>
      </c>
      <c r="Y170" s="264" t="s">
        <v>2051</v>
      </c>
      <c r="Z170" s="265" t="s">
        <v>2156</v>
      </c>
      <c r="AA170" s="265" t="s">
        <v>1942</v>
      </c>
      <c r="AB170" s="265" t="s">
        <v>3623</v>
      </c>
      <c r="AC170" s="265" t="s">
        <v>2289</v>
      </c>
      <c r="AD170" s="265" t="s">
        <v>4290</v>
      </c>
      <c r="AE170" s="265" t="s">
        <v>2049</v>
      </c>
      <c r="AF170" s="265" t="s">
        <v>2096</v>
      </c>
      <c r="AG170" s="265" t="s">
        <v>4256</v>
      </c>
      <c r="AH170" s="265" t="s">
        <v>2039</v>
      </c>
      <c r="AI170" s="265" t="s">
        <v>3627</v>
      </c>
    </row>
    <row r="171" spans="1:35" x14ac:dyDescent="0.25">
      <c r="A171" s="264" t="str">
        <f>HLOOKUP(Overview!$P$8,$B$1:$AI$1500,171,FALSE)</f>
        <v xml:space="preserve">          10110049</v>
      </c>
      <c r="B171" s="252"/>
      <c r="C171" s="183">
        <v>10000226</v>
      </c>
      <c r="D171" s="288" t="s">
        <v>2135</v>
      </c>
      <c r="E171" s="252" t="s">
        <v>1861</v>
      </c>
      <c r="F171" s="252" t="s">
        <v>2317</v>
      </c>
      <c r="G171" s="252" t="s">
        <v>1959</v>
      </c>
      <c r="I171" s="252" t="s">
        <v>3628</v>
      </c>
      <c r="J171" s="252" t="s">
        <v>4219</v>
      </c>
      <c r="L171" s="252" t="s">
        <v>2160</v>
      </c>
      <c r="M171" s="252" t="s">
        <v>2150</v>
      </c>
      <c r="N171" s="252" t="s">
        <v>2220</v>
      </c>
      <c r="O171" s="252" t="s">
        <v>2124</v>
      </c>
      <c r="P171" s="252" t="s">
        <v>1942</v>
      </c>
      <c r="Q171" s="252" t="s">
        <v>2121</v>
      </c>
      <c r="R171" s="252" t="s">
        <v>2402</v>
      </c>
      <c r="S171" s="252" t="s">
        <v>3415</v>
      </c>
      <c r="T171" s="252" t="s">
        <v>1977</v>
      </c>
      <c r="U171" s="252" t="s">
        <v>2194</v>
      </c>
      <c r="V171" s="252" t="s">
        <v>2228</v>
      </c>
      <c r="W171" s="252" t="s">
        <v>2317</v>
      </c>
      <c r="X171" s="252" t="s">
        <v>2156</v>
      </c>
      <c r="Y171" s="252" t="s">
        <v>1903</v>
      </c>
      <c r="Z171" s="266" t="s">
        <v>2266</v>
      </c>
      <c r="AA171" s="266" t="s">
        <v>1959</v>
      </c>
      <c r="AB171" s="266" t="s">
        <v>2372</v>
      </c>
      <c r="AC171" s="266" t="s">
        <v>3692</v>
      </c>
      <c r="AD171" s="266" t="s">
        <v>4291</v>
      </c>
      <c r="AE171" s="266" t="s">
        <v>3623</v>
      </c>
      <c r="AF171" s="266" t="s">
        <v>2124</v>
      </c>
      <c r="AG171" s="266" t="s">
        <v>4258</v>
      </c>
      <c r="AH171" s="266" t="s">
        <v>1890</v>
      </c>
      <c r="AI171" s="266" t="s">
        <v>2096</v>
      </c>
    </row>
    <row r="172" spans="1:35" x14ac:dyDescent="0.25">
      <c r="A172" s="264" t="str">
        <f>HLOOKUP(Overview!$P$8,$B$1:$AI$1500,172,FALSE)</f>
        <v xml:space="preserve">          10110053</v>
      </c>
      <c r="B172" s="252"/>
      <c r="C172" s="183">
        <v>10097659</v>
      </c>
      <c r="D172" s="287" t="s">
        <v>2057</v>
      </c>
      <c r="E172" s="264" t="s">
        <v>1973</v>
      </c>
      <c r="F172" s="264" t="s">
        <v>2275</v>
      </c>
      <c r="G172" s="264" t="s">
        <v>1998</v>
      </c>
      <c r="I172" s="264" t="s">
        <v>2124</v>
      </c>
      <c r="J172" s="264" t="s">
        <v>4221</v>
      </c>
      <c r="L172" s="264" t="s">
        <v>2078</v>
      </c>
      <c r="M172" s="264" t="s">
        <v>1971</v>
      </c>
      <c r="N172" s="264" t="s">
        <v>2160</v>
      </c>
      <c r="O172" s="264" t="s">
        <v>2070</v>
      </c>
      <c r="P172" s="264" t="s">
        <v>1959</v>
      </c>
      <c r="Q172" s="264" t="s">
        <v>2192</v>
      </c>
      <c r="R172" s="264" t="s">
        <v>2311</v>
      </c>
      <c r="S172" s="264" t="s">
        <v>3513</v>
      </c>
      <c r="T172" s="264" t="s">
        <v>2157</v>
      </c>
      <c r="U172" s="264" t="s">
        <v>2105</v>
      </c>
      <c r="V172" s="264" t="s">
        <v>2200</v>
      </c>
      <c r="W172" s="264" t="s">
        <v>2275</v>
      </c>
      <c r="X172" s="264" t="s">
        <v>1931</v>
      </c>
      <c r="Y172" s="264" t="s">
        <v>2005</v>
      </c>
      <c r="Z172" s="265" t="s">
        <v>1931</v>
      </c>
      <c r="AA172" s="265" t="s">
        <v>1998</v>
      </c>
      <c r="AB172" s="265" t="s">
        <v>2121</v>
      </c>
      <c r="AC172" s="265" t="s">
        <v>3693</v>
      </c>
      <c r="AD172" s="265" t="s">
        <v>4254</v>
      </c>
      <c r="AE172" s="265" t="s">
        <v>3625</v>
      </c>
      <c r="AF172" s="265" t="s">
        <v>2070</v>
      </c>
      <c r="AG172" s="265" t="s">
        <v>3584</v>
      </c>
      <c r="AH172" s="265" t="s">
        <v>1934</v>
      </c>
      <c r="AI172" s="265" t="s">
        <v>2382</v>
      </c>
    </row>
    <row r="173" spans="1:35" x14ac:dyDescent="0.25">
      <c r="A173" s="264" t="str">
        <f>HLOOKUP(Overview!$P$8,$B$1:$AI$1500,173,FALSE)</f>
        <v xml:space="preserve">          10110055</v>
      </c>
      <c r="B173" s="252"/>
      <c r="C173" s="183">
        <v>10000788</v>
      </c>
      <c r="D173" s="288" t="s">
        <v>1961</v>
      </c>
      <c r="E173" s="252" t="s">
        <v>2018</v>
      </c>
      <c r="F173" s="252" t="s">
        <v>1975</v>
      </c>
      <c r="G173" s="252" t="s">
        <v>2049</v>
      </c>
      <c r="I173" s="252" t="s">
        <v>2070</v>
      </c>
      <c r="J173" s="252" t="s">
        <v>4225</v>
      </c>
      <c r="L173" s="252" t="s">
        <v>2181</v>
      </c>
      <c r="M173" s="252" t="s">
        <v>2188</v>
      </c>
      <c r="N173" s="252" t="s">
        <v>2078</v>
      </c>
      <c r="O173" s="252" t="s">
        <v>2178</v>
      </c>
      <c r="P173" s="252" t="s">
        <v>1998</v>
      </c>
      <c r="Q173" s="252" t="s">
        <v>2115</v>
      </c>
      <c r="R173" s="252" t="s">
        <v>2160</v>
      </c>
      <c r="S173" s="252" t="s">
        <v>3419</v>
      </c>
      <c r="T173" s="252" t="s">
        <v>1873</v>
      </c>
      <c r="U173" s="252" t="s">
        <v>1953</v>
      </c>
      <c r="V173" s="252" t="s">
        <v>2404</v>
      </c>
      <c r="W173" s="252" t="s">
        <v>1975</v>
      </c>
      <c r="X173" s="252" t="s">
        <v>1925</v>
      </c>
      <c r="Y173" s="252" t="s">
        <v>3593</v>
      </c>
      <c r="Z173" s="266" t="s">
        <v>1925</v>
      </c>
      <c r="AA173" s="266" t="s">
        <v>2049</v>
      </c>
      <c r="AB173" s="266" t="s">
        <v>2192</v>
      </c>
      <c r="AC173" s="266" t="s">
        <v>3694</v>
      </c>
      <c r="AD173" s="266" t="s">
        <v>4292</v>
      </c>
      <c r="AE173" s="266" t="s">
        <v>2372</v>
      </c>
      <c r="AF173" s="266" t="s">
        <v>4281</v>
      </c>
      <c r="AG173" s="266" t="s">
        <v>2175</v>
      </c>
      <c r="AH173" s="266" t="s">
        <v>1971</v>
      </c>
      <c r="AI173" s="266" t="s">
        <v>3628</v>
      </c>
    </row>
    <row r="174" spans="1:35" x14ac:dyDescent="0.25">
      <c r="A174" s="264" t="str">
        <f>HLOOKUP(Overview!$P$8,$B$1:$AI$1500,174,FALSE)</f>
        <v xml:space="preserve">          10110064</v>
      </c>
      <c r="B174" s="252"/>
      <c r="C174" s="183">
        <v>10000009</v>
      </c>
      <c r="D174" s="287" t="s">
        <v>1927</v>
      </c>
      <c r="E174" s="264" t="s">
        <v>2155</v>
      </c>
      <c r="F174" s="264" t="s">
        <v>2366</v>
      </c>
      <c r="G174" s="264" t="s">
        <v>3623</v>
      </c>
      <c r="I174" s="264" t="s">
        <v>4281</v>
      </c>
      <c r="J174" s="264" t="s">
        <v>2306</v>
      </c>
      <c r="L174" s="264" t="s">
        <v>4235</v>
      </c>
      <c r="M174" s="264" t="s">
        <v>2220</v>
      </c>
      <c r="N174" s="264" t="s">
        <v>2181</v>
      </c>
      <c r="O174" s="264" t="s">
        <v>2156</v>
      </c>
      <c r="P174" s="264" t="s">
        <v>2049</v>
      </c>
      <c r="Q174" s="264" t="s">
        <v>4254</v>
      </c>
      <c r="R174" s="264" t="s">
        <v>2078</v>
      </c>
      <c r="S174" s="264" t="s">
        <v>3695</v>
      </c>
      <c r="T174" s="264" t="s">
        <v>1940</v>
      </c>
      <c r="U174" s="264" t="s">
        <v>2109</v>
      </c>
      <c r="V174" s="264" t="s">
        <v>2252</v>
      </c>
      <c r="W174" s="264" t="s">
        <v>2366</v>
      </c>
      <c r="X174" s="264" t="s">
        <v>2055</v>
      </c>
      <c r="Y174" s="264" t="s">
        <v>2261</v>
      </c>
      <c r="Z174" s="265" t="s">
        <v>2055</v>
      </c>
      <c r="AA174" s="265" t="s">
        <v>3623</v>
      </c>
      <c r="AB174" s="265" t="s">
        <v>2115</v>
      </c>
      <c r="AC174" s="265" t="s">
        <v>3515</v>
      </c>
      <c r="AD174" s="265" t="s">
        <v>4282</v>
      </c>
      <c r="AE174" s="265" t="s">
        <v>4293</v>
      </c>
      <c r="AF174" s="265" t="s">
        <v>4286</v>
      </c>
      <c r="AG174" s="265" t="s">
        <v>2317</v>
      </c>
      <c r="AH174" s="265" t="s">
        <v>2188</v>
      </c>
      <c r="AI174" s="265" t="s">
        <v>2124</v>
      </c>
    </row>
    <row r="175" spans="1:35" x14ac:dyDescent="0.25">
      <c r="A175" s="264" t="str">
        <f>HLOOKUP(Overview!$P$8,$B$1:$AI$1500,175,FALSE)</f>
        <v xml:space="preserve">          10110067</v>
      </c>
      <c r="B175" s="252"/>
      <c r="C175" s="183">
        <v>10002284</v>
      </c>
      <c r="D175" s="288" t="s">
        <v>2146</v>
      </c>
      <c r="E175" s="252" t="s">
        <v>1932</v>
      </c>
      <c r="F175" s="252" t="s">
        <v>3621</v>
      </c>
      <c r="G175" s="252" t="s">
        <v>2372</v>
      </c>
      <c r="I175" s="252" t="s">
        <v>4286</v>
      </c>
      <c r="J175" s="252" t="s">
        <v>2261</v>
      </c>
      <c r="L175" s="252" t="s">
        <v>3627</v>
      </c>
      <c r="M175" s="252" t="s">
        <v>4235</v>
      </c>
      <c r="N175" s="252" t="s">
        <v>4235</v>
      </c>
      <c r="O175" s="252" t="s">
        <v>1931</v>
      </c>
      <c r="P175" s="252" t="s">
        <v>2121</v>
      </c>
      <c r="Q175" s="252" t="s">
        <v>4232</v>
      </c>
      <c r="R175" s="252" t="s">
        <v>4235</v>
      </c>
      <c r="T175" s="252" t="s">
        <v>2236</v>
      </c>
      <c r="U175" s="252" t="s">
        <v>2151</v>
      </c>
      <c r="V175" s="252" t="s">
        <v>2272</v>
      </c>
      <c r="W175" s="252" t="s">
        <v>3621</v>
      </c>
      <c r="X175" s="252" t="s">
        <v>1983</v>
      </c>
      <c r="Y175" s="252" t="s">
        <v>2185</v>
      </c>
      <c r="Z175" s="266" t="s">
        <v>1983</v>
      </c>
      <c r="AA175" s="266" t="s">
        <v>4294</v>
      </c>
      <c r="AB175" s="266" t="s">
        <v>2364</v>
      </c>
      <c r="AC175" s="266" t="s">
        <v>3423</v>
      </c>
      <c r="AD175" s="266" t="s">
        <v>4232</v>
      </c>
      <c r="AE175" s="266" t="s">
        <v>2121</v>
      </c>
      <c r="AF175" s="266" t="s">
        <v>4287</v>
      </c>
      <c r="AG175" s="266" t="s">
        <v>2275</v>
      </c>
      <c r="AH175" s="266" t="s">
        <v>2220</v>
      </c>
      <c r="AI175" s="266" t="s">
        <v>2070</v>
      </c>
    </row>
    <row r="176" spans="1:35" x14ac:dyDescent="0.25">
      <c r="A176" s="264" t="str">
        <f>HLOOKUP(Overview!$P$8,$B$1:$AI$1500,176,FALSE)</f>
        <v xml:space="preserve">          10110069</v>
      </c>
      <c r="B176" s="252"/>
      <c r="C176" s="183">
        <v>10120971</v>
      </c>
      <c r="D176" s="287" t="s">
        <v>1963</v>
      </c>
      <c r="E176" s="264" t="s">
        <v>3587</v>
      </c>
      <c r="F176" s="264" t="s">
        <v>2091</v>
      </c>
      <c r="G176" s="264" t="s">
        <v>2121</v>
      </c>
      <c r="I176" s="264" t="s">
        <v>4295</v>
      </c>
      <c r="J176" s="264" t="s">
        <v>2185</v>
      </c>
      <c r="L176" s="264" t="s">
        <v>2096</v>
      </c>
      <c r="M176" s="264" t="s">
        <v>2096</v>
      </c>
      <c r="N176" s="264" t="s">
        <v>4296</v>
      </c>
      <c r="O176" s="264" t="s">
        <v>1925</v>
      </c>
      <c r="P176" s="264" t="s">
        <v>2192</v>
      </c>
      <c r="Q176" s="264" t="s">
        <v>2140</v>
      </c>
      <c r="R176" s="264" t="s">
        <v>3627</v>
      </c>
      <c r="T176" s="264" t="s">
        <v>2037</v>
      </c>
      <c r="U176" s="264" t="s">
        <v>2166</v>
      </c>
      <c r="V176" s="264" t="s">
        <v>3591</v>
      </c>
      <c r="W176" s="264" t="s">
        <v>2091</v>
      </c>
      <c r="X176" s="264" t="s">
        <v>2292</v>
      </c>
      <c r="Y176" s="264" t="s">
        <v>3549</v>
      </c>
      <c r="Z176" s="265" t="s">
        <v>2032</v>
      </c>
      <c r="AA176" s="265" t="s">
        <v>2372</v>
      </c>
      <c r="AB176" s="265" t="s">
        <v>2140</v>
      </c>
      <c r="AC176" s="265" t="s">
        <v>3415</v>
      </c>
      <c r="AD176" s="265" t="s">
        <v>2140</v>
      </c>
      <c r="AE176" s="265" t="s">
        <v>2192</v>
      </c>
      <c r="AF176" s="265" t="s">
        <v>4288</v>
      </c>
      <c r="AG176" s="265" t="s">
        <v>1975</v>
      </c>
      <c r="AH176" s="265" t="s">
        <v>2291</v>
      </c>
      <c r="AI176" s="265" t="s">
        <v>4281</v>
      </c>
    </row>
    <row r="177" spans="1:35" x14ac:dyDescent="0.25">
      <c r="A177" s="264" t="str">
        <f>HLOOKUP(Overview!$P$8,$B$1:$AI$1500,177,FALSE)</f>
        <v xml:space="preserve">          10111501</v>
      </c>
      <c r="B177" s="252"/>
      <c r="C177" s="183">
        <v>10000880</v>
      </c>
      <c r="D177" s="288" t="s">
        <v>2202</v>
      </c>
      <c r="E177" s="252" t="s">
        <v>4234</v>
      </c>
      <c r="F177" s="252" t="s">
        <v>1942</v>
      </c>
      <c r="G177" s="252" t="s">
        <v>2192</v>
      </c>
      <c r="I177" s="252" t="s">
        <v>4287</v>
      </c>
      <c r="J177" s="252" t="s">
        <v>4266</v>
      </c>
      <c r="L177" s="252" t="s">
        <v>2124</v>
      </c>
      <c r="M177" s="252" t="s">
        <v>2124</v>
      </c>
      <c r="N177" s="252" t="s">
        <v>3627</v>
      </c>
      <c r="O177" s="252" t="s">
        <v>2055</v>
      </c>
      <c r="P177" s="252" t="s">
        <v>2115</v>
      </c>
      <c r="Q177" s="252" t="s">
        <v>2086</v>
      </c>
      <c r="R177" s="252" t="s">
        <v>2096</v>
      </c>
      <c r="T177" s="252" t="s">
        <v>1960</v>
      </c>
      <c r="U177" s="252" t="s">
        <v>2135</v>
      </c>
      <c r="V177" s="252" t="s">
        <v>2153</v>
      </c>
      <c r="W177" s="252" t="s">
        <v>1942</v>
      </c>
      <c r="X177" s="252" t="s">
        <v>2032</v>
      </c>
      <c r="Y177" s="252" t="s">
        <v>3553</v>
      </c>
      <c r="Z177" s="266" t="s">
        <v>2084</v>
      </c>
      <c r="AA177" s="266" t="s">
        <v>2121</v>
      </c>
      <c r="AB177" s="266" t="s">
        <v>2086</v>
      </c>
      <c r="AD177" s="266" t="s">
        <v>2086</v>
      </c>
      <c r="AE177" s="266" t="s">
        <v>2115</v>
      </c>
      <c r="AF177" s="266" t="s">
        <v>2178</v>
      </c>
      <c r="AG177" s="266" t="s">
        <v>2366</v>
      </c>
      <c r="AH177" s="266" t="s">
        <v>2319</v>
      </c>
      <c r="AI177" s="266" t="s">
        <v>4286</v>
      </c>
    </row>
    <row r="178" spans="1:35" x14ac:dyDescent="0.25">
      <c r="A178" s="264" t="str">
        <f>HLOOKUP(Overview!$P$8,$B$1:$AI$1500,178,FALSE)</f>
        <v xml:space="preserve">          10112767</v>
      </c>
      <c r="B178" s="252"/>
      <c r="C178" s="183">
        <v>10011970</v>
      </c>
      <c r="D178" s="287" t="s">
        <v>2104</v>
      </c>
      <c r="E178" s="264" t="s">
        <v>3573</v>
      </c>
      <c r="F178" s="264" t="s">
        <v>1959</v>
      </c>
      <c r="G178" s="264" t="s">
        <v>2115</v>
      </c>
      <c r="I178" s="264" t="s">
        <v>4288</v>
      </c>
      <c r="J178" s="264" t="s">
        <v>4297</v>
      </c>
      <c r="L178" s="264" t="s">
        <v>2070</v>
      </c>
      <c r="M178" s="264" t="s">
        <v>2070</v>
      </c>
      <c r="N178" s="264" t="s">
        <v>2096</v>
      </c>
      <c r="O178" s="264" t="s">
        <v>1983</v>
      </c>
      <c r="P178" s="264" t="s">
        <v>4254</v>
      </c>
      <c r="Q178" s="264" t="s">
        <v>2177</v>
      </c>
      <c r="R178" s="264" t="s">
        <v>2124</v>
      </c>
      <c r="T178" s="264" t="s">
        <v>2194</v>
      </c>
      <c r="U178" s="264" t="s">
        <v>2057</v>
      </c>
      <c r="V178" s="264" t="s">
        <v>2064</v>
      </c>
      <c r="W178" s="264" t="s">
        <v>1959</v>
      </c>
      <c r="X178" s="264" t="s">
        <v>2084</v>
      </c>
      <c r="Y178" s="264" t="s">
        <v>3551</v>
      </c>
      <c r="Z178" s="265" t="s">
        <v>2063</v>
      </c>
      <c r="AA178" s="265" t="s">
        <v>2192</v>
      </c>
      <c r="AB178" s="265" t="s">
        <v>2376</v>
      </c>
      <c r="AD178" s="265" t="s">
        <v>2177</v>
      </c>
      <c r="AE178" s="265" t="s">
        <v>2364</v>
      </c>
      <c r="AF178" s="265" t="s">
        <v>2156</v>
      </c>
      <c r="AG178" s="265" t="s">
        <v>2091</v>
      </c>
      <c r="AH178" s="265" t="s">
        <v>2273</v>
      </c>
      <c r="AI178" s="265" t="s">
        <v>4287</v>
      </c>
    </row>
    <row r="179" spans="1:35" x14ac:dyDescent="0.25">
      <c r="A179" s="264" t="str">
        <f>HLOOKUP(Overview!$P$8,$B$1:$AI$1500,179,FALSE)</f>
        <v xml:space="preserve">          10112769</v>
      </c>
      <c r="B179" s="252"/>
      <c r="C179" s="183">
        <v>10086453</v>
      </c>
      <c r="D179" s="288" t="s">
        <v>1894</v>
      </c>
      <c r="E179" s="252" t="s">
        <v>1884</v>
      </c>
      <c r="F179" s="252" t="s">
        <v>1998</v>
      </c>
      <c r="G179" s="252" t="s">
        <v>2364</v>
      </c>
      <c r="I179" s="252" t="s">
        <v>2178</v>
      </c>
      <c r="J179" s="252" t="s">
        <v>3584</v>
      </c>
      <c r="L179" s="252" t="s">
        <v>2178</v>
      </c>
      <c r="M179" s="252" t="s">
        <v>2178</v>
      </c>
      <c r="N179" s="252" t="s">
        <v>3628</v>
      </c>
      <c r="O179" s="252" t="s">
        <v>2292</v>
      </c>
      <c r="P179" s="252" t="s">
        <v>4232</v>
      </c>
      <c r="Q179" s="252" t="s">
        <v>2256</v>
      </c>
      <c r="R179" s="252" t="s">
        <v>2070</v>
      </c>
      <c r="T179" s="252" t="s">
        <v>2105</v>
      </c>
      <c r="U179" s="252" t="s">
        <v>2240</v>
      </c>
      <c r="V179" s="252" t="s">
        <v>4298</v>
      </c>
      <c r="W179" s="252" t="s">
        <v>1998</v>
      </c>
      <c r="X179" s="252" t="s">
        <v>2238</v>
      </c>
      <c r="Y179" s="252" t="s">
        <v>4251</v>
      </c>
      <c r="Z179" s="266" t="s">
        <v>2094</v>
      </c>
      <c r="AA179" s="266" t="s">
        <v>2115</v>
      </c>
      <c r="AB179" s="266" t="s">
        <v>2346</v>
      </c>
      <c r="AD179" s="266" t="s">
        <v>2256</v>
      </c>
      <c r="AE179" s="266" t="s">
        <v>2140</v>
      </c>
      <c r="AF179" s="266" t="s">
        <v>1931</v>
      </c>
      <c r="AG179" s="266" t="s">
        <v>1942</v>
      </c>
      <c r="AH179" s="266" t="s">
        <v>2338</v>
      </c>
      <c r="AI179" s="266" t="s">
        <v>2178</v>
      </c>
    </row>
    <row r="180" spans="1:35" x14ac:dyDescent="0.25">
      <c r="A180" s="264" t="str">
        <f>HLOOKUP(Overview!$P$8,$B$1:$AI$1500,180,FALSE)</f>
        <v xml:space="preserve">          10121162</v>
      </c>
      <c r="B180" s="252"/>
      <c r="C180" s="183">
        <v>10126465</v>
      </c>
      <c r="D180" s="287" t="s">
        <v>4339</v>
      </c>
      <c r="E180" s="264" t="s">
        <v>1936</v>
      </c>
      <c r="F180" s="264" t="s">
        <v>2049</v>
      </c>
      <c r="G180" s="264" t="s">
        <v>2140</v>
      </c>
      <c r="I180" s="264" t="s">
        <v>2156</v>
      </c>
      <c r="J180" s="264" t="s">
        <v>2175</v>
      </c>
      <c r="L180" s="264" t="s">
        <v>2156</v>
      </c>
      <c r="M180" s="264" t="s">
        <v>2380</v>
      </c>
      <c r="N180" s="264" t="s">
        <v>2124</v>
      </c>
      <c r="O180" s="264" t="s">
        <v>2032</v>
      </c>
      <c r="P180" s="264" t="s">
        <v>2140</v>
      </c>
      <c r="Q180" s="264" t="s">
        <v>2285</v>
      </c>
      <c r="R180" s="264" t="s">
        <v>2178</v>
      </c>
      <c r="T180" s="264" t="s">
        <v>1953</v>
      </c>
      <c r="U180" s="264" t="s">
        <v>1927</v>
      </c>
      <c r="V180" s="264" t="s">
        <v>2127</v>
      </c>
      <c r="W180" s="264" t="s">
        <v>2049</v>
      </c>
      <c r="X180" s="264" t="s">
        <v>2063</v>
      </c>
      <c r="Y180" s="264" t="s">
        <v>4252</v>
      </c>
      <c r="Z180" s="265" t="s">
        <v>2128</v>
      </c>
      <c r="AA180" s="265" t="s">
        <v>2364</v>
      </c>
      <c r="AB180" s="265" t="s">
        <v>2177</v>
      </c>
      <c r="AD180" s="265" t="s">
        <v>2285</v>
      </c>
      <c r="AE180" s="265" t="s">
        <v>2086</v>
      </c>
      <c r="AF180" s="265" t="s">
        <v>1925</v>
      </c>
      <c r="AG180" s="265" t="s">
        <v>1959</v>
      </c>
      <c r="AH180" s="265" t="s">
        <v>4299</v>
      </c>
      <c r="AI180" s="265" t="s">
        <v>2325</v>
      </c>
    </row>
    <row r="181" spans="1:35" x14ac:dyDescent="0.25">
      <c r="A181" s="264" t="str">
        <f>HLOOKUP(Overview!$P$8,$B$1:$AI$1500,181,FALSE)</f>
        <v xml:space="preserve">          10121163</v>
      </c>
      <c r="B181" s="252"/>
      <c r="C181" s="183">
        <v>10126463</v>
      </c>
      <c r="D181" s="288" t="s">
        <v>4330</v>
      </c>
      <c r="E181" s="252" t="s">
        <v>1981</v>
      </c>
      <c r="F181" s="252" t="s">
        <v>3623</v>
      </c>
      <c r="G181" s="252" t="s">
        <v>2086</v>
      </c>
      <c r="I181" s="252" t="s">
        <v>2266</v>
      </c>
      <c r="J181" s="252" t="s">
        <v>2275</v>
      </c>
      <c r="L181" s="252" t="s">
        <v>2266</v>
      </c>
      <c r="M181" s="252" t="s">
        <v>2156</v>
      </c>
      <c r="N181" s="252" t="s">
        <v>2070</v>
      </c>
      <c r="O181" s="252" t="s">
        <v>3571</v>
      </c>
      <c r="P181" s="252" t="s">
        <v>2086</v>
      </c>
      <c r="Q181" s="252" t="s">
        <v>1908</v>
      </c>
      <c r="R181" s="252" t="s">
        <v>2325</v>
      </c>
      <c r="T181" s="252" t="s">
        <v>2109</v>
      </c>
      <c r="U181" s="252" t="s">
        <v>2146</v>
      </c>
      <c r="V181" s="252" t="s">
        <v>1977</v>
      </c>
      <c r="W181" s="252" t="s">
        <v>3625</v>
      </c>
      <c r="X181" s="252" t="s">
        <v>2094</v>
      </c>
      <c r="Y181" s="252" t="s">
        <v>3589</v>
      </c>
      <c r="Z181" s="266" t="s">
        <v>2134</v>
      </c>
      <c r="AA181" s="266" t="s">
        <v>2140</v>
      </c>
      <c r="AB181" s="266" t="s">
        <v>2256</v>
      </c>
      <c r="AD181" s="266" t="s">
        <v>2416</v>
      </c>
      <c r="AE181" s="266" t="s">
        <v>2376</v>
      </c>
      <c r="AF181" s="266" t="s">
        <v>2055</v>
      </c>
      <c r="AG181" s="266" t="s">
        <v>1998</v>
      </c>
      <c r="AH181" s="266" t="s">
        <v>2160</v>
      </c>
      <c r="AI181" s="266" t="s">
        <v>2380</v>
      </c>
    </row>
    <row r="182" spans="1:35" x14ac:dyDescent="0.25">
      <c r="A182" s="264" t="str">
        <f>HLOOKUP(Overview!$P$8,$B$1:$AI$1500,182,FALSE)</f>
        <v xml:space="preserve">          10123491</v>
      </c>
      <c r="B182" s="252"/>
      <c r="C182" s="183">
        <v>10000810</v>
      </c>
      <c r="D182" s="287" t="s">
        <v>4277</v>
      </c>
      <c r="E182" s="264" t="s">
        <v>2227</v>
      </c>
      <c r="F182" s="264" t="s">
        <v>3625</v>
      </c>
      <c r="G182" s="264" t="s">
        <v>2177</v>
      </c>
      <c r="I182" s="264" t="s">
        <v>2239</v>
      </c>
      <c r="J182" s="264" t="s">
        <v>4230</v>
      </c>
      <c r="L182" s="264" t="s">
        <v>1931</v>
      </c>
      <c r="M182" s="264" t="s">
        <v>2266</v>
      </c>
      <c r="N182" s="264" t="s">
        <v>2178</v>
      </c>
      <c r="O182" s="264" t="s">
        <v>2084</v>
      </c>
      <c r="P182" s="264" t="s">
        <v>2376</v>
      </c>
      <c r="Q182" s="264" t="s">
        <v>2039</v>
      </c>
      <c r="R182" s="264" t="s">
        <v>2156</v>
      </c>
      <c r="T182" s="264" t="s">
        <v>2151</v>
      </c>
      <c r="U182" s="264" t="s">
        <v>1963</v>
      </c>
      <c r="V182" s="264" t="s">
        <v>2157</v>
      </c>
      <c r="W182" s="264" t="s">
        <v>4279</v>
      </c>
      <c r="X182" s="264" t="s">
        <v>2128</v>
      </c>
      <c r="Y182" s="264" t="s">
        <v>3579</v>
      </c>
      <c r="Z182" s="265" t="s">
        <v>1938</v>
      </c>
      <c r="AA182" s="265" t="s">
        <v>2086</v>
      </c>
      <c r="AB182" s="265" t="s">
        <v>2285</v>
      </c>
      <c r="AD182" s="265" t="s">
        <v>3626</v>
      </c>
      <c r="AE182" s="265" t="s">
        <v>2346</v>
      </c>
      <c r="AF182" s="265" t="s">
        <v>1983</v>
      </c>
      <c r="AG182" s="265" t="s">
        <v>2049</v>
      </c>
      <c r="AH182" s="265" t="s">
        <v>2078</v>
      </c>
      <c r="AI182" s="265" t="s">
        <v>2156</v>
      </c>
    </row>
    <row r="183" spans="1:35" x14ac:dyDescent="0.25">
      <c r="A183" s="264" t="str">
        <f>HLOOKUP(Overview!$P$8,$B$1:$AI$1500,183,FALSE)</f>
        <v xml:space="preserve">          10123492</v>
      </c>
      <c r="B183" s="252"/>
      <c r="C183" s="183">
        <v>10001069</v>
      </c>
      <c r="D183" s="288" t="s">
        <v>4278</v>
      </c>
      <c r="E183" s="252" t="s">
        <v>2002</v>
      </c>
      <c r="F183" s="252" t="s">
        <v>2372</v>
      </c>
      <c r="G183" s="252" t="s">
        <v>2256</v>
      </c>
      <c r="I183" s="252" t="s">
        <v>1931</v>
      </c>
      <c r="J183" s="252" t="s">
        <v>1975</v>
      </c>
      <c r="L183" s="252" t="s">
        <v>1925</v>
      </c>
      <c r="M183" s="252" t="s">
        <v>2239</v>
      </c>
      <c r="N183" s="252" t="s">
        <v>2325</v>
      </c>
      <c r="O183" s="252" t="s">
        <v>4300</v>
      </c>
      <c r="P183" s="252" t="s">
        <v>2177</v>
      </c>
      <c r="Q183" s="252" t="s">
        <v>1890</v>
      </c>
      <c r="R183" s="252" t="s">
        <v>2266</v>
      </c>
      <c r="T183" s="252" t="s">
        <v>2166</v>
      </c>
      <c r="U183" s="252" t="s">
        <v>2085</v>
      </c>
      <c r="V183" s="252" t="s">
        <v>1926</v>
      </c>
      <c r="W183" s="252" t="s">
        <v>2121</v>
      </c>
      <c r="X183" s="252" t="s">
        <v>2134</v>
      </c>
      <c r="Y183" s="252" t="s">
        <v>2175</v>
      </c>
      <c r="Z183" s="266" t="s">
        <v>2029</v>
      </c>
      <c r="AA183" s="266" t="s">
        <v>2376</v>
      </c>
      <c r="AB183" s="266" t="s">
        <v>1908</v>
      </c>
      <c r="AD183" s="266" t="s">
        <v>1908</v>
      </c>
      <c r="AE183" s="266" t="s">
        <v>2177</v>
      </c>
      <c r="AF183" s="266" t="s">
        <v>4301</v>
      </c>
      <c r="AG183" s="266" t="s">
        <v>2121</v>
      </c>
      <c r="AH183" s="266" t="s">
        <v>3627</v>
      </c>
      <c r="AI183" s="266" t="s">
        <v>2266</v>
      </c>
    </row>
    <row r="184" spans="1:35" x14ac:dyDescent="0.25">
      <c r="A184" s="264" t="str">
        <f>HLOOKUP(Overview!$P$8,$B$1:$AI$1500,184,FALSE)</f>
        <v xml:space="preserve">          10123494</v>
      </c>
      <c r="B184" s="252"/>
      <c r="C184" s="183">
        <v>10097745</v>
      </c>
      <c r="D184" s="287" t="s">
        <v>4315</v>
      </c>
      <c r="E184" s="264" t="s">
        <v>2035</v>
      </c>
      <c r="F184" s="264" t="s">
        <v>2121</v>
      </c>
      <c r="G184" s="264" t="s">
        <v>2285</v>
      </c>
      <c r="I184" s="264" t="s">
        <v>1925</v>
      </c>
      <c r="J184" s="264" t="s">
        <v>4270</v>
      </c>
      <c r="L184" s="264" t="s">
        <v>2055</v>
      </c>
      <c r="M184" s="264" t="s">
        <v>1931</v>
      </c>
      <c r="N184" s="264" t="s">
        <v>2380</v>
      </c>
      <c r="O184" s="264" t="s">
        <v>2063</v>
      </c>
      <c r="P184" s="264" t="s">
        <v>2256</v>
      </c>
      <c r="Q184" s="264" t="s">
        <v>1934</v>
      </c>
      <c r="R184" s="264" t="s">
        <v>1931</v>
      </c>
      <c r="T184" s="264" t="s">
        <v>2135</v>
      </c>
      <c r="U184" s="264" t="s">
        <v>2202</v>
      </c>
      <c r="V184" s="264" t="s">
        <v>1873</v>
      </c>
      <c r="W184" s="264" t="s">
        <v>2192</v>
      </c>
      <c r="X184" s="264" t="s">
        <v>1938</v>
      </c>
      <c r="Y184" s="264" t="s">
        <v>2317</v>
      </c>
      <c r="Z184" s="265" t="s">
        <v>3664</v>
      </c>
      <c r="AA184" s="265" t="s">
        <v>2346</v>
      </c>
      <c r="AB184" s="265" t="s">
        <v>2039</v>
      </c>
      <c r="AD184" s="265" t="s">
        <v>2039</v>
      </c>
      <c r="AE184" s="265" t="s">
        <v>2256</v>
      </c>
      <c r="AF184" s="265" t="s">
        <v>2292</v>
      </c>
      <c r="AG184" s="265" t="s">
        <v>2192</v>
      </c>
      <c r="AH184" s="265" t="s">
        <v>2096</v>
      </c>
      <c r="AI184" s="265" t="s">
        <v>2239</v>
      </c>
    </row>
    <row r="185" spans="1:35" x14ac:dyDescent="0.25">
      <c r="A185" s="264" t="str">
        <f>HLOOKUP(Overview!$P$8,$B$1:$AI$1500,185,FALSE)</f>
        <v xml:space="preserve">          10123495</v>
      </c>
      <c r="B185" s="252"/>
      <c r="C185" s="183">
        <v>10001994</v>
      </c>
      <c r="D185" s="288" t="s">
        <v>4272</v>
      </c>
      <c r="E185" s="252" t="s">
        <v>2113</v>
      </c>
      <c r="F185" s="252" t="s">
        <v>2192</v>
      </c>
      <c r="G185" s="252" t="s">
        <v>2416</v>
      </c>
      <c r="I185" s="252" t="s">
        <v>2055</v>
      </c>
      <c r="J185" s="252" t="s">
        <v>2366</v>
      </c>
      <c r="L185" s="252" t="s">
        <v>1983</v>
      </c>
      <c r="M185" s="252" t="s">
        <v>1925</v>
      </c>
      <c r="N185" s="252" t="s">
        <v>2156</v>
      </c>
      <c r="O185" s="252" t="s">
        <v>2094</v>
      </c>
      <c r="P185" s="252" t="s">
        <v>2285</v>
      </c>
      <c r="Q185" s="252" t="s">
        <v>1984</v>
      </c>
      <c r="R185" s="252" t="s">
        <v>1925</v>
      </c>
      <c r="T185" s="252" t="s">
        <v>2057</v>
      </c>
      <c r="U185" s="252" t="s">
        <v>2104</v>
      </c>
      <c r="V185" s="252" t="s">
        <v>1940</v>
      </c>
      <c r="W185" s="252" t="s">
        <v>2115</v>
      </c>
      <c r="X185" s="252" t="s">
        <v>2029</v>
      </c>
      <c r="Y185" s="252" t="s">
        <v>2275</v>
      </c>
      <c r="Z185" s="266" t="s">
        <v>3665</v>
      </c>
      <c r="AA185" s="266" t="s">
        <v>2177</v>
      </c>
      <c r="AB185" s="266" t="s">
        <v>1890</v>
      </c>
      <c r="AD185" s="266" t="s">
        <v>1890</v>
      </c>
      <c r="AE185" s="266" t="s">
        <v>2285</v>
      </c>
      <c r="AF185" s="266" t="s">
        <v>2032</v>
      </c>
      <c r="AG185" s="266" t="s">
        <v>2115</v>
      </c>
      <c r="AH185" s="266" t="s">
        <v>3628</v>
      </c>
      <c r="AI185" s="266" t="s">
        <v>1931</v>
      </c>
    </row>
    <row r="186" spans="1:35" x14ac:dyDescent="0.25">
      <c r="A186" s="264" t="str">
        <f>HLOOKUP(Overview!$P$8,$B$1:$AI$1500,186,FALSE)</f>
        <v xml:space="preserve">          10123496</v>
      </c>
      <c r="B186" s="252"/>
      <c r="C186" s="183">
        <v>10086473</v>
      </c>
      <c r="D186" s="287" t="s">
        <v>4280</v>
      </c>
      <c r="E186" s="264" t="s">
        <v>4233</v>
      </c>
      <c r="F186" s="264" t="s">
        <v>2115</v>
      </c>
      <c r="G186" s="264" t="s">
        <v>3626</v>
      </c>
      <c r="I186" s="264" t="s">
        <v>1983</v>
      </c>
      <c r="J186" s="264" t="s">
        <v>2091</v>
      </c>
      <c r="L186" s="264" t="s">
        <v>2292</v>
      </c>
      <c r="M186" s="264" t="s">
        <v>2055</v>
      </c>
      <c r="N186" s="264" t="s">
        <v>2266</v>
      </c>
      <c r="O186" s="264" t="s">
        <v>2134</v>
      </c>
      <c r="P186" s="264" t="s">
        <v>1908</v>
      </c>
      <c r="Q186" s="264" t="s">
        <v>2150</v>
      </c>
      <c r="R186" s="264" t="s">
        <v>2055</v>
      </c>
      <c r="T186" s="264" t="s">
        <v>1927</v>
      </c>
      <c r="U186" s="264" t="s">
        <v>2333</v>
      </c>
      <c r="V186" s="264" t="s">
        <v>4302</v>
      </c>
      <c r="W186" s="264" t="s">
        <v>2140</v>
      </c>
      <c r="X186" s="264" t="s">
        <v>3664</v>
      </c>
      <c r="Y186" s="264" t="s">
        <v>1975</v>
      </c>
      <c r="Z186" s="265" t="s">
        <v>2137</v>
      </c>
      <c r="AA186" s="265" t="s">
        <v>2256</v>
      </c>
      <c r="AB186" s="265" t="s">
        <v>1934</v>
      </c>
      <c r="AD186" s="265" t="s">
        <v>1934</v>
      </c>
      <c r="AE186" s="265" t="s">
        <v>3626</v>
      </c>
      <c r="AF186" s="265" t="s">
        <v>2084</v>
      </c>
      <c r="AG186" s="265" t="s">
        <v>4289</v>
      </c>
      <c r="AH186" s="265" t="s">
        <v>2124</v>
      </c>
      <c r="AI186" s="265" t="s">
        <v>1925</v>
      </c>
    </row>
    <row r="187" spans="1:35" x14ac:dyDescent="0.25">
      <c r="A187" s="264" t="str">
        <f>HLOOKUP(Overview!$P$8,$B$1:$AI$1500,187,FALSE)</f>
        <v xml:space="preserve">          10123497</v>
      </c>
      <c r="B187" s="252"/>
      <c r="C187" s="183">
        <v>10115916</v>
      </c>
      <c r="D187" s="288" t="s">
        <v>4264</v>
      </c>
      <c r="E187" s="252" t="s">
        <v>3618</v>
      </c>
      <c r="F187" s="252" t="s">
        <v>2364</v>
      </c>
      <c r="G187" s="252" t="s">
        <v>1908</v>
      </c>
      <c r="I187" s="252" t="s">
        <v>2292</v>
      </c>
      <c r="J187" s="252" t="s">
        <v>1942</v>
      </c>
      <c r="L187" s="252" t="s">
        <v>2032</v>
      </c>
      <c r="M187" s="252" t="s">
        <v>1983</v>
      </c>
      <c r="N187" s="252" t="s">
        <v>2239</v>
      </c>
      <c r="O187" s="252" t="s">
        <v>3629</v>
      </c>
      <c r="P187" s="252" t="s">
        <v>2039</v>
      </c>
      <c r="Q187" s="252" t="s">
        <v>1971</v>
      </c>
      <c r="R187" s="252" t="s">
        <v>1983</v>
      </c>
      <c r="T187" s="252" t="s">
        <v>2146</v>
      </c>
      <c r="U187" s="252" t="s">
        <v>3668</v>
      </c>
      <c r="V187" s="252" t="s">
        <v>2236</v>
      </c>
      <c r="W187" s="252" t="s">
        <v>2086</v>
      </c>
      <c r="X187" s="252" t="s">
        <v>3665</v>
      </c>
      <c r="Y187" s="252" t="s">
        <v>2366</v>
      </c>
      <c r="Z187" s="266" t="s">
        <v>2252</v>
      </c>
      <c r="AA187" s="266" t="s">
        <v>2285</v>
      </c>
      <c r="AB187" s="266" t="s">
        <v>1984</v>
      </c>
      <c r="AD187" s="266" t="s">
        <v>1984</v>
      </c>
      <c r="AE187" s="266" t="s">
        <v>1908</v>
      </c>
      <c r="AF187" s="266" t="s">
        <v>2238</v>
      </c>
      <c r="AG187" s="266" t="s">
        <v>4290</v>
      </c>
      <c r="AH187" s="266" t="s">
        <v>2070</v>
      </c>
      <c r="AI187" s="266" t="s">
        <v>2055</v>
      </c>
    </row>
    <row r="188" spans="1:35" x14ac:dyDescent="0.25">
      <c r="A188" s="264" t="str">
        <f>HLOOKUP(Overview!$P$8,$B$1:$AI$1500,188,FALSE)</f>
        <v xml:space="preserve">          10123498</v>
      </c>
      <c r="B188" s="252"/>
      <c r="C188" s="183">
        <v>10000904</v>
      </c>
      <c r="D188" s="287" t="s">
        <v>4274</v>
      </c>
      <c r="E188" s="264" t="s">
        <v>1967</v>
      </c>
      <c r="F188" s="264" t="s">
        <v>2140</v>
      </c>
      <c r="G188" s="264" t="s">
        <v>2039</v>
      </c>
      <c r="I188" s="264" t="s">
        <v>2032</v>
      </c>
      <c r="J188" s="264" t="s">
        <v>1959</v>
      </c>
      <c r="L188" s="264" t="s">
        <v>3571</v>
      </c>
      <c r="M188" s="264" t="s">
        <v>2292</v>
      </c>
      <c r="N188" s="264" t="s">
        <v>1931</v>
      </c>
      <c r="O188" s="264" t="s">
        <v>1938</v>
      </c>
      <c r="P188" s="264" t="s">
        <v>1890</v>
      </c>
      <c r="Q188" s="264" t="s">
        <v>2220</v>
      </c>
      <c r="R188" s="264" t="s">
        <v>2292</v>
      </c>
      <c r="T188" s="264" t="s">
        <v>1963</v>
      </c>
      <c r="U188" s="264" t="s">
        <v>3669</v>
      </c>
      <c r="V188" s="264" t="s">
        <v>2037</v>
      </c>
      <c r="W188" s="264" t="s">
        <v>2177</v>
      </c>
      <c r="X188" s="264" t="s">
        <v>2137</v>
      </c>
      <c r="Y188" s="264" t="s">
        <v>3621</v>
      </c>
      <c r="Z188" s="265" t="s">
        <v>2272</v>
      </c>
      <c r="AA188" s="265" t="s">
        <v>2416</v>
      </c>
      <c r="AB188" s="265" t="s">
        <v>2150</v>
      </c>
      <c r="AD188" s="265" t="s">
        <v>2150</v>
      </c>
      <c r="AE188" s="265" t="s">
        <v>2039</v>
      </c>
      <c r="AF188" s="265" t="s">
        <v>2063</v>
      </c>
      <c r="AG188" s="265" t="s">
        <v>4291</v>
      </c>
      <c r="AH188" s="265" t="s">
        <v>4281</v>
      </c>
      <c r="AI188" s="265" t="s">
        <v>1983</v>
      </c>
    </row>
    <row r="189" spans="1:35" x14ac:dyDescent="0.25">
      <c r="A189" s="264" t="str">
        <f>HLOOKUP(Overview!$P$8,$B$1:$AI$1500,189,FALSE)</f>
        <v xml:space="preserve">          10123499</v>
      </c>
      <c r="B189" s="252"/>
      <c r="C189" s="183">
        <v>10006264</v>
      </c>
      <c r="D189" s="288" t="s">
        <v>4314</v>
      </c>
      <c r="E189" s="252" t="s">
        <v>1945</v>
      </c>
      <c r="F189" s="252" t="s">
        <v>2086</v>
      </c>
      <c r="G189" s="252" t="s">
        <v>1890</v>
      </c>
      <c r="I189" s="252" t="s">
        <v>3571</v>
      </c>
      <c r="J189" s="252" t="s">
        <v>1998</v>
      </c>
      <c r="L189" s="252" t="s">
        <v>2084</v>
      </c>
      <c r="M189" s="252" t="s">
        <v>2032</v>
      </c>
      <c r="N189" s="252" t="s">
        <v>1925</v>
      </c>
      <c r="O189" s="252" t="s">
        <v>2029</v>
      </c>
      <c r="P189" s="252" t="s">
        <v>1934</v>
      </c>
      <c r="Q189" s="252" t="s">
        <v>2160</v>
      </c>
      <c r="R189" s="252" t="s">
        <v>2032</v>
      </c>
      <c r="T189" s="252" t="s">
        <v>2085</v>
      </c>
      <c r="U189" s="252" t="s">
        <v>3670</v>
      </c>
      <c r="V189" s="252" t="s">
        <v>1960</v>
      </c>
      <c r="W189" s="252" t="s">
        <v>2256</v>
      </c>
      <c r="X189" s="252" t="s">
        <v>2252</v>
      </c>
      <c r="Y189" s="252" t="s">
        <v>2091</v>
      </c>
      <c r="Z189" s="266" t="s">
        <v>2153</v>
      </c>
      <c r="AA189" s="266" t="s">
        <v>3626</v>
      </c>
      <c r="AB189" s="266" t="s">
        <v>1971</v>
      </c>
      <c r="AD189" s="266" t="s">
        <v>1971</v>
      </c>
      <c r="AE189" s="266" t="s">
        <v>1890</v>
      </c>
      <c r="AF189" s="266" t="s">
        <v>2094</v>
      </c>
      <c r="AG189" s="266" t="s">
        <v>4254</v>
      </c>
      <c r="AH189" s="266" t="s">
        <v>4286</v>
      </c>
      <c r="AI189" s="266" t="s">
        <v>2292</v>
      </c>
    </row>
    <row r="190" spans="1:35" x14ac:dyDescent="0.25">
      <c r="A190" s="264" t="str">
        <f>HLOOKUP(Overview!$P$8,$B$1:$AI$1500,190,FALSE)</f>
        <v xml:space="preserve">          10124149</v>
      </c>
      <c r="B190" s="252"/>
      <c r="C190" s="183">
        <v>10036798</v>
      </c>
      <c r="D190" s="287" t="s">
        <v>3682</v>
      </c>
      <c r="E190" s="264" t="s">
        <v>2098</v>
      </c>
      <c r="F190" s="264" t="s">
        <v>2376</v>
      </c>
      <c r="G190" s="264" t="s">
        <v>1934</v>
      </c>
      <c r="I190" s="264" t="s">
        <v>2084</v>
      </c>
      <c r="J190" s="264" t="s">
        <v>2049</v>
      </c>
      <c r="L190" s="264" t="s">
        <v>2063</v>
      </c>
      <c r="M190" s="264" t="s">
        <v>3571</v>
      </c>
      <c r="N190" s="264" t="s">
        <v>2055</v>
      </c>
      <c r="O190" s="264" t="s">
        <v>3664</v>
      </c>
      <c r="P190" s="264" t="s">
        <v>1984</v>
      </c>
      <c r="Q190" s="264" t="s">
        <v>2078</v>
      </c>
      <c r="R190" s="264" t="s">
        <v>3571</v>
      </c>
      <c r="T190" s="264" t="s">
        <v>2202</v>
      </c>
      <c r="U190" s="264" t="s">
        <v>3671</v>
      </c>
      <c r="V190" s="264" t="s">
        <v>2194</v>
      </c>
      <c r="W190" s="264" t="s">
        <v>2285</v>
      </c>
      <c r="X190" s="264" t="s">
        <v>2272</v>
      </c>
      <c r="Y190" s="264" t="s">
        <v>1942</v>
      </c>
      <c r="Z190" s="265" t="s">
        <v>2064</v>
      </c>
      <c r="AA190" s="265" t="s">
        <v>1908</v>
      </c>
      <c r="AB190" s="265" t="s">
        <v>2188</v>
      </c>
      <c r="AD190" s="265" t="s">
        <v>2188</v>
      </c>
      <c r="AE190" s="265" t="s">
        <v>1934</v>
      </c>
      <c r="AF190" s="265" t="s">
        <v>2128</v>
      </c>
      <c r="AG190" s="265" t="s">
        <v>4292</v>
      </c>
      <c r="AH190" s="265" t="s">
        <v>4287</v>
      </c>
      <c r="AI190" s="265" t="s">
        <v>2032</v>
      </c>
    </row>
    <row r="191" spans="1:35" x14ac:dyDescent="0.25">
      <c r="A191" s="264" t="str">
        <f>HLOOKUP(Overview!$P$8,$B$1:$AI$1500,191,FALSE)</f>
        <v xml:space="preserve">          10124150</v>
      </c>
      <c r="B191" s="252"/>
      <c r="C191" s="183">
        <v>10056875</v>
      </c>
      <c r="D191" s="288" t="s">
        <v>3683</v>
      </c>
      <c r="E191" s="252" t="s">
        <v>2073</v>
      </c>
      <c r="F191" s="252" t="s">
        <v>2177</v>
      </c>
      <c r="G191" s="252" t="s">
        <v>1984</v>
      </c>
      <c r="I191" s="252" t="s">
        <v>2238</v>
      </c>
      <c r="J191" s="252" t="s">
        <v>4303</v>
      </c>
      <c r="L191" s="252" t="s">
        <v>2094</v>
      </c>
      <c r="M191" s="252" t="s">
        <v>2084</v>
      </c>
      <c r="N191" s="252" t="s">
        <v>1983</v>
      </c>
      <c r="O191" s="252" t="s">
        <v>3665</v>
      </c>
      <c r="P191" s="252" t="s">
        <v>2150</v>
      </c>
      <c r="Q191" s="252" t="s">
        <v>2181</v>
      </c>
      <c r="R191" s="252" t="s">
        <v>2084</v>
      </c>
      <c r="T191" s="252" t="s">
        <v>2104</v>
      </c>
      <c r="U191" s="252" t="s">
        <v>3672</v>
      </c>
      <c r="V191" s="252" t="s">
        <v>4304</v>
      </c>
      <c r="W191" s="252" t="s">
        <v>1908</v>
      </c>
      <c r="X191" s="252" t="s">
        <v>3591</v>
      </c>
      <c r="Y191" s="252" t="s">
        <v>1959</v>
      </c>
      <c r="Z191" s="266" t="s">
        <v>2127</v>
      </c>
      <c r="AA191" s="266" t="s">
        <v>2039</v>
      </c>
      <c r="AB191" s="266" t="s">
        <v>2311</v>
      </c>
      <c r="AD191" s="266" t="s">
        <v>2368</v>
      </c>
      <c r="AE191" s="266" t="s">
        <v>1984</v>
      </c>
      <c r="AF191" s="266" t="s">
        <v>2134</v>
      </c>
      <c r="AG191" s="266" t="s">
        <v>4282</v>
      </c>
      <c r="AH191" s="266" t="s">
        <v>4288</v>
      </c>
      <c r="AI191" s="266" t="s">
        <v>3571</v>
      </c>
    </row>
    <row r="192" spans="1:35" x14ac:dyDescent="0.25">
      <c r="A192" s="264" t="str">
        <f>HLOOKUP(Overview!$P$8,$B$1:$AI$1500,192,FALSE)</f>
        <v xml:space="preserve">          10124151</v>
      </c>
      <c r="B192" s="252"/>
      <c r="C192" s="183">
        <v>10000809</v>
      </c>
      <c r="D192" s="287" t="s">
        <v>3684</v>
      </c>
      <c r="E192" s="264" t="s">
        <v>2024</v>
      </c>
      <c r="F192" s="264" t="s">
        <v>2256</v>
      </c>
      <c r="G192" s="264" t="s">
        <v>2150</v>
      </c>
      <c r="I192" s="264" t="s">
        <v>2063</v>
      </c>
      <c r="J192" s="264" t="s">
        <v>2121</v>
      </c>
      <c r="L192" s="264" t="s">
        <v>2134</v>
      </c>
      <c r="M192" s="264" t="s">
        <v>2063</v>
      </c>
      <c r="N192" s="264" t="s">
        <v>2292</v>
      </c>
      <c r="O192" s="264" t="s">
        <v>2137</v>
      </c>
      <c r="P192" s="264" t="s">
        <v>1971</v>
      </c>
      <c r="Q192" s="264" t="s">
        <v>4235</v>
      </c>
      <c r="R192" s="264" t="s">
        <v>2238</v>
      </c>
      <c r="T192" s="264" t="s">
        <v>3569</v>
      </c>
      <c r="U192" s="264" t="s">
        <v>3890</v>
      </c>
      <c r="V192" s="264" t="s">
        <v>2105</v>
      </c>
      <c r="W192" s="264" t="s">
        <v>2039</v>
      </c>
      <c r="X192" s="264" t="s">
        <v>2153</v>
      </c>
      <c r="Y192" s="264" t="s">
        <v>1998</v>
      </c>
      <c r="Z192" s="265" t="s">
        <v>1977</v>
      </c>
      <c r="AA192" s="265" t="s">
        <v>1890</v>
      </c>
      <c r="AB192" s="265" t="s">
        <v>2267</v>
      </c>
      <c r="AD192" s="265" t="s">
        <v>2402</v>
      </c>
      <c r="AE192" s="265" t="s">
        <v>2150</v>
      </c>
      <c r="AF192" s="265" t="s">
        <v>1938</v>
      </c>
      <c r="AG192" s="265" t="s">
        <v>4232</v>
      </c>
      <c r="AH192" s="265" t="s">
        <v>2178</v>
      </c>
      <c r="AI192" s="265" t="s">
        <v>2084</v>
      </c>
    </row>
    <row r="193" spans="1:35" x14ac:dyDescent="0.25">
      <c r="A193" s="264" t="str">
        <f>HLOOKUP(Overview!$P$8,$B$1:$AI$1500,193,FALSE)</f>
        <v xml:space="preserve">          10124152</v>
      </c>
      <c r="B193" s="252"/>
      <c r="C193" s="183">
        <v>10001068</v>
      </c>
      <c r="D193" s="288" t="s">
        <v>3685</v>
      </c>
      <c r="E193" s="252" t="s">
        <v>2080</v>
      </c>
      <c r="F193" s="252" t="s">
        <v>2285</v>
      </c>
      <c r="G193" s="252" t="s">
        <v>1971</v>
      </c>
      <c r="I193" s="252" t="s">
        <v>2094</v>
      </c>
      <c r="J193" s="252" t="s">
        <v>2192</v>
      </c>
      <c r="L193" s="252" t="s">
        <v>3629</v>
      </c>
      <c r="M193" s="252" t="s">
        <v>2094</v>
      </c>
      <c r="N193" s="252" t="s">
        <v>2032</v>
      </c>
      <c r="O193" s="252" t="s">
        <v>2200</v>
      </c>
      <c r="P193" s="252" t="s">
        <v>2160</v>
      </c>
      <c r="Q193" s="252" t="s">
        <v>3627</v>
      </c>
      <c r="R193" s="252" t="s">
        <v>4300</v>
      </c>
      <c r="T193" s="252" t="s">
        <v>3568</v>
      </c>
      <c r="U193" s="252" t="s">
        <v>3871</v>
      </c>
      <c r="V193" s="252" t="s">
        <v>1953</v>
      </c>
      <c r="W193" s="252" t="s">
        <v>1890</v>
      </c>
      <c r="X193" s="252" t="s">
        <v>2064</v>
      </c>
      <c r="Y193" s="252" t="s">
        <v>2049</v>
      </c>
      <c r="Z193" s="266" t="s">
        <v>2157</v>
      </c>
      <c r="AA193" s="266" t="s">
        <v>1934</v>
      </c>
      <c r="AB193" s="266" t="s">
        <v>2388</v>
      </c>
      <c r="AD193" s="266" t="s">
        <v>2267</v>
      </c>
      <c r="AE193" s="266" t="s">
        <v>1971</v>
      </c>
      <c r="AF193" s="266" t="s">
        <v>2029</v>
      </c>
      <c r="AG193" s="266" t="s">
        <v>2140</v>
      </c>
      <c r="AH193" s="266" t="s">
        <v>2156</v>
      </c>
      <c r="AI193" s="266" t="s">
        <v>2238</v>
      </c>
    </row>
    <row r="194" spans="1:35" x14ac:dyDescent="0.25">
      <c r="A194" s="264" t="str">
        <f>HLOOKUP(Overview!$P$8,$B$1:$AI$1500,194,FALSE)</f>
        <v xml:space="preserve">          10126297</v>
      </c>
      <c r="B194" s="252"/>
      <c r="C194" s="183">
        <v>10045978</v>
      </c>
      <c r="D194" s="287" t="s">
        <v>4341</v>
      </c>
      <c r="E194" s="264" t="s">
        <v>4236</v>
      </c>
      <c r="F194" s="264" t="s">
        <v>1908</v>
      </c>
      <c r="G194" s="264" t="s">
        <v>2188</v>
      </c>
      <c r="I194" s="264" t="s">
        <v>2232</v>
      </c>
      <c r="J194" s="264" t="s">
        <v>2115</v>
      </c>
      <c r="L194" s="264" t="s">
        <v>1938</v>
      </c>
      <c r="M194" s="264" t="s">
        <v>2134</v>
      </c>
      <c r="N194" s="264" t="s">
        <v>3571</v>
      </c>
      <c r="O194" s="264" t="s">
        <v>2404</v>
      </c>
      <c r="P194" s="264" t="s">
        <v>2078</v>
      </c>
      <c r="Q194" s="264" t="s">
        <v>2096</v>
      </c>
      <c r="R194" s="264" t="s">
        <v>3629</v>
      </c>
      <c r="T194" s="264" t="s">
        <v>3668</v>
      </c>
      <c r="U194" s="264" t="s">
        <v>3675</v>
      </c>
      <c r="V194" s="264" t="s">
        <v>2109</v>
      </c>
      <c r="W194" s="264" t="s">
        <v>1934</v>
      </c>
      <c r="X194" s="264" t="s">
        <v>2127</v>
      </c>
      <c r="Y194" s="264" t="s">
        <v>3623</v>
      </c>
      <c r="Z194" s="265" t="s">
        <v>1926</v>
      </c>
      <c r="AA194" s="265" t="s">
        <v>1984</v>
      </c>
      <c r="AB194" s="265" t="s">
        <v>2220</v>
      </c>
      <c r="AD194" s="265" t="s">
        <v>2220</v>
      </c>
      <c r="AE194" s="265" t="s">
        <v>2188</v>
      </c>
      <c r="AF194" s="265" t="s">
        <v>3664</v>
      </c>
      <c r="AG194" s="265" t="s">
        <v>2086</v>
      </c>
      <c r="AH194" s="265" t="s">
        <v>2266</v>
      </c>
      <c r="AI194" s="265" t="s">
        <v>2063</v>
      </c>
    </row>
    <row r="195" spans="1:35" x14ac:dyDescent="0.25">
      <c r="A195" s="264" t="str">
        <f>HLOOKUP(Overview!$P$8,$B$1:$AI$1500,195,FALSE)</f>
        <v xml:space="preserve">          10126299</v>
      </c>
      <c r="B195" s="252"/>
      <c r="C195" s="183">
        <v>10105908</v>
      </c>
      <c r="D195" s="288" t="s">
        <v>4338</v>
      </c>
      <c r="E195" s="252" t="s">
        <v>2056</v>
      </c>
      <c r="F195" s="252" t="s">
        <v>2039</v>
      </c>
      <c r="G195" s="252" t="s">
        <v>2411</v>
      </c>
      <c r="I195" s="252" t="s">
        <v>2128</v>
      </c>
      <c r="J195" s="252" t="s">
        <v>4254</v>
      </c>
      <c r="L195" s="252" t="s">
        <v>2029</v>
      </c>
      <c r="M195" s="252" t="s">
        <v>1938</v>
      </c>
      <c r="N195" s="252" t="s">
        <v>2084</v>
      </c>
      <c r="O195" s="252" t="s">
        <v>2272</v>
      </c>
      <c r="P195" s="252" t="s">
        <v>2181</v>
      </c>
      <c r="Q195" s="252" t="s">
        <v>3628</v>
      </c>
      <c r="R195" s="252" t="s">
        <v>1938</v>
      </c>
      <c r="T195" s="252" t="s">
        <v>3669</v>
      </c>
      <c r="U195" s="252" t="s">
        <v>3676</v>
      </c>
      <c r="V195" s="252" t="s">
        <v>2151</v>
      </c>
      <c r="W195" s="252" t="s">
        <v>1984</v>
      </c>
      <c r="X195" s="252" t="s">
        <v>1977</v>
      </c>
      <c r="Y195" s="252" t="s">
        <v>3625</v>
      </c>
      <c r="Z195" s="266" t="s">
        <v>1873</v>
      </c>
      <c r="AA195" s="266" t="s">
        <v>2150</v>
      </c>
      <c r="AB195" s="266" t="s">
        <v>2291</v>
      </c>
      <c r="AD195" s="266" t="s">
        <v>2291</v>
      </c>
      <c r="AE195" s="266" t="s">
        <v>2368</v>
      </c>
      <c r="AF195" s="266" t="s">
        <v>3665</v>
      </c>
      <c r="AG195" s="266" t="s">
        <v>2177</v>
      </c>
      <c r="AH195" s="266" t="s">
        <v>2239</v>
      </c>
      <c r="AI195" s="266" t="s">
        <v>2094</v>
      </c>
    </row>
    <row r="196" spans="1:35" x14ac:dyDescent="0.25">
      <c r="A196" s="264" t="str">
        <f>HLOOKUP(Overview!$P$8,$B$1:$AI$1500,196,FALSE)</f>
        <v xml:space="preserve">          10128281</v>
      </c>
      <c r="B196" s="252"/>
      <c r="C196" s="183">
        <v>10120326</v>
      </c>
      <c r="D196" s="287" t="s">
        <v>4480</v>
      </c>
      <c r="E196" s="264" t="s">
        <v>4217</v>
      </c>
      <c r="F196" s="264" t="s">
        <v>1890</v>
      </c>
      <c r="G196" s="264" t="s">
        <v>2386</v>
      </c>
      <c r="I196" s="264" t="s">
        <v>2247</v>
      </c>
      <c r="J196" s="264" t="s">
        <v>4282</v>
      </c>
      <c r="L196" s="264" t="s">
        <v>3664</v>
      </c>
      <c r="M196" s="264" t="s">
        <v>2029</v>
      </c>
      <c r="N196" s="264" t="s">
        <v>2238</v>
      </c>
      <c r="O196" s="264" t="s">
        <v>2153</v>
      </c>
      <c r="P196" s="264" t="s">
        <v>4235</v>
      </c>
      <c r="Q196" s="264" t="s">
        <v>2124</v>
      </c>
      <c r="R196" s="264" t="s">
        <v>2029</v>
      </c>
      <c r="T196" s="264" t="s">
        <v>3670</v>
      </c>
      <c r="U196" s="264" t="s">
        <v>3677</v>
      </c>
      <c r="V196" s="264" t="s">
        <v>2166</v>
      </c>
      <c r="W196" s="264" t="s">
        <v>1971</v>
      </c>
      <c r="X196" s="264" t="s">
        <v>2157</v>
      </c>
      <c r="Y196" s="264" t="s">
        <v>2372</v>
      </c>
      <c r="Z196" s="265" t="s">
        <v>1940</v>
      </c>
      <c r="AA196" s="265" t="s">
        <v>1971</v>
      </c>
      <c r="AB196" s="265" t="s">
        <v>2273</v>
      </c>
      <c r="AD196" s="265" t="s">
        <v>2319</v>
      </c>
      <c r="AE196" s="265" t="s">
        <v>2414</v>
      </c>
      <c r="AF196" s="265" t="s">
        <v>2137</v>
      </c>
      <c r="AG196" s="265" t="s">
        <v>2256</v>
      </c>
      <c r="AH196" s="265" t="s">
        <v>1931</v>
      </c>
      <c r="AI196" s="265" t="s">
        <v>2232</v>
      </c>
    </row>
    <row r="197" spans="1:35" x14ac:dyDescent="0.25">
      <c r="A197" s="264" t="str">
        <f>HLOOKUP(Overview!$P$8,$B$1:$AI$1500,197,FALSE)</f>
        <v xml:space="preserve">          10132369</v>
      </c>
      <c r="B197" s="252"/>
      <c r="C197" s="183">
        <v>10000891</v>
      </c>
      <c r="D197" s="288" t="s">
        <v>4481</v>
      </c>
      <c r="E197" s="252" t="s">
        <v>1919</v>
      </c>
      <c r="F197" s="252" t="s">
        <v>1934</v>
      </c>
      <c r="G197" s="252" t="s">
        <v>2368</v>
      </c>
      <c r="I197" s="252" t="s">
        <v>2134</v>
      </c>
      <c r="J197" s="252" t="s">
        <v>4232</v>
      </c>
      <c r="L197" s="252" t="s">
        <v>3665</v>
      </c>
      <c r="M197" s="252" t="s">
        <v>3664</v>
      </c>
      <c r="N197" s="252" t="s">
        <v>4300</v>
      </c>
      <c r="O197" s="252" t="s">
        <v>2064</v>
      </c>
      <c r="P197" s="252" t="s">
        <v>2096</v>
      </c>
      <c r="Q197" s="252" t="s">
        <v>2070</v>
      </c>
      <c r="R197" s="252" t="s">
        <v>3664</v>
      </c>
      <c r="T197" s="252" t="s">
        <v>3671</v>
      </c>
      <c r="U197" s="252" t="s">
        <v>2254</v>
      </c>
      <c r="V197" s="252" t="s">
        <v>2135</v>
      </c>
      <c r="W197" s="252" t="s">
        <v>2188</v>
      </c>
      <c r="X197" s="252" t="s">
        <v>1926</v>
      </c>
      <c r="Y197" s="252" t="s">
        <v>2121</v>
      </c>
      <c r="Z197" s="266" t="s">
        <v>2236</v>
      </c>
      <c r="AA197" s="266" t="s">
        <v>2188</v>
      </c>
      <c r="AB197" s="266" t="s">
        <v>2338</v>
      </c>
      <c r="AD197" s="266" t="s">
        <v>2273</v>
      </c>
      <c r="AE197" s="266" t="s">
        <v>2402</v>
      </c>
      <c r="AF197" s="266" t="s">
        <v>2252</v>
      </c>
      <c r="AG197" s="266" t="s">
        <v>2285</v>
      </c>
      <c r="AH197" s="266" t="s">
        <v>1925</v>
      </c>
      <c r="AI197" s="266" t="s">
        <v>2128</v>
      </c>
    </row>
    <row r="198" spans="1:35" x14ac:dyDescent="0.25">
      <c r="A198" s="264" t="str">
        <f>HLOOKUP(Overview!$P$8,$B$1:$AI$1500,198,FALSE)</f>
        <v xml:space="preserve">          10132370</v>
      </c>
      <c r="B198" s="252"/>
      <c r="C198" s="183">
        <v>10105905</v>
      </c>
      <c r="D198" s="287" t="s">
        <v>4482</v>
      </c>
      <c r="E198" s="264" t="s">
        <v>1914</v>
      </c>
      <c r="F198" s="264" t="s">
        <v>1984</v>
      </c>
      <c r="G198" s="264" t="s">
        <v>2414</v>
      </c>
      <c r="I198" s="264" t="s">
        <v>1938</v>
      </c>
      <c r="J198" s="264" t="s">
        <v>2140</v>
      </c>
      <c r="L198" s="264" t="s">
        <v>2137</v>
      </c>
      <c r="M198" s="264" t="s">
        <v>3665</v>
      </c>
      <c r="N198" s="264" t="s">
        <v>2063</v>
      </c>
      <c r="O198" s="264" t="s">
        <v>2127</v>
      </c>
      <c r="P198" s="264" t="s">
        <v>3628</v>
      </c>
      <c r="Q198" s="264" t="s">
        <v>2178</v>
      </c>
      <c r="R198" s="264" t="s">
        <v>3665</v>
      </c>
      <c r="T198" s="264" t="s">
        <v>3672</v>
      </c>
      <c r="U198" s="264" t="s">
        <v>2214</v>
      </c>
      <c r="V198" s="264" t="s">
        <v>2057</v>
      </c>
      <c r="W198" s="264" t="s">
        <v>2368</v>
      </c>
      <c r="X198" s="264" t="s">
        <v>4305</v>
      </c>
      <c r="Y198" s="264" t="s">
        <v>2192</v>
      </c>
      <c r="Z198" s="265" t="s">
        <v>2037</v>
      </c>
      <c r="AA198" s="265" t="s">
        <v>2368</v>
      </c>
      <c r="AB198" s="265" t="s">
        <v>2160</v>
      </c>
      <c r="AD198" s="265" t="s">
        <v>2338</v>
      </c>
      <c r="AE198" s="265" t="s">
        <v>2311</v>
      </c>
      <c r="AF198" s="265" t="s">
        <v>2272</v>
      </c>
      <c r="AG198" s="265" t="s">
        <v>1908</v>
      </c>
      <c r="AH198" s="265" t="s">
        <v>2055</v>
      </c>
      <c r="AI198" s="265" t="s">
        <v>2247</v>
      </c>
    </row>
    <row r="199" spans="1:35" x14ac:dyDescent="0.25">
      <c r="A199" s="264" t="str">
        <f>HLOOKUP(Overview!$P$8,$B$1:$AI$1500,199,FALSE)</f>
        <v xml:space="preserve">          10132776</v>
      </c>
      <c r="B199" s="252"/>
      <c r="C199" s="183">
        <v>10115915</v>
      </c>
      <c r="D199" s="288" t="s">
        <v>4483</v>
      </c>
      <c r="E199" s="252" t="s">
        <v>2142</v>
      </c>
      <c r="F199" s="252" t="s">
        <v>2150</v>
      </c>
      <c r="G199" s="252" t="s">
        <v>2267</v>
      </c>
      <c r="I199" s="252" t="s">
        <v>2029</v>
      </c>
      <c r="J199" s="252" t="s">
        <v>2086</v>
      </c>
      <c r="L199" s="252" t="s">
        <v>2252</v>
      </c>
      <c r="M199" s="252" t="s">
        <v>2137</v>
      </c>
      <c r="N199" s="252" t="s">
        <v>2094</v>
      </c>
      <c r="O199" s="252" t="s">
        <v>1977</v>
      </c>
      <c r="P199" s="252" t="s">
        <v>2124</v>
      </c>
      <c r="Q199" s="252" t="s">
        <v>2239</v>
      </c>
      <c r="R199" s="252" t="s">
        <v>2137</v>
      </c>
      <c r="T199" s="252" t="s">
        <v>3675</v>
      </c>
      <c r="U199" s="252" t="s">
        <v>2234</v>
      </c>
      <c r="V199" s="252" t="s">
        <v>2240</v>
      </c>
      <c r="W199" s="252" t="s">
        <v>2414</v>
      </c>
      <c r="X199" s="252" t="s">
        <v>1873</v>
      </c>
      <c r="Y199" s="252" t="s">
        <v>2115</v>
      </c>
      <c r="Z199" s="266" t="s">
        <v>1960</v>
      </c>
      <c r="AA199" s="266" t="s">
        <v>2414</v>
      </c>
      <c r="AB199" s="266" t="s">
        <v>2078</v>
      </c>
      <c r="AD199" s="266" t="s">
        <v>2160</v>
      </c>
      <c r="AE199" s="266" t="s">
        <v>2267</v>
      </c>
      <c r="AF199" s="266" t="s">
        <v>3591</v>
      </c>
      <c r="AG199" s="266" t="s">
        <v>2039</v>
      </c>
      <c r="AH199" s="266" t="s">
        <v>1983</v>
      </c>
      <c r="AI199" s="266" t="s">
        <v>1938</v>
      </c>
    </row>
    <row r="200" spans="1:35" x14ac:dyDescent="0.25">
      <c r="A200" s="264" t="str">
        <f>HLOOKUP(Overview!$P$8,$B$1:$AI$1500,200,FALSE)</f>
        <v xml:space="preserve">          10132777</v>
      </c>
      <c r="B200" s="252"/>
      <c r="C200" s="183">
        <v>10111508</v>
      </c>
      <c r="D200" s="287" t="s">
        <v>4484</v>
      </c>
      <c r="E200" s="264" t="s">
        <v>1829</v>
      </c>
      <c r="F200" s="264" t="s">
        <v>1971</v>
      </c>
      <c r="G200" s="264" t="s">
        <v>2220</v>
      </c>
      <c r="I200" s="264" t="s">
        <v>3664</v>
      </c>
      <c r="J200" s="264" t="s">
        <v>2177</v>
      </c>
      <c r="L200" s="264" t="s">
        <v>2272</v>
      </c>
      <c r="M200" s="264" t="s">
        <v>2200</v>
      </c>
      <c r="N200" s="264" t="s">
        <v>2134</v>
      </c>
      <c r="O200" s="264" t="s">
        <v>2157</v>
      </c>
      <c r="P200" s="264" t="s">
        <v>2070</v>
      </c>
      <c r="Q200" s="264" t="s">
        <v>1931</v>
      </c>
      <c r="R200" s="264" t="s">
        <v>2404</v>
      </c>
      <c r="T200" s="264" t="s">
        <v>3676</v>
      </c>
      <c r="U200" s="264" t="s">
        <v>2221</v>
      </c>
      <c r="V200" s="264" t="s">
        <v>1927</v>
      </c>
      <c r="W200" s="264" t="s">
        <v>2220</v>
      </c>
      <c r="X200" s="264" t="s">
        <v>1940</v>
      </c>
      <c r="Y200" s="264" t="s">
        <v>2364</v>
      </c>
      <c r="Z200" s="265" t="s">
        <v>2194</v>
      </c>
      <c r="AA200" s="265" t="s">
        <v>2402</v>
      </c>
      <c r="AB200" s="265" t="s">
        <v>2181</v>
      </c>
      <c r="AD200" s="265" t="s">
        <v>2078</v>
      </c>
      <c r="AE200" s="265" t="s">
        <v>2220</v>
      </c>
      <c r="AF200" s="265" t="s">
        <v>4306</v>
      </c>
      <c r="AG200" s="265" t="s">
        <v>1890</v>
      </c>
      <c r="AH200" s="265" t="s">
        <v>2032</v>
      </c>
      <c r="AI200" s="265" t="s">
        <v>2029</v>
      </c>
    </row>
    <row r="201" spans="1:35" x14ac:dyDescent="0.25">
      <c r="A201" s="264" t="str">
        <f>HLOOKUP(Overview!$P$8,$B$1:$AI$1500,201,FALSE)</f>
        <v xml:space="preserve">          10079084</v>
      </c>
      <c r="B201" s="252"/>
      <c r="C201" s="183">
        <v>10107362</v>
      </c>
      <c r="D201" s="288" t="s">
        <v>2121</v>
      </c>
      <c r="E201" s="252" t="s">
        <v>1979</v>
      </c>
      <c r="F201" s="252" t="s">
        <v>2188</v>
      </c>
      <c r="G201" s="252" t="s">
        <v>2291</v>
      </c>
      <c r="I201" s="252" t="s">
        <v>3665</v>
      </c>
      <c r="J201" s="252" t="s">
        <v>2256</v>
      </c>
      <c r="L201" s="252" t="s">
        <v>2153</v>
      </c>
      <c r="M201" s="252" t="s">
        <v>2252</v>
      </c>
      <c r="N201" s="252" t="s">
        <v>1938</v>
      </c>
      <c r="O201" s="252" t="s">
        <v>1926</v>
      </c>
      <c r="P201" s="252" t="s">
        <v>4281</v>
      </c>
      <c r="Q201" s="252" t="s">
        <v>1925</v>
      </c>
      <c r="R201" s="252" t="s">
        <v>2272</v>
      </c>
      <c r="T201" s="252" t="s">
        <v>3677</v>
      </c>
      <c r="U201" s="252" t="s">
        <v>4307</v>
      </c>
      <c r="V201" s="252" t="s">
        <v>2146</v>
      </c>
      <c r="W201" s="252" t="s">
        <v>2291</v>
      </c>
      <c r="X201" s="252" t="s">
        <v>2236</v>
      </c>
      <c r="Y201" s="252" t="s">
        <v>2140</v>
      </c>
      <c r="Z201" s="266" t="s">
        <v>4304</v>
      </c>
      <c r="AA201" s="266" t="s">
        <v>2311</v>
      </c>
      <c r="AB201" s="266" t="s">
        <v>3627</v>
      </c>
      <c r="AD201" s="266" t="s">
        <v>2181</v>
      </c>
      <c r="AE201" s="266" t="s">
        <v>2291</v>
      </c>
      <c r="AF201" s="266" t="s">
        <v>2153</v>
      </c>
      <c r="AG201" s="266" t="s">
        <v>1934</v>
      </c>
      <c r="AH201" s="266" t="s">
        <v>3571</v>
      </c>
      <c r="AI201" s="266" t="s">
        <v>3664</v>
      </c>
    </row>
    <row r="202" spans="1:35" x14ac:dyDescent="0.25">
      <c r="A202" s="264" t="str">
        <f>HLOOKUP(Overview!$P$8,$B$1:$AI$1500,202,FALSE)</f>
        <v xml:space="preserve">          10079085</v>
      </c>
      <c r="B202" s="252"/>
      <c r="C202" s="183">
        <v>10099691</v>
      </c>
      <c r="D202" s="287" t="s">
        <v>2192</v>
      </c>
      <c r="E202" s="264" t="s">
        <v>2082</v>
      </c>
      <c r="F202" s="264" t="s">
        <v>2368</v>
      </c>
      <c r="G202" s="264" t="s">
        <v>2319</v>
      </c>
      <c r="I202" s="264" t="s">
        <v>2137</v>
      </c>
      <c r="J202" s="264" t="s">
        <v>2285</v>
      </c>
      <c r="L202" s="264" t="s">
        <v>2064</v>
      </c>
      <c r="M202" s="264" t="s">
        <v>2272</v>
      </c>
      <c r="N202" s="264" t="s">
        <v>2029</v>
      </c>
      <c r="O202" s="264" t="s">
        <v>1873</v>
      </c>
      <c r="P202" s="264" t="s">
        <v>4286</v>
      </c>
      <c r="Q202" s="264" t="s">
        <v>2055</v>
      </c>
      <c r="R202" s="264" t="s">
        <v>2153</v>
      </c>
      <c r="T202" s="264" t="s">
        <v>2254</v>
      </c>
      <c r="U202" s="264" t="s">
        <v>4308</v>
      </c>
      <c r="V202" s="264" t="s">
        <v>1963</v>
      </c>
      <c r="W202" s="264" t="s">
        <v>2319</v>
      </c>
      <c r="X202" s="264" t="s">
        <v>2037</v>
      </c>
      <c r="Y202" s="264" t="s">
        <v>2086</v>
      </c>
      <c r="Z202" s="265" t="s">
        <v>2105</v>
      </c>
      <c r="AA202" s="265" t="s">
        <v>2220</v>
      </c>
      <c r="AB202" s="265" t="s">
        <v>2096</v>
      </c>
      <c r="AD202" s="265" t="s">
        <v>3627</v>
      </c>
      <c r="AE202" s="265" t="s">
        <v>2319</v>
      </c>
      <c r="AF202" s="265" t="s">
        <v>2064</v>
      </c>
      <c r="AG202" s="265" t="s">
        <v>1971</v>
      </c>
      <c r="AH202" s="265" t="s">
        <v>2084</v>
      </c>
      <c r="AI202" s="265" t="s">
        <v>3665</v>
      </c>
    </row>
    <row r="203" spans="1:35" x14ac:dyDescent="0.25">
      <c r="A203" s="264" t="str">
        <f>HLOOKUP(Overview!$P$8,$B$1:$AI$1500,203,FALSE)</f>
        <v xml:space="preserve">          10079086</v>
      </c>
      <c r="B203" s="252"/>
      <c r="C203" s="183">
        <v>10000906</v>
      </c>
      <c r="D203" s="288" t="s">
        <v>2115</v>
      </c>
      <c r="E203" s="252" t="s">
        <v>2061</v>
      </c>
      <c r="F203" s="252" t="s">
        <v>2414</v>
      </c>
      <c r="G203" s="252" t="s">
        <v>2273</v>
      </c>
      <c r="I203" s="252" t="s">
        <v>2228</v>
      </c>
      <c r="J203" s="252" t="s">
        <v>2416</v>
      </c>
      <c r="L203" s="252" t="s">
        <v>2127</v>
      </c>
      <c r="M203" s="252" t="s">
        <v>3591</v>
      </c>
      <c r="N203" s="252" t="s">
        <v>3664</v>
      </c>
      <c r="O203" s="252" t="s">
        <v>1940</v>
      </c>
      <c r="P203" s="252" t="s">
        <v>4287</v>
      </c>
      <c r="Q203" s="252" t="s">
        <v>1983</v>
      </c>
      <c r="R203" s="252" t="s">
        <v>2064</v>
      </c>
      <c r="T203" s="252" t="s">
        <v>2214</v>
      </c>
      <c r="U203" s="252" t="s">
        <v>4195</v>
      </c>
      <c r="V203" s="252" t="s">
        <v>2085</v>
      </c>
      <c r="W203" s="252" t="s">
        <v>2273</v>
      </c>
      <c r="X203" s="252" t="s">
        <v>1960</v>
      </c>
      <c r="Y203" s="252" t="s">
        <v>2177</v>
      </c>
      <c r="Z203" s="266" t="s">
        <v>1953</v>
      </c>
      <c r="AA203" s="266" t="s">
        <v>2291</v>
      </c>
      <c r="AB203" s="266" t="s">
        <v>2378</v>
      </c>
      <c r="AD203" s="266" t="s">
        <v>2096</v>
      </c>
      <c r="AE203" s="266" t="s">
        <v>2273</v>
      </c>
      <c r="AF203" s="266" t="s">
        <v>2127</v>
      </c>
      <c r="AG203" s="266" t="s">
        <v>2188</v>
      </c>
      <c r="AH203" s="266" t="s">
        <v>2238</v>
      </c>
      <c r="AI203" s="266" t="s">
        <v>2137</v>
      </c>
    </row>
    <row r="204" spans="1:35" x14ac:dyDescent="0.25">
      <c r="A204" s="264" t="str">
        <f>HLOOKUP(Overview!$P$8,$B$1:$AI$1500,204,FALSE)</f>
        <v xml:space="preserve">          10083935</v>
      </c>
      <c r="B204" s="252"/>
      <c r="C204" s="183">
        <v>10099689</v>
      </c>
      <c r="D204" s="287" t="s">
        <v>2376</v>
      </c>
      <c r="E204" s="264" t="s">
        <v>2022</v>
      </c>
      <c r="F204" s="264" t="s">
        <v>2402</v>
      </c>
      <c r="G204" s="264" t="s">
        <v>2338</v>
      </c>
      <c r="I204" s="264" t="s">
        <v>2200</v>
      </c>
      <c r="J204" s="264" t="s">
        <v>3626</v>
      </c>
      <c r="L204" s="264" t="s">
        <v>1977</v>
      </c>
      <c r="M204" s="264" t="s">
        <v>2153</v>
      </c>
      <c r="N204" s="264" t="s">
        <v>3665</v>
      </c>
      <c r="O204" s="264" t="s">
        <v>2236</v>
      </c>
      <c r="P204" s="264" t="s">
        <v>2178</v>
      </c>
      <c r="Q204" s="264" t="s">
        <v>2292</v>
      </c>
      <c r="R204" s="264" t="s">
        <v>2127</v>
      </c>
      <c r="T204" s="264" t="s">
        <v>2234</v>
      </c>
      <c r="U204" s="264" t="s">
        <v>4197</v>
      </c>
      <c r="V204" s="264" t="s">
        <v>2202</v>
      </c>
      <c r="W204" s="264" t="s">
        <v>2338</v>
      </c>
      <c r="X204" s="264" t="s">
        <v>2194</v>
      </c>
      <c r="Y204" s="264" t="s">
        <v>2256</v>
      </c>
      <c r="Z204" s="265" t="s">
        <v>2109</v>
      </c>
      <c r="AA204" s="265" t="s">
        <v>2319</v>
      </c>
      <c r="AB204" s="265" t="s">
        <v>2384</v>
      </c>
      <c r="AD204" s="265" t="s">
        <v>3628</v>
      </c>
      <c r="AE204" s="265" t="s">
        <v>2338</v>
      </c>
      <c r="AF204" s="265" t="s">
        <v>1977</v>
      </c>
      <c r="AG204" s="265" t="s">
        <v>2414</v>
      </c>
      <c r="AH204" s="265" t="s">
        <v>2063</v>
      </c>
      <c r="AI204" s="265" t="s">
        <v>2200</v>
      </c>
    </row>
    <row r="205" spans="1:35" x14ac:dyDescent="0.25">
      <c r="A205" s="264" t="str">
        <f>HLOOKUP(Overview!$P$8,$B$1:$AI$1500,205,FALSE)</f>
        <v xml:space="preserve">          10084024</v>
      </c>
      <c r="B205" s="252"/>
      <c r="C205" s="183">
        <v>10000300</v>
      </c>
      <c r="D205" s="288" t="s">
        <v>2177</v>
      </c>
      <c r="E205" s="252" t="s">
        <v>2171</v>
      </c>
      <c r="F205" s="252" t="s">
        <v>2311</v>
      </c>
      <c r="G205" s="252" t="s">
        <v>2160</v>
      </c>
      <c r="I205" s="252" t="s">
        <v>2404</v>
      </c>
      <c r="J205" s="252" t="s">
        <v>1908</v>
      </c>
      <c r="L205" s="252" t="s">
        <v>2157</v>
      </c>
      <c r="M205" s="252" t="s">
        <v>2064</v>
      </c>
      <c r="N205" s="252" t="s">
        <v>2137</v>
      </c>
      <c r="O205" s="252" t="s">
        <v>2037</v>
      </c>
      <c r="P205" s="252" t="s">
        <v>2156</v>
      </c>
      <c r="Q205" s="252" t="s">
        <v>3571</v>
      </c>
      <c r="R205" s="252" t="s">
        <v>1977</v>
      </c>
      <c r="T205" s="252" t="s">
        <v>2334</v>
      </c>
      <c r="U205" s="252" t="s">
        <v>4199</v>
      </c>
      <c r="V205" s="252" t="s">
        <v>3630</v>
      </c>
      <c r="W205" s="252" t="s">
        <v>2160</v>
      </c>
      <c r="X205" s="252" t="s">
        <v>4304</v>
      </c>
      <c r="Y205" s="252" t="s">
        <v>2285</v>
      </c>
      <c r="Z205" s="266" t="s">
        <v>2151</v>
      </c>
      <c r="AA205" s="266" t="s">
        <v>2273</v>
      </c>
      <c r="AB205" s="266" t="s">
        <v>3628</v>
      </c>
      <c r="AD205" s="266" t="s">
        <v>2124</v>
      </c>
      <c r="AE205" s="266" t="s">
        <v>2160</v>
      </c>
      <c r="AF205" s="266" t="s">
        <v>2157</v>
      </c>
      <c r="AG205" s="266" t="s">
        <v>2220</v>
      </c>
      <c r="AH205" s="266" t="s">
        <v>2094</v>
      </c>
      <c r="AI205" s="266" t="s">
        <v>2404</v>
      </c>
    </row>
    <row r="206" spans="1:35" x14ac:dyDescent="0.25">
      <c r="A206" s="264" t="str">
        <f>HLOOKUP(Overview!$P$8,$B$1:$AI$1500,206,FALSE)</f>
        <v xml:space="preserve">          10084025</v>
      </c>
      <c r="B206" s="252"/>
      <c r="C206" s="183">
        <v>10099694</v>
      </c>
      <c r="D206" s="287" t="s">
        <v>2256</v>
      </c>
      <c r="E206" s="264" t="s">
        <v>4238</v>
      </c>
      <c r="F206" s="264" t="s">
        <v>2267</v>
      </c>
      <c r="G206" s="264" t="s">
        <v>2078</v>
      </c>
      <c r="I206" s="264" t="s">
        <v>2252</v>
      </c>
      <c r="J206" s="264" t="s">
        <v>2039</v>
      </c>
      <c r="L206" s="264" t="s">
        <v>1873</v>
      </c>
      <c r="M206" s="264" t="s">
        <v>4309</v>
      </c>
      <c r="N206" s="264" t="s">
        <v>2228</v>
      </c>
      <c r="O206" s="264" t="s">
        <v>1960</v>
      </c>
      <c r="P206" s="264" t="s">
        <v>2266</v>
      </c>
      <c r="Q206" s="264" t="s">
        <v>2084</v>
      </c>
      <c r="R206" s="264" t="s">
        <v>2157</v>
      </c>
      <c r="T206" s="264" t="s">
        <v>2221</v>
      </c>
      <c r="U206" s="264" t="s">
        <v>4269</v>
      </c>
      <c r="V206" s="264" t="s">
        <v>2104</v>
      </c>
      <c r="W206" s="264" t="s">
        <v>2078</v>
      </c>
      <c r="X206" s="264" t="s">
        <v>2105</v>
      </c>
      <c r="Y206" s="264" t="s">
        <v>2416</v>
      </c>
      <c r="Z206" s="265" t="s">
        <v>2166</v>
      </c>
      <c r="AA206" s="265" t="s">
        <v>2338</v>
      </c>
      <c r="AB206" s="265" t="s">
        <v>2124</v>
      </c>
      <c r="AD206" s="265" t="s">
        <v>2070</v>
      </c>
      <c r="AE206" s="265" t="s">
        <v>2078</v>
      </c>
      <c r="AF206" s="265" t="s">
        <v>1926</v>
      </c>
      <c r="AG206" s="265" t="s">
        <v>2291</v>
      </c>
      <c r="AH206" s="265" t="s">
        <v>2232</v>
      </c>
      <c r="AI206" s="265" t="s">
        <v>2252</v>
      </c>
    </row>
    <row r="207" spans="1:35" x14ac:dyDescent="0.25">
      <c r="A207" s="264" t="str">
        <f>HLOOKUP(Overview!$P$8,$B$1:$AI$1500,207,FALSE)</f>
        <v xml:space="preserve">          10084026</v>
      </c>
      <c r="B207" s="252"/>
      <c r="C207" s="183">
        <v>10000903</v>
      </c>
      <c r="D207" s="288" t="s">
        <v>2285</v>
      </c>
      <c r="E207" s="252" t="s">
        <v>1943</v>
      </c>
      <c r="F207" s="252" t="s">
        <v>2220</v>
      </c>
      <c r="G207" s="252" t="s">
        <v>2181</v>
      </c>
      <c r="I207" s="252" t="s">
        <v>2272</v>
      </c>
      <c r="J207" s="252" t="s">
        <v>1890</v>
      </c>
      <c r="L207" s="252" t="s">
        <v>1940</v>
      </c>
      <c r="M207" s="252" t="s">
        <v>2127</v>
      </c>
      <c r="N207" s="252" t="s">
        <v>2200</v>
      </c>
      <c r="O207" s="252" t="s">
        <v>2194</v>
      </c>
      <c r="P207" s="252" t="s">
        <v>2239</v>
      </c>
      <c r="Q207" s="252" t="s">
        <v>2238</v>
      </c>
      <c r="R207" s="252" t="s">
        <v>1873</v>
      </c>
      <c r="T207" s="252" t="s">
        <v>2313</v>
      </c>
      <c r="U207" s="252" t="s">
        <v>4260</v>
      </c>
      <c r="V207" s="252" t="s">
        <v>1894</v>
      </c>
      <c r="W207" s="252" t="s">
        <v>2181</v>
      </c>
      <c r="X207" s="252" t="s">
        <v>1953</v>
      </c>
      <c r="Y207" s="252" t="s">
        <v>3626</v>
      </c>
      <c r="Z207" s="266" t="s">
        <v>2135</v>
      </c>
      <c r="AA207" s="266" t="s">
        <v>2160</v>
      </c>
      <c r="AB207" s="266" t="s">
        <v>2070</v>
      </c>
      <c r="AD207" s="266" t="s">
        <v>2418</v>
      </c>
      <c r="AE207" s="266" t="s">
        <v>2181</v>
      </c>
      <c r="AF207" s="266" t="s">
        <v>1873</v>
      </c>
      <c r="AG207" s="266" t="s">
        <v>2319</v>
      </c>
      <c r="AH207" s="266" t="s">
        <v>2128</v>
      </c>
      <c r="AI207" s="266" t="s">
        <v>2272</v>
      </c>
    </row>
    <row r="208" spans="1:35" x14ac:dyDescent="0.25">
      <c r="A208" s="264" t="str">
        <f>HLOOKUP(Overview!$P$8,$B$1:$AI$1500,208,FALSE)</f>
        <v xml:space="preserve">          10099465</v>
      </c>
      <c r="B208" s="252"/>
      <c r="C208" s="183">
        <v>10099690</v>
      </c>
      <c r="D208" s="287" t="s">
        <v>2156</v>
      </c>
      <c r="E208" s="264" t="s">
        <v>2007</v>
      </c>
      <c r="F208" s="264" t="s">
        <v>2291</v>
      </c>
      <c r="G208" s="264" t="s">
        <v>3627</v>
      </c>
      <c r="I208" s="264" t="s">
        <v>3591</v>
      </c>
      <c r="J208" s="264" t="s">
        <v>1934</v>
      </c>
      <c r="L208" s="264" t="s">
        <v>2236</v>
      </c>
      <c r="M208" s="264" t="s">
        <v>1977</v>
      </c>
      <c r="N208" s="264" t="s">
        <v>2252</v>
      </c>
      <c r="O208" s="264" t="s">
        <v>2105</v>
      </c>
      <c r="P208" s="264" t="s">
        <v>1931</v>
      </c>
      <c r="Q208" s="264" t="s">
        <v>4300</v>
      </c>
      <c r="R208" s="264" t="s">
        <v>1940</v>
      </c>
      <c r="T208" s="264" t="s">
        <v>4310</v>
      </c>
      <c r="U208" s="264" t="s">
        <v>4261</v>
      </c>
      <c r="V208" s="264" t="s">
        <v>2295</v>
      </c>
      <c r="W208" s="264" t="s">
        <v>3627</v>
      </c>
      <c r="X208" s="264" t="s">
        <v>2109</v>
      </c>
      <c r="Y208" s="264" t="s">
        <v>1908</v>
      </c>
      <c r="Z208" s="265" t="s">
        <v>2057</v>
      </c>
      <c r="AA208" s="265" t="s">
        <v>2078</v>
      </c>
      <c r="AB208" s="265" t="s">
        <v>4281</v>
      </c>
      <c r="AD208" s="265" t="s">
        <v>4281</v>
      </c>
      <c r="AE208" s="265" t="s">
        <v>3627</v>
      </c>
      <c r="AF208" s="265" t="s">
        <v>1940</v>
      </c>
      <c r="AG208" s="265" t="s">
        <v>2273</v>
      </c>
      <c r="AH208" s="265" t="s">
        <v>2247</v>
      </c>
      <c r="AI208" s="265" t="s">
        <v>3591</v>
      </c>
    </row>
    <row r="209" spans="1:35" x14ac:dyDescent="0.25">
      <c r="A209" s="264" t="str">
        <f>HLOOKUP(Overview!$P$8,$B$1:$AI$1500,209,FALSE)</f>
        <v xml:space="preserve">          10099477</v>
      </c>
      <c r="B209" s="252"/>
      <c r="C209" s="183">
        <v>10107361</v>
      </c>
      <c r="D209" s="288" t="s">
        <v>1931</v>
      </c>
      <c r="E209" s="252" t="s">
        <v>1916</v>
      </c>
      <c r="F209" s="252" t="s">
        <v>2319</v>
      </c>
      <c r="G209" s="252" t="s">
        <v>2096</v>
      </c>
      <c r="I209" s="252" t="s">
        <v>2153</v>
      </c>
      <c r="J209" s="252" t="s">
        <v>1984</v>
      </c>
      <c r="L209" s="252" t="s">
        <v>2037</v>
      </c>
      <c r="M209" s="252" t="s">
        <v>2157</v>
      </c>
      <c r="N209" s="252" t="s">
        <v>2272</v>
      </c>
      <c r="O209" s="252" t="s">
        <v>1953</v>
      </c>
      <c r="P209" s="252" t="s">
        <v>1925</v>
      </c>
      <c r="Q209" s="252" t="s">
        <v>2063</v>
      </c>
      <c r="R209" s="252" t="s">
        <v>4302</v>
      </c>
      <c r="T209" s="252" t="s">
        <v>4195</v>
      </c>
      <c r="U209" s="252" t="s">
        <v>4262</v>
      </c>
      <c r="V209" s="252" t="s">
        <v>2321</v>
      </c>
      <c r="W209" s="252" t="s">
        <v>2096</v>
      </c>
      <c r="X209" s="252" t="s">
        <v>2151</v>
      </c>
      <c r="Y209" s="252" t="s">
        <v>2039</v>
      </c>
      <c r="Z209" s="266" t="s">
        <v>2240</v>
      </c>
      <c r="AA209" s="266" t="s">
        <v>2181</v>
      </c>
      <c r="AB209" s="266" t="s">
        <v>4286</v>
      </c>
      <c r="AD209" s="266" t="s">
        <v>4286</v>
      </c>
      <c r="AE209" s="266" t="s">
        <v>2096</v>
      </c>
      <c r="AF209" s="266" t="s">
        <v>2236</v>
      </c>
      <c r="AG209" s="266" t="s">
        <v>2338</v>
      </c>
      <c r="AH209" s="266" t="s">
        <v>2134</v>
      </c>
      <c r="AI209" s="266" t="s">
        <v>2153</v>
      </c>
    </row>
    <row r="210" spans="1:35" x14ac:dyDescent="0.25">
      <c r="A210" s="264" t="str">
        <f>HLOOKUP(Overview!$P$8,$B$1:$AI$1500,210,FALSE)</f>
        <v xml:space="preserve">          10099480</v>
      </c>
      <c r="B210" s="252"/>
      <c r="C210" s="183">
        <v>10006446</v>
      </c>
      <c r="D210" s="287" t="s">
        <v>1925</v>
      </c>
      <c r="E210" s="264" t="s">
        <v>1897</v>
      </c>
      <c r="F210" s="264" t="s">
        <v>2273</v>
      </c>
      <c r="G210" s="264" t="s">
        <v>2378</v>
      </c>
      <c r="I210" s="264" t="s">
        <v>2064</v>
      </c>
      <c r="J210" s="264" t="s">
        <v>2150</v>
      </c>
      <c r="L210" s="264" t="s">
        <v>1960</v>
      </c>
      <c r="M210" s="264" t="s">
        <v>1926</v>
      </c>
      <c r="N210" s="264" t="s">
        <v>2153</v>
      </c>
      <c r="O210" s="264" t="s">
        <v>2109</v>
      </c>
      <c r="P210" s="264" t="s">
        <v>2055</v>
      </c>
      <c r="Q210" s="264" t="s">
        <v>2094</v>
      </c>
      <c r="R210" s="264" t="s">
        <v>2236</v>
      </c>
      <c r="T210" s="264" t="s">
        <v>4197</v>
      </c>
      <c r="U210" s="264" t="s">
        <v>4263</v>
      </c>
      <c r="V210" s="264" t="s">
        <v>2333</v>
      </c>
      <c r="W210" s="264" t="s">
        <v>2378</v>
      </c>
      <c r="X210" s="264" t="s">
        <v>2166</v>
      </c>
      <c r="Y210" s="264" t="s">
        <v>1890</v>
      </c>
      <c r="Z210" s="265" t="s">
        <v>1927</v>
      </c>
      <c r="AA210" s="265" t="s">
        <v>3627</v>
      </c>
      <c r="AB210" s="265" t="s">
        <v>4295</v>
      </c>
      <c r="AD210" s="265" t="s">
        <v>4295</v>
      </c>
      <c r="AE210" s="265" t="s">
        <v>2378</v>
      </c>
      <c r="AF210" s="265" t="s">
        <v>2037</v>
      </c>
      <c r="AG210" s="265" t="s">
        <v>2160</v>
      </c>
      <c r="AH210" s="265" t="s">
        <v>1938</v>
      </c>
      <c r="AI210" s="265" t="s">
        <v>2064</v>
      </c>
    </row>
    <row r="211" spans="1:35" x14ac:dyDescent="0.25">
      <c r="A211" s="264" t="str">
        <f>HLOOKUP(Overview!$P$8,$B$1:$AI$1500,211,FALSE)</f>
        <v xml:space="preserve">          10099481</v>
      </c>
      <c r="B211" s="252"/>
      <c r="C211" s="183">
        <v>10099692</v>
      </c>
      <c r="D211" s="288" t="s">
        <v>2055</v>
      </c>
      <c r="E211" s="252" t="s">
        <v>2000</v>
      </c>
      <c r="F211" s="252" t="s">
        <v>2338</v>
      </c>
      <c r="G211" s="252" t="s">
        <v>3628</v>
      </c>
      <c r="I211" s="252" t="s">
        <v>2127</v>
      </c>
      <c r="J211" s="252" t="s">
        <v>1971</v>
      </c>
      <c r="L211" s="252" t="s">
        <v>4311</v>
      </c>
      <c r="M211" s="252" t="s">
        <v>1873</v>
      </c>
      <c r="N211" s="252" t="s">
        <v>2064</v>
      </c>
      <c r="O211" s="252" t="s">
        <v>2151</v>
      </c>
      <c r="P211" s="252" t="s">
        <v>1983</v>
      </c>
      <c r="Q211" s="252" t="s">
        <v>2134</v>
      </c>
      <c r="R211" s="252" t="s">
        <v>2037</v>
      </c>
      <c r="T211" s="252" t="s">
        <v>4267</v>
      </c>
      <c r="U211" s="252" t="s">
        <v>4271</v>
      </c>
      <c r="V211" s="252" t="s">
        <v>3569</v>
      </c>
      <c r="W211" s="252" t="s">
        <v>3628</v>
      </c>
      <c r="X211" s="252" t="s">
        <v>2135</v>
      </c>
      <c r="Y211" s="252" t="s">
        <v>1934</v>
      </c>
      <c r="Z211" s="266" t="s">
        <v>2146</v>
      </c>
      <c r="AA211" s="266" t="s">
        <v>2096</v>
      </c>
      <c r="AB211" s="266" t="s">
        <v>4287</v>
      </c>
      <c r="AD211" s="266" t="s">
        <v>4287</v>
      </c>
      <c r="AE211" s="266" t="s">
        <v>2382</v>
      </c>
      <c r="AF211" s="266" t="s">
        <v>1960</v>
      </c>
      <c r="AG211" s="266" t="s">
        <v>2078</v>
      </c>
      <c r="AH211" s="266" t="s">
        <v>2029</v>
      </c>
      <c r="AI211" s="266" t="s">
        <v>2127</v>
      </c>
    </row>
    <row r="212" spans="1:35" x14ac:dyDescent="0.25">
      <c r="A212" s="264" t="str">
        <f>HLOOKUP(Overview!$P$8,$B$1:$AI$1500,212,FALSE)</f>
        <v xml:space="preserve">          10099485</v>
      </c>
      <c r="B212" s="252"/>
      <c r="C212" s="183">
        <v>10099693</v>
      </c>
      <c r="D212" s="287" t="s">
        <v>1983</v>
      </c>
      <c r="E212" s="264" t="s">
        <v>1996</v>
      </c>
      <c r="F212" s="264" t="s">
        <v>2160</v>
      </c>
      <c r="G212" s="264" t="s">
        <v>2124</v>
      </c>
      <c r="I212" s="264" t="s">
        <v>1977</v>
      </c>
      <c r="J212" s="264" t="s">
        <v>2188</v>
      </c>
      <c r="L212" s="264" t="s">
        <v>2194</v>
      </c>
      <c r="M212" s="264" t="s">
        <v>1940</v>
      </c>
      <c r="N212" s="264" t="s">
        <v>2127</v>
      </c>
      <c r="O212" s="264" t="s">
        <v>2166</v>
      </c>
      <c r="P212" s="264" t="s">
        <v>2292</v>
      </c>
      <c r="Q212" s="264" t="s">
        <v>3629</v>
      </c>
      <c r="R212" s="264" t="s">
        <v>1960</v>
      </c>
      <c r="T212" s="264" t="s">
        <v>4199</v>
      </c>
      <c r="U212" s="264" t="s">
        <v>4278</v>
      </c>
      <c r="V212" s="264" t="s">
        <v>3568</v>
      </c>
      <c r="W212" s="264" t="s">
        <v>2124</v>
      </c>
      <c r="X212" s="264" t="s">
        <v>2057</v>
      </c>
      <c r="Y212" s="264" t="s">
        <v>1984</v>
      </c>
      <c r="Z212" s="265" t="s">
        <v>1963</v>
      </c>
      <c r="AA212" s="265" t="s">
        <v>2378</v>
      </c>
      <c r="AB212" s="265" t="s">
        <v>4288</v>
      </c>
      <c r="AD212" s="265" t="s">
        <v>4288</v>
      </c>
      <c r="AE212" s="265" t="s">
        <v>2124</v>
      </c>
      <c r="AF212" s="265" t="s">
        <v>2194</v>
      </c>
      <c r="AG212" s="265" t="s">
        <v>2181</v>
      </c>
      <c r="AH212" s="265" t="s">
        <v>3664</v>
      </c>
      <c r="AI212" s="265" t="s">
        <v>1977</v>
      </c>
    </row>
    <row r="213" spans="1:35" x14ac:dyDescent="0.25">
      <c r="A213" s="264" t="str">
        <f>HLOOKUP(Overview!$P$8,$B$1:$AI$1500,213,FALSE)</f>
        <v xml:space="preserve">          10099489</v>
      </c>
      <c r="B213" s="252"/>
      <c r="C213" s="183">
        <v>10114341</v>
      </c>
      <c r="D213" s="288" t="s">
        <v>4301</v>
      </c>
      <c r="E213" s="252" t="s">
        <v>3545</v>
      </c>
      <c r="F213" s="252" t="s">
        <v>2078</v>
      </c>
      <c r="G213" s="252" t="s">
        <v>2070</v>
      </c>
      <c r="I213" s="252" t="s">
        <v>2157</v>
      </c>
      <c r="J213" s="252" t="s">
        <v>2368</v>
      </c>
      <c r="L213" s="252" t="s">
        <v>2105</v>
      </c>
      <c r="M213" s="252" t="s">
        <v>2236</v>
      </c>
      <c r="N213" s="252" t="s">
        <v>1977</v>
      </c>
      <c r="O213" s="252" t="s">
        <v>2135</v>
      </c>
      <c r="P213" s="252" t="s">
        <v>2032</v>
      </c>
      <c r="Q213" s="252" t="s">
        <v>1938</v>
      </c>
      <c r="R213" s="252" t="s">
        <v>2194</v>
      </c>
      <c r="T213" s="252" t="s">
        <v>4260</v>
      </c>
      <c r="U213" s="252" t="s">
        <v>4272</v>
      </c>
      <c r="V213" s="252" t="s">
        <v>2077</v>
      </c>
      <c r="W213" s="252" t="s">
        <v>2070</v>
      </c>
      <c r="X213" s="252" t="s">
        <v>1961</v>
      </c>
      <c r="Y213" s="252" t="s">
        <v>2150</v>
      </c>
      <c r="Z213" s="266" t="s">
        <v>2085</v>
      </c>
      <c r="AA213" s="266" t="s">
        <v>3628</v>
      </c>
      <c r="AB213" s="266" t="s">
        <v>2178</v>
      </c>
      <c r="AD213" s="266" t="s">
        <v>2178</v>
      </c>
      <c r="AE213" s="266" t="s">
        <v>2070</v>
      </c>
      <c r="AF213" s="266" t="s">
        <v>4304</v>
      </c>
      <c r="AG213" s="266" t="s">
        <v>3627</v>
      </c>
      <c r="AH213" s="266" t="s">
        <v>3665</v>
      </c>
      <c r="AI213" s="266" t="s">
        <v>2157</v>
      </c>
    </row>
    <row r="214" spans="1:35" x14ac:dyDescent="0.25">
      <c r="A214" s="264" t="str">
        <f>HLOOKUP(Overview!$P$8,$B$1:$AI$1500,214,FALSE)</f>
        <v xml:space="preserve">          10099490</v>
      </c>
      <c r="B214" s="252"/>
      <c r="C214" s="183">
        <v>10000808</v>
      </c>
      <c r="D214" s="287" t="s">
        <v>2292</v>
      </c>
      <c r="E214" s="264" t="s">
        <v>3557</v>
      </c>
      <c r="F214" s="264" t="s">
        <v>2181</v>
      </c>
      <c r="G214" s="264" t="s">
        <v>2418</v>
      </c>
      <c r="I214" s="264" t="s">
        <v>1926</v>
      </c>
      <c r="J214" s="264" t="s">
        <v>2414</v>
      </c>
      <c r="L214" s="264" t="s">
        <v>1953</v>
      </c>
      <c r="M214" s="264" t="s">
        <v>2037</v>
      </c>
      <c r="N214" s="264" t="s">
        <v>2157</v>
      </c>
      <c r="O214" s="264" t="s">
        <v>2057</v>
      </c>
      <c r="P214" s="264" t="s">
        <v>3571</v>
      </c>
      <c r="Q214" s="264" t="s">
        <v>2029</v>
      </c>
      <c r="R214" s="264" t="s">
        <v>2105</v>
      </c>
      <c r="T214" s="264" t="s">
        <v>4261</v>
      </c>
      <c r="U214" s="264" t="s">
        <v>4280</v>
      </c>
      <c r="V214" s="264" t="s">
        <v>1986</v>
      </c>
      <c r="W214" s="264" t="s">
        <v>4281</v>
      </c>
      <c r="X214" s="264" t="s">
        <v>2240</v>
      </c>
      <c r="Y214" s="264" t="s">
        <v>1971</v>
      </c>
      <c r="Z214" s="265" t="s">
        <v>2104</v>
      </c>
      <c r="AA214" s="265" t="s">
        <v>2124</v>
      </c>
      <c r="AB214" s="265" t="s">
        <v>2325</v>
      </c>
      <c r="AD214" s="265" t="s">
        <v>2380</v>
      </c>
      <c r="AE214" s="265" t="s">
        <v>4281</v>
      </c>
      <c r="AF214" s="265" t="s">
        <v>2105</v>
      </c>
      <c r="AG214" s="265" t="s">
        <v>2096</v>
      </c>
      <c r="AH214" s="265" t="s">
        <v>2137</v>
      </c>
      <c r="AI214" s="265" t="s">
        <v>1926</v>
      </c>
    </row>
    <row r="215" spans="1:35" x14ac:dyDescent="0.25">
      <c r="A215" s="264" t="str">
        <f>HLOOKUP(Overview!$P$8,$B$1:$AI$1500,215,FALSE)</f>
        <v xml:space="preserve">          10099491</v>
      </c>
      <c r="B215" s="252"/>
      <c r="C215" s="183">
        <v>10001067</v>
      </c>
      <c r="D215" s="288" t="s">
        <v>2032</v>
      </c>
      <c r="E215" s="252" t="s">
        <v>3555</v>
      </c>
      <c r="F215" s="252" t="s">
        <v>3627</v>
      </c>
      <c r="G215" s="252" t="s">
        <v>4281</v>
      </c>
      <c r="I215" s="252" t="s">
        <v>1873</v>
      </c>
      <c r="J215" s="252" t="s">
        <v>2402</v>
      </c>
      <c r="L215" s="252" t="s">
        <v>2109</v>
      </c>
      <c r="M215" s="252" t="s">
        <v>1960</v>
      </c>
      <c r="N215" s="252" t="s">
        <v>1926</v>
      </c>
      <c r="O215" s="252" t="s">
        <v>2240</v>
      </c>
      <c r="P215" s="252" t="s">
        <v>2084</v>
      </c>
      <c r="Q215" s="252" t="s">
        <v>3664</v>
      </c>
      <c r="R215" s="252" t="s">
        <v>1953</v>
      </c>
      <c r="T215" s="252" t="s">
        <v>4312</v>
      </c>
      <c r="U215" s="252" t="s">
        <v>4264</v>
      </c>
      <c r="V215" s="252" t="s">
        <v>3631</v>
      </c>
      <c r="W215" s="252" t="s">
        <v>4286</v>
      </c>
      <c r="X215" s="252" t="s">
        <v>1927</v>
      </c>
      <c r="Y215" s="252" t="s">
        <v>2188</v>
      </c>
      <c r="Z215" s="266" t="s">
        <v>1894</v>
      </c>
      <c r="AA215" s="266" t="s">
        <v>2070</v>
      </c>
      <c r="AB215" s="266" t="s">
        <v>2156</v>
      </c>
      <c r="AD215" s="266" t="s">
        <v>2156</v>
      </c>
      <c r="AE215" s="266" t="s">
        <v>4286</v>
      </c>
      <c r="AF215" s="266" t="s">
        <v>1953</v>
      </c>
      <c r="AG215" s="266" t="s">
        <v>2378</v>
      </c>
      <c r="AH215" s="266" t="s">
        <v>2228</v>
      </c>
      <c r="AI215" s="266" t="s">
        <v>1873</v>
      </c>
    </row>
    <row r="216" spans="1:35" x14ac:dyDescent="0.25">
      <c r="A216" s="264" t="str">
        <f>HLOOKUP(Overview!$P$8,$B$1:$AI$1500,216,FALSE)</f>
        <v xml:space="preserve">          10099496</v>
      </c>
      <c r="B216" s="252"/>
      <c r="C216" s="183">
        <v>10000867</v>
      </c>
      <c r="D216" s="287" t="s">
        <v>2084</v>
      </c>
      <c r="E216" s="264" t="s">
        <v>3559</v>
      </c>
      <c r="F216" s="264" t="s">
        <v>2096</v>
      </c>
      <c r="G216" s="264" t="s">
        <v>4286</v>
      </c>
      <c r="I216" s="264" t="s">
        <v>1940</v>
      </c>
      <c r="J216" s="264" t="s">
        <v>2220</v>
      </c>
      <c r="L216" s="264" t="s">
        <v>2151</v>
      </c>
      <c r="M216" s="264" t="s">
        <v>2194</v>
      </c>
      <c r="N216" s="264" t="s">
        <v>4305</v>
      </c>
      <c r="O216" s="264" t="s">
        <v>1927</v>
      </c>
      <c r="P216" s="264" t="s">
        <v>2238</v>
      </c>
      <c r="Q216" s="264" t="s">
        <v>3665</v>
      </c>
      <c r="R216" s="264" t="s">
        <v>2151</v>
      </c>
      <c r="T216" s="264" t="s">
        <v>4263</v>
      </c>
      <c r="U216" s="264" t="s">
        <v>4274</v>
      </c>
      <c r="V216" s="264" t="s">
        <v>2265</v>
      </c>
      <c r="W216" s="264" t="s">
        <v>4287</v>
      </c>
      <c r="X216" s="264" t="s">
        <v>2146</v>
      </c>
      <c r="Y216" s="264" t="s">
        <v>2402</v>
      </c>
      <c r="Z216" s="265" t="s">
        <v>2295</v>
      </c>
      <c r="AA216" s="265" t="s">
        <v>4313</v>
      </c>
      <c r="AB216" s="265" t="s">
        <v>2266</v>
      </c>
      <c r="AD216" s="265" t="s">
        <v>2266</v>
      </c>
      <c r="AE216" s="265" t="s">
        <v>4287</v>
      </c>
      <c r="AF216" s="265" t="s">
        <v>2109</v>
      </c>
      <c r="AG216" s="265" t="s">
        <v>3628</v>
      </c>
      <c r="AH216" s="265" t="s">
        <v>2200</v>
      </c>
      <c r="AI216" s="265" t="s">
        <v>1940</v>
      </c>
    </row>
    <row r="217" spans="1:35" x14ac:dyDescent="0.25">
      <c r="A217" s="264" t="str">
        <f>HLOOKUP(Overview!$P$8,$B$1:$AI$1500,217,FALSE)</f>
        <v xml:space="preserve">          10099500</v>
      </c>
      <c r="B217" s="252"/>
      <c r="C217" s="183">
        <v>10000870</v>
      </c>
      <c r="D217" s="288" t="s">
        <v>2238</v>
      </c>
      <c r="E217" s="252" t="s">
        <v>3547</v>
      </c>
      <c r="F217" s="252" t="s">
        <v>2378</v>
      </c>
      <c r="G217" s="252" t="s">
        <v>4295</v>
      </c>
      <c r="I217" s="252" t="s">
        <v>2236</v>
      </c>
      <c r="J217" s="252" t="s">
        <v>2160</v>
      </c>
      <c r="L217" s="252" t="s">
        <v>2057</v>
      </c>
      <c r="M217" s="252" t="s">
        <v>4304</v>
      </c>
      <c r="N217" s="252" t="s">
        <v>1873</v>
      </c>
      <c r="O217" s="252" t="s">
        <v>2146</v>
      </c>
      <c r="P217" s="252" t="s">
        <v>2063</v>
      </c>
      <c r="Q217" s="252" t="s">
        <v>2137</v>
      </c>
      <c r="R217" s="252" t="s">
        <v>2166</v>
      </c>
      <c r="T217" s="252" t="s">
        <v>4271</v>
      </c>
      <c r="U217" s="252" t="s">
        <v>4314</v>
      </c>
      <c r="V217" s="252" t="s">
        <v>3540</v>
      </c>
      <c r="W217" s="252" t="s">
        <v>4288</v>
      </c>
      <c r="X217" s="252" t="s">
        <v>1963</v>
      </c>
      <c r="Y217" s="252" t="s">
        <v>2220</v>
      </c>
      <c r="Z217" s="266" t="s">
        <v>2321</v>
      </c>
      <c r="AA217" s="266" t="s">
        <v>2418</v>
      </c>
      <c r="AB217" s="266" t="s">
        <v>2239</v>
      </c>
      <c r="AD217" s="266" t="s">
        <v>2239</v>
      </c>
      <c r="AE217" s="266" t="s">
        <v>4288</v>
      </c>
      <c r="AF217" s="266" t="s">
        <v>2151</v>
      </c>
      <c r="AG217" s="266" t="s">
        <v>2124</v>
      </c>
      <c r="AH217" s="266" t="s">
        <v>2272</v>
      </c>
      <c r="AI217" s="266" t="s">
        <v>2236</v>
      </c>
    </row>
    <row r="218" spans="1:35" x14ac:dyDescent="0.25">
      <c r="A218" s="264" t="str">
        <f>HLOOKUP(Overview!$P$8,$B$1:$AI$1500,218,FALSE)</f>
        <v xml:space="preserve">          10113787</v>
      </c>
      <c r="B218" s="252"/>
      <c r="C218" s="183">
        <v>10000869</v>
      </c>
      <c r="D218" s="287" t="s">
        <v>3569</v>
      </c>
      <c r="E218" s="264" t="s">
        <v>3566</v>
      </c>
      <c r="F218" s="264" t="s">
        <v>2406</v>
      </c>
      <c r="G218" s="264" t="s">
        <v>4288</v>
      </c>
      <c r="I218" s="264" t="s">
        <v>2037</v>
      </c>
      <c r="J218" s="264" t="s">
        <v>2078</v>
      </c>
      <c r="L218" s="264" t="s">
        <v>2240</v>
      </c>
      <c r="M218" s="264" t="s">
        <v>2105</v>
      </c>
      <c r="N218" s="264" t="s">
        <v>1940</v>
      </c>
      <c r="O218" s="264" t="s">
        <v>1963</v>
      </c>
      <c r="P218" s="264" t="s">
        <v>2094</v>
      </c>
      <c r="Q218" s="264" t="s">
        <v>2200</v>
      </c>
      <c r="R218" s="264" t="s">
        <v>2135</v>
      </c>
      <c r="T218" s="264" t="s">
        <v>4277</v>
      </c>
      <c r="U218" s="264" t="s">
        <v>3683</v>
      </c>
      <c r="V218" s="264" t="s">
        <v>2163</v>
      </c>
      <c r="W218" s="264" t="s">
        <v>2178</v>
      </c>
      <c r="X218" s="264" t="s">
        <v>2085</v>
      </c>
      <c r="Y218" s="264" t="s">
        <v>2291</v>
      </c>
      <c r="Z218" s="265" t="s">
        <v>2333</v>
      </c>
      <c r="AA218" s="265" t="s">
        <v>4281</v>
      </c>
      <c r="AB218" s="265" t="s">
        <v>1931</v>
      </c>
      <c r="AD218" s="265" t="s">
        <v>1931</v>
      </c>
      <c r="AE218" s="265" t="s">
        <v>2178</v>
      </c>
      <c r="AF218" s="265" t="s">
        <v>2166</v>
      </c>
      <c r="AG218" s="265" t="s">
        <v>2070</v>
      </c>
      <c r="AH218" s="265" t="s">
        <v>3591</v>
      </c>
      <c r="AI218" s="265" t="s">
        <v>2037</v>
      </c>
    </row>
    <row r="219" spans="1:35" x14ac:dyDescent="0.25">
      <c r="A219" s="264" t="str">
        <f>HLOOKUP(Overview!$P$8,$B$1:$AI$1500,219,FALSE)</f>
        <v xml:space="preserve">          10119609</v>
      </c>
      <c r="B219" s="252"/>
      <c r="C219" s="183">
        <v>10000868</v>
      </c>
      <c r="D219" s="288" t="s">
        <v>3670</v>
      </c>
      <c r="E219" s="252" t="s">
        <v>1991</v>
      </c>
      <c r="F219" s="252" t="s">
        <v>3628</v>
      </c>
      <c r="G219" s="252" t="s">
        <v>2178</v>
      </c>
      <c r="I219" s="252" t="s">
        <v>1960</v>
      </c>
      <c r="J219" s="252" t="s">
        <v>2181</v>
      </c>
      <c r="L219" s="252" t="s">
        <v>1927</v>
      </c>
      <c r="M219" s="252" t="s">
        <v>1953</v>
      </c>
      <c r="N219" s="252" t="s">
        <v>2236</v>
      </c>
      <c r="O219" s="252" t="s">
        <v>2085</v>
      </c>
      <c r="P219" s="252" t="s">
        <v>2134</v>
      </c>
      <c r="Q219" s="252" t="s">
        <v>2272</v>
      </c>
      <c r="R219" s="252" t="s">
        <v>2057</v>
      </c>
      <c r="T219" s="252" t="s">
        <v>4315</v>
      </c>
      <c r="U219" s="252" t="s">
        <v>3684</v>
      </c>
      <c r="V219" s="252" t="s">
        <v>2144</v>
      </c>
      <c r="W219" s="252" t="s">
        <v>2325</v>
      </c>
      <c r="X219" s="252" t="s">
        <v>2202</v>
      </c>
      <c r="Y219" s="252" t="s">
        <v>2319</v>
      </c>
      <c r="Z219" s="266" t="s">
        <v>3568</v>
      </c>
      <c r="AA219" s="266" t="s">
        <v>4286</v>
      </c>
      <c r="AB219" s="266" t="s">
        <v>1925</v>
      </c>
      <c r="AD219" s="266" t="s">
        <v>1925</v>
      </c>
      <c r="AE219" s="266" t="s">
        <v>2325</v>
      </c>
      <c r="AF219" s="266" t="s">
        <v>2135</v>
      </c>
      <c r="AG219" s="266" t="s">
        <v>4281</v>
      </c>
      <c r="AH219" s="266" t="s">
        <v>2153</v>
      </c>
      <c r="AI219" s="266" t="s">
        <v>1960</v>
      </c>
    </row>
    <row r="220" spans="1:35" x14ac:dyDescent="0.25">
      <c r="A220" s="264" t="str">
        <f>HLOOKUP(Overview!$P$8,$B$1:$AI$1500,220,FALSE)</f>
        <v xml:space="preserve">          10119610</v>
      </c>
      <c r="B220" s="252"/>
      <c r="C220" s="183">
        <v>10000875</v>
      </c>
      <c r="D220" s="287" t="s">
        <v>3671</v>
      </c>
      <c r="E220" s="264" t="s">
        <v>2249</v>
      </c>
      <c r="F220" s="264" t="s">
        <v>2124</v>
      </c>
      <c r="G220" s="264" t="s">
        <v>2325</v>
      </c>
      <c r="I220" s="264" t="s">
        <v>2194</v>
      </c>
      <c r="J220" s="264" t="s">
        <v>4235</v>
      </c>
      <c r="L220" s="264" t="s">
        <v>2146</v>
      </c>
      <c r="M220" s="264" t="s">
        <v>2109</v>
      </c>
      <c r="N220" s="264" t="s">
        <v>2037</v>
      </c>
      <c r="O220" s="264" t="s">
        <v>2202</v>
      </c>
      <c r="P220" s="264" t="s">
        <v>1938</v>
      </c>
      <c r="Q220" s="264" t="s">
        <v>3591</v>
      </c>
      <c r="R220" s="264" t="s">
        <v>2240</v>
      </c>
      <c r="T220" s="264" t="s">
        <v>4272</v>
      </c>
      <c r="U220" s="264" t="s">
        <v>3685</v>
      </c>
      <c r="V220" s="264" t="s">
        <v>2026</v>
      </c>
      <c r="W220" s="264" t="s">
        <v>2156</v>
      </c>
      <c r="X220" s="264" t="s">
        <v>2104</v>
      </c>
      <c r="Y220" s="264" t="s">
        <v>2273</v>
      </c>
      <c r="Z220" s="265" t="s">
        <v>2265</v>
      </c>
      <c r="AA220" s="265" t="s">
        <v>4295</v>
      </c>
      <c r="AB220" s="265" t="s">
        <v>2055</v>
      </c>
      <c r="AD220" s="265" t="s">
        <v>2055</v>
      </c>
      <c r="AE220" s="265" t="s">
        <v>2380</v>
      </c>
      <c r="AF220" s="265" t="s">
        <v>2057</v>
      </c>
      <c r="AG220" s="265" t="s">
        <v>4286</v>
      </c>
      <c r="AH220" s="265" t="s">
        <v>2064</v>
      </c>
      <c r="AI220" s="265" t="s">
        <v>2194</v>
      </c>
    </row>
    <row r="221" spans="1:35" x14ac:dyDescent="0.25">
      <c r="A221" s="264" t="str">
        <f>HLOOKUP(Overview!$P$8,$B$1:$AI$1500,221,FALSE)</f>
        <v xml:space="preserve">          10119611</v>
      </c>
      <c r="B221" s="252"/>
      <c r="C221" s="183">
        <v>10000833</v>
      </c>
      <c r="D221" s="288" t="s">
        <v>3672</v>
      </c>
      <c r="E221" s="252" t="s">
        <v>2340</v>
      </c>
      <c r="F221" s="252" t="s">
        <v>2070</v>
      </c>
      <c r="G221" s="252" t="s">
        <v>2380</v>
      </c>
      <c r="I221" s="252" t="s">
        <v>4304</v>
      </c>
      <c r="J221" s="252" t="s">
        <v>3627</v>
      </c>
      <c r="L221" s="252" t="s">
        <v>1963</v>
      </c>
      <c r="M221" s="252" t="s">
        <v>2151</v>
      </c>
      <c r="N221" s="252" t="s">
        <v>1960</v>
      </c>
      <c r="O221" s="252" t="s">
        <v>3630</v>
      </c>
      <c r="P221" s="252" t="s">
        <v>2029</v>
      </c>
      <c r="Q221" s="252" t="s">
        <v>2153</v>
      </c>
      <c r="R221" s="252" t="s">
        <v>1927</v>
      </c>
      <c r="T221" s="252" t="s">
        <v>4274</v>
      </c>
      <c r="U221" s="252" t="s">
        <v>2159</v>
      </c>
      <c r="V221" s="252" t="s">
        <v>3668</v>
      </c>
      <c r="W221" s="252" t="s">
        <v>2266</v>
      </c>
      <c r="X221" s="252" t="s">
        <v>1894</v>
      </c>
      <c r="Y221" s="252" t="s">
        <v>2338</v>
      </c>
      <c r="Z221" s="266" t="s">
        <v>3540</v>
      </c>
      <c r="AA221" s="266" t="s">
        <v>4288</v>
      </c>
      <c r="AB221" s="266" t="s">
        <v>1983</v>
      </c>
      <c r="AD221" s="266" t="s">
        <v>1983</v>
      </c>
      <c r="AE221" s="266" t="s">
        <v>2156</v>
      </c>
      <c r="AF221" s="266" t="s">
        <v>1961</v>
      </c>
      <c r="AG221" s="266" t="s">
        <v>4295</v>
      </c>
      <c r="AH221" s="266" t="s">
        <v>2127</v>
      </c>
      <c r="AI221" s="266" t="s">
        <v>4304</v>
      </c>
    </row>
    <row r="222" spans="1:35" x14ac:dyDescent="0.25">
      <c r="A222" s="264" t="str">
        <f>HLOOKUP(Overview!$P$8,$B$1:$AI$1500,222,FALSE)</f>
        <v xml:space="preserve">          10120833</v>
      </c>
      <c r="B222" s="252"/>
      <c r="C222" s="183">
        <v>10127498</v>
      </c>
      <c r="D222" s="287" t="s">
        <v>2334</v>
      </c>
      <c r="E222" s="264" t="s">
        <v>2359</v>
      </c>
      <c r="F222" s="264" t="s">
        <v>4281</v>
      </c>
      <c r="G222" s="264" t="s">
        <v>2156</v>
      </c>
      <c r="I222" s="264" t="s">
        <v>2105</v>
      </c>
      <c r="J222" s="264" t="s">
        <v>2096</v>
      </c>
      <c r="L222" s="264" t="s">
        <v>2085</v>
      </c>
      <c r="M222" s="264" t="s">
        <v>2166</v>
      </c>
      <c r="N222" s="264" t="s">
        <v>2194</v>
      </c>
      <c r="O222" s="264" t="s">
        <v>2104</v>
      </c>
      <c r="P222" s="264" t="s">
        <v>3664</v>
      </c>
      <c r="Q222" s="264" t="s">
        <v>2064</v>
      </c>
      <c r="R222" s="264" t="s">
        <v>2146</v>
      </c>
      <c r="T222" s="264" t="s">
        <v>4314</v>
      </c>
      <c r="U222" s="264" t="s">
        <v>2013</v>
      </c>
      <c r="V222" s="264" t="s">
        <v>3669</v>
      </c>
      <c r="W222" s="264" t="s">
        <v>2239</v>
      </c>
      <c r="X222" s="264" t="s">
        <v>2295</v>
      </c>
      <c r="Y222" s="264" t="s">
        <v>2160</v>
      </c>
      <c r="Z222" s="265" t="s">
        <v>2163</v>
      </c>
      <c r="AA222" s="265" t="s">
        <v>2178</v>
      </c>
      <c r="AB222" s="265" t="s">
        <v>2292</v>
      </c>
      <c r="AD222" s="265" t="s">
        <v>2292</v>
      </c>
      <c r="AE222" s="265" t="s">
        <v>2266</v>
      </c>
      <c r="AF222" s="265" t="s">
        <v>2240</v>
      </c>
      <c r="AG222" s="265" t="s">
        <v>4287</v>
      </c>
      <c r="AH222" s="265" t="s">
        <v>1977</v>
      </c>
      <c r="AI222" s="265" t="s">
        <v>2105</v>
      </c>
    </row>
    <row r="223" spans="1:35" x14ac:dyDescent="0.25">
      <c r="A223" s="264" t="str">
        <f>HLOOKUP(Overview!$P$8,$B$1:$AI$1500,223,FALSE)</f>
        <v xml:space="preserve">          10120838</v>
      </c>
      <c r="B223" s="252"/>
      <c r="C223" s="183">
        <v>10001749</v>
      </c>
      <c r="D223" s="288" t="s">
        <v>2313</v>
      </c>
      <c r="E223" s="252" t="s">
        <v>2075</v>
      </c>
      <c r="F223" s="252" t="s">
        <v>4286</v>
      </c>
      <c r="G223" s="252" t="s">
        <v>2266</v>
      </c>
      <c r="I223" s="252" t="s">
        <v>1953</v>
      </c>
      <c r="J223" s="252" t="s">
        <v>3628</v>
      </c>
      <c r="L223" s="252" t="s">
        <v>2202</v>
      </c>
      <c r="M223" s="252" t="s">
        <v>2135</v>
      </c>
      <c r="N223" s="252" t="s">
        <v>4316</v>
      </c>
      <c r="O223" s="252" t="s">
        <v>1894</v>
      </c>
      <c r="P223" s="252" t="s">
        <v>3665</v>
      </c>
      <c r="Q223" s="252" t="s">
        <v>2127</v>
      </c>
      <c r="R223" s="252" t="s">
        <v>1963</v>
      </c>
      <c r="T223" s="252" t="s">
        <v>3683</v>
      </c>
      <c r="U223" s="252" t="s">
        <v>2111</v>
      </c>
      <c r="V223" s="252" t="s">
        <v>3670</v>
      </c>
      <c r="W223" s="252" t="s">
        <v>1931</v>
      </c>
      <c r="X223" s="252" t="s">
        <v>2321</v>
      </c>
      <c r="Y223" s="252" t="s">
        <v>2078</v>
      </c>
      <c r="Z223" s="266" t="s">
        <v>2144</v>
      </c>
      <c r="AA223" s="266" t="s">
        <v>2325</v>
      </c>
      <c r="AB223" s="266" t="s">
        <v>2032</v>
      </c>
      <c r="AD223" s="266" t="s">
        <v>2032</v>
      </c>
      <c r="AE223" s="266" t="s">
        <v>2239</v>
      </c>
      <c r="AF223" s="266" t="s">
        <v>1927</v>
      </c>
      <c r="AG223" s="266" t="s">
        <v>4288</v>
      </c>
      <c r="AH223" s="266" t="s">
        <v>2157</v>
      </c>
      <c r="AI223" s="266" t="s">
        <v>1953</v>
      </c>
    </row>
    <row r="224" spans="1:35" x14ac:dyDescent="0.25">
      <c r="A224" s="264" t="str">
        <f>HLOOKUP(Overview!$P$8,$B$1:$AI$1500,224,FALSE)</f>
        <v xml:space="preserve">          20000948</v>
      </c>
      <c r="B224" s="252"/>
      <c r="C224" s="183">
        <v>10000675</v>
      </c>
      <c r="D224" s="287" t="s">
        <v>2123</v>
      </c>
      <c r="E224" s="264" t="s">
        <v>2031</v>
      </c>
      <c r="F224" s="264" t="s">
        <v>4287</v>
      </c>
      <c r="G224" s="264" t="s">
        <v>2239</v>
      </c>
      <c r="I224" s="264" t="s">
        <v>2109</v>
      </c>
      <c r="J224" s="264" t="s">
        <v>2124</v>
      </c>
      <c r="L224" s="264" t="s">
        <v>2104</v>
      </c>
      <c r="M224" s="264" t="s">
        <v>2057</v>
      </c>
      <c r="N224" s="264" t="s">
        <v>4304</v>
      </c>
      <c r="O224" s="264" t="s">
        <v>2295</v>
      </c>
      <c r="P224" s="264" t="s">
        <v>2137</v>
      </c>
      <c r="Q224" s="264" t="s">
        <v>1977</v>
      </c>
      <c r="R224" s="264" t="s">
        <v>2085</v>
      </c>
      <c r="T224" s="264" t="s">
        <v>3684</v>
      </c>
      <c r="U224" s="264" t="s">
        <v>2282</v>
      </c>
      <c r="V224" s="264" t="s">
        <v>3671</v>
      </c>
      <c r="W224" s="264" t="s">
        <v>1925</v>
      </c>
      <c r="X224" s="264" t="s">
        <v>2333</v>
      </c>
      <c r="Y224" s="264" t="s">
        <v>2181</v>
      </c>
      <c r="Z224" s="265" t="s">
        <v>2026</v>
      </c>
      <c r="AA224" s="265" t="s">
        <v>2156</v>
      </c>
      <c r="AB224" s="265" t="s">
        <v>2084</v>
      </c>
      <c r="AD224" s="265" t="s">
        <v>2084</v>
      </c>
      <c r="AE224" s="265" t="s">
        <v>1931</v>
      </c>
      <c r="AF224" s="265" t="s">
        <v>2146</v>
      </c>
      <c r="AG224" s="265" t="s">
        <v>2178</v>
      </c>
      <c r="AH224" s="265" t="s">
        <v>1873</v>
      </c>
      <c r="AI224" s="265" t="s">
        <v>2109</v>
      </c>
    </row>
    <row r="225" spans="1:35" x14ac:dyDescent="0.25">
      <c r="A225" s="264" t="str">
        <f>HLOOKUP(Overview!$P$8,$B$1:$AI$1500,225,FALSE)</f>
        <v xml:space="preserve">          20000949</v>
      </c>
      <c r="B225" s="252"/>
      <c r="C225" s="183">
        <v>10091006</v>
      </c>
      <c r="D225" s="288" t="s">
        <v>2223</v>
      </c>
      <c r="E225" s="252" t="s">
        <v>2107</v>
      </c>
      <c r="F225" s="252" t="s">
        <v>4288</v>
      </c>
      <c r="G225" s="252" t="s">
        <v>1931</v>
      </c>
      <c r="I225" s="252" t="s">
        <v>2151</v>
      </c>
      <c r="J225" s="252" t="s">
        <v>2070</v>
      </c>
      <c r="L225" s="252" t="s">
        <v>3568</v>
      </c>
      <c r="M225" s="252" t="s">
        <v>2240</v>
      </c>
      <c r="N225" s="252" t="s">
        <v>2105</v>
      </c>
      <c r="O225" s="252" t="s">
        <v>2321</v>
      </c>
      <c r="P225" s="252" t="s">
        <v>2404</v>
      </c>
      <c r="Q225" s="252" t="s">
        <v>2157</v>
      </c>
      <c r="R225" s="252" t="s">
        <v>2202</v>
      </c>
      <c r="T225" s="252" t="s">
        <v>3685</v>
      </c>
      <c r="U225" s="252" t="s">
        <v>2123</v>
      </c>
      <c r="V225" s="252" t="s">
        <v>3672</v>
      </c>
      <c r="W225" s="252" t="s">
        <v>2055</v>
      </c>
      <c r="X225" s="252" t="s">
        <v>3569</v>
      </c>
      <c r="Y225" s="252" t="s">
        <v>3627</v>
      </c>
      <c r="Z225" s="266" t="s">
        <v>3668</v>
      </c>
      <c r="AA225" s="266" t="s">
        <v>2266</v>
      </c>
      <c r="AB225" s="266" t="s">
        <v>2238</v>
      </c>
      <c r="AD225" s="266" t="s">
        <v>2238</v>
      </c>
      <c r="AE225" s="266" t="s">
        <v>1925</v>
      </c>
      <c r="AF225" s="266" t="s">
        <v>1963</v>
      </c>
      <c r="AG225" s="266" t="s">
        <v>2380</v>
      </c>
      <c r="AH225" s="266" t="s">
        <v>1940</v>
      </c>
      <c r="AI225" s="266" t="s">
        <v>2151</v>
      </c>
    </row>
    <row r="226" spans="1:35" x14ac:dyDescent="0.25">
      <c r="A226" s="264" t="str">
        <f>HLOOKUP(Overview!$P$8,$B$1:$AI$1500,226,FALSE)</f>
        <v xml:space="preserve">          20000951</v>
      </c>
      <c r="B226" s="252"/>
      <c r="C226" s="183">
        <v>10000179</v>
      </c>
      <c r="D226" s="287" t="s">
        <v>2017</v>
      </c>
      <c r="E226" s="264" t="s">
        <v>3619</v>
      </c>
      <c r="F226" s="264" t="s">
        <v>2178</v>
      </c>
      <c r="G226" s="264" t="s">
        <v>1925</v>
      </c>
      <c r="I226" s="264" t="s">
        <v>2166</v>
      </c>
      <c r="J226" s="264" t="s">
        <v>2418</v>
      </c>
      <c r="L226" s="264" t="s">
        <v>2077</v>
      </c>
      <c r="M226" s="264" t="s">
        <v>1927</v>
      </c>
      <c r="N226" s="264" t="s">
        <v>1953</v>
      </c>
      <c r="O226" s="264" t="s">
        <v>2333</v>
      </c>
      <c r="P226" s="264" t="s">
        <v>2252</v>
      </c>
      <c r="Q226" s="264" t="s">
        <v>1873</v>
      </c>
      <c r="R226" s="264" t="s">
        <v>2104</v>
      </c>
      <c r="T226" s="264" t="s">
        <v>2159</v>
      </c>
      <c r="U226" s="264" t="s">
        <v>2223</v>
      </c>
      <c r="V226" s="264" t="s">
        <v>3674</v>
      </c>
      <c r="W226" s="264" t="s">
        <v>1983</v>
      </c>
      <c r="X226" s="264" t="s">
        <v>3568</v>
      </c>
      <c r="Y226" s="264" t="s">
        <v>2096</v>
      </c>
      <c r="Z226" s="265" t="s">
        <v>3669</v>
      </c>
      <c r="AA226" s="265" t="s">
        <v>2239</v>
      </c>
      <c r="AB226" s="265" t="s">
        <v>2063</v>
      </c>
      <c r="AD226" s="265" t="s">
        <v>2063</v>
      </c>
      <c r="AE226" s="265" t="s">
        <v>2055</v>
      </c>
      <c r="AF226" s="265" t="s">
        <v>2085</v>
      </c>
      <c r="AG226" s="265" t="s">
        <v>2156</v>
      </c>
      <c r="AH226" s="265" t="s">
        <v>2236</v>
      </c>
      <c r="AI226" s="265" t="s">
        <v>2166</v>
      </c>
    </row>
    <row r="227" spans="1:35" x14ac:dyDescent="0.25">
      <c r="A227" s="264" t="str">
        <f>HLOOKUP(Overview!$P$8,$B$1:$AI$1500,227,FALSE)</f>
        <v xml:space="preserve">          10000220</v>
      </c>
      <c r="B227" s="252"/>
      <c r="C227" s="183">
        <v>10000872</v>
      </c>
      <c r="D227" s="288" t="s">
        <v>2183</v>
      </c>
      <c r="E227" s="252" t="s">
        <v>2302</v>
      </c>
      <c r="F227" s="252" t="s">
        <v>2325</v>
      </c>
      <c r="G227" s="252" t="s">
        <v>2055</v>
      </c>
      <c r="I227" s="252" t="s">
        <v>1999</v>
      </c>
      <c r="J227" s="252" t="s">
        <v>4281</v>
      </c>
      <c r="L227" s="252" t="s">
        <v>1986</v>
      </c>
      <c r="M227" s="252" t="s">
        <v>1963</v>
      </c>
      <c r="N227" s="252" t="s">
        <v>2109</v>
      </c>
      <c r="O227" s="252" t="s">
        <v>3569</v>
      </c>
      <c r="P227" s="252" t="s">
        <v>2272</v>
      </c>
      <c r="Q227" s="252" t="s">
        <v>1940</v>
      </c>
      <c r="R227" s="252" t="s">
        <v>3569</v>
      </c>
      <c r="T227" s="252" t="s">
        <v>2013</v>
      </c>
      <c r="U227" s="252" t="s">
        <v>2017</v>
      </c>
      <c r="V227" s="252" t="s">
        <v>3675</v>
      </c>
      <c r="W227" s="252" t="s">
        <v>2292</v>
      </c>
      <c r="X227" s="252" t="s">
        <v>2300</v>
      </c>
      <c r="Y227" s="252" t="s">
        <v>2378</v>
      </c>
      <c r="Z227" s="266" t="s">
        <v>3670</v>
      </c>
      <c r="AA227" s="266" t="s">
        <v>1931</v>
      </c>
      <c r="AB227" s="266" t="s">
        <v>2094</v>
      </c>
      <c r="AD227" s="266" t="s">
        <v>2094</v>
      </c>
      <c r="AE227" s="266" t="s">
        <v>1983</v>
      </c>
      <c r="AF227" s="266" t="s">
        <v>2202</v>
      </c>
      <c r="AG227" s="266" t="s">
        <v>2266</v>
      </c>
      <c r="AH227" s="266" t="s">
        <v>2037</v>
      </c>
      <c r="AI227" s="266" t="s">
        <v>2135</v>
      </c>
    </row>
    <row r="228" spans="1:35" x14ac:dyDescent="0.25">
      <c r="A228" s="264" t="str">
        <f>HLOOKUP(Overview!$P$8,$B$1:$AI$1500,228,FALSE)</f>
        <v xml:space="preserve">          10001682</v>
      </c>
      <c r="B228" s="252"/>
      <c r="C228" s="183">
        <v>10097277</v>
      </c>
      <c r="D228" s="287" t="s">
        <v>1981</v>
      </c>
      <c r="E228" s="264" t="s">
        <v>3544</v>
      </c>
      <c r="F228" s="264" t="s">
        <v>2380</v>
      </c>
      <c r="G228" s="264" t="s">
        <v>1983</v>
      </c>
      <c r="I228" s="264" t="s">
        <v>2135</v>
      </c>
      <c r="J228" s="264" t="s">
        <v>4286</v>
      </c>
      <c r="L228" s="264" t="s">
        <v>3668</v>
      </c>
      <c r="M228" s="264" t="s">
        <v>2085</v>
      </c>
      <c r="N228" s="264" t="s">
        <v>2151</v>
      </c>
      <c r="O228" s="264" t="s">
        <v>3568</v>
      </c>
      <c r="P228" s="264" t="s">
        <v>3591</v>
      </c>
      <c r="Q228" s="264" t="s">
        <v>2236</v>
      </c>
      <c r="R228" s="264" t="s">
        <v>3568</v>
      </c>
      <c r="T228" s="264" t="s">
        <v>2111</v>
      </c>
      <c r="U228" s="264" t="s">
        <v>4317</v>
      </c>
      <c r="V228" s="264" t="s">
        <v>3676</v>
      </c>
      <c r="W228" s="264" t="s">
        <v>2032</v>
      </c>
      <c r="X228" s="264" t="s">
        <v>2265</v>
      </c>
      <c r="Y228" s="264" t="s">
        <v>3628</v>
      </c>
      <c r="Z228" s="265" t="s">
        <v>3671</v>
      </c>
      <c r="AA228" s="265" t="s">
        <v>1925</v>
      </c>
      <c r="AB228" s="265" t="s">
        <v>2232</v>
      </c>
      <c r="AD228" s="265" t="s">
        <v>2232</v>
      </c>
      <c r="AE228" s="265" t="s">
        <v>2032</v>
      </c>
      <c r="AF228" s="265" t="s">
        <v>2104</v>
      </c>
      <c r="AG228" s="265" t="s">
        <v>2239</v>
      </c>
      <c r="AH228" s="265" t="s">
        <v>1960</v>
      </c>
      <c r="AI228" s="265" t="s">
        <v>2057</v>
      </c>
    </row>
    <row r="229" spans="1:35" x14ac:dyDescent="0.25">
      <c r="A229" s="264" t="str">
        <f>HLOOKUP(Overview!$P$8,$B$1:$AI$1500,229,FALSE)</f>
        <v xml:space="preserve">          10001684</v>
      </c>
      <c r="B229" s="252"/>
      <c r="C229" s="183">
        <v>10097278</v>
      </c>
      <c r="D229" s="288" t="s">
        <v>2002</v>
      </c>
      <c r="E229" s="252" t="s">
        <v>2243</v>
      </c>
      <c r="F229" s="252" t="s">
        <v>2156</v>
      </c>
      <c r="G229" s="252" t="s">
        <v>2292</v>
      </c>
      <c r="I229" s="252" t="s">
        <v>2057</v>
      </c>
      <c r="J229" s="252" t="s">
        <v>4287</v>
      </c>
      <c r="L229" s="252" t="s">
        <v>3669</v>
      </c>
      <c r="M229" s="252" t="s">
        <v>2202</v>
      </c>
      <c r="N229" s="252" t="s">
        <v>2166</v>
      </c>
      <c r="O229" s="252" t="s">
        <v>2162</v>
      </c>
      <c r="P229" s="252" t="s">
        <v>2153</v>
      </c>
      <c r="Q229" s="252" t="s">
        <v>2037</v>
      </c>
      <c r="R229" s="252" t="s">
        <v>2163</v>
      </c>
      <c r="T229" s="252" t="s">
        <v>2123</v>
      </c>
      <c r="U229" s="252" t="s">
        <v>4318</v>
      </c>
      <c r="V229" s="252" t="s">
        <v>3677</v>
      </c>
      <c r="W229" s="252" t="s">
        <v>3571</v>
      </c>
      <c r="X229" s="252" t="s">
        <v>3540</v>
      </c>
      <c r="Y229" s="252" t="s">
        <v>2124</v>
      </c>
      <c r="Z229" s="266" t="s">
        <v>3672</v>
      </c>
      <c r="AA229" s="266" t="s">
        <v>2055</v>
      </c>
      <c r="AB229" s="266" t="s">
        <v>2128</v>
      </c>
      <c r="AD229" s="266" t="s">
        <v>2128</v>
      </c>
      <c r="AE229" s="266" t="s">
        <v>2084</v>
      </c>
      <c r="AF229" s="266" t="s">
        <v>1894</v>
      </c>
      <c r="AG229" s="266" t="s">
        <v>1931</v>
      </c>
      <c r="AH229" s="266" t="s">
        <v>2194</v>
      </c>
      <c r="AI229" s="266" t="s">
        <v>1961</v>
      </c>
    </row>
    <row r="230" spans="1:35" x14ac:dyDescent="0.25">
      <c r="A230" s="264" t="str">
        <f>HLOOKUP(Overview!$P$8,$B$1:$AI$1500,230,FALSE)</f>
        <v xml:space="preserve">          10001685</v>
      </c>
      <c r="B230" s="252"/>
      <c r="C230" s="183">
        <v>10000818</v>
      </c>
      <c r="D230" s="287" t="s">
        <v>4485</v>
      </c>
      <c r="E230" s="264" t="s">
        <v>2309</v>
      </c>
      <c r="F230" s="264" t="s">
        <v>2266</v>
      </c>
      <c r="G230" s="264" t="s">
        <v>2032</v>
      </c>
      <c r="I230" s="264" t="s">
        <v>1961</v>
      </c>
      <c r="J230" s="264" t="s">
        <v>4288</v>
      </c>
      <c r="L230" s="264" t="s">
        <v>3670</v>
      </c>
      <c r="M230" s="264" t="s">
        <v>3630</v>
      </c>
      <c r="N230" s="264" t="s">
        <v>4319</v>
      </c>
      <c r="O230" s="264" t="s">
        <v>2265</v>
      </c>
      <c r="P230" s="264" t="s">
        <v>2064</v>
      </c>
      <c r="Q230" s="264" t="s">
        <v>1960</v>
      </c>
      <c r="R230" s="264" t="s">
        <v>2144</v>
      </c>
      <c r="T230" s="264" t="s">
        <v>2223</v>
      </c>
      <c r="U230" s="264" t="s">
        <v>4320</v>
      </c>
      <c r="V230" s="264" t="s">
        <v>3678</v>
      </c>
      <c r="W230" s="264" t="s">
        <v>2084</v>
      </c>
      <c r="X230" s="264" t="s">
        <v>2163</v>
      </c>
      <c r="Y230" s="264" t="s">
        <v>2070</v>
      </c>
      <c r="Z230" s="265" t="s">
        <v>3674</v>
      </c>
      <c r="AA230" s="265" t="s">
        <v>1983</v>
      </c>
      <c r="AB230" s="265" t="s">
        <v>2247</v>
      </c>
      <c r="AD230" s="265" t="s">
        <v>2247</v>
      </c>
      <c r="AE230" s="265" t="s">
        <v>2238</v>
      </c>
      <c r="AF230" s="265" t="s">
        <v>2295</v>
      </c>
      <c r="AG230" s="265" t="s">
        <v>1925</v>
      </c>
      <c r="AH230" s="265" t="s">
        <v>2105</v>
      </c>
      <c r="AI230" s="265" t="s">
        <v>2240</v>
      </c>
    </row>
    <row r="231" spans="1:35" x14ac:dyDescent="0.25">
      <c r="A231" s="264" t="str">
        <f>HLOOKUP(Overview!$P$8,$B$1:$AI$1500,231,FALSE)</f>
        <v xml:space="preserve">          10001686</v>
      </c>
      <c r="B231" s="252"/>
      <c r="C231" s="183">
        <v>10001013</v>
      </c>
      <c r="D231" s="288" t="s">
        <v>2035</v>
      </c>
      <c r="E231" s="252" t="s">
        <v>2117</v>
      </c>
      <c r="F231" s="252" t="s">
        <v>2239</v>
      </c>
      <c r="G231" s="252" t="s">
        <v>2084</v>
      </c>
      <c r="I231" s="252" t="s">
        <v>2240</v>
      </c>
      <c r="J231" s="252" t="s">
        <v>2178</v>
      </c>
      <c r="L231" s="252" t="s">
        <v>3671</v>
      </c>
      <c r="M231" s="252" t="s">
        <v>2104</v>
      </c>
      <c r="N231" s="252" t="s">
        <v>2135</v>
      </c>
      <c r="O231" s="252" t="s">
        <v>3540</v>
      </c>
      <c r="P231" s="252" t="s">
        <v>4298</v>
      </c>
      <c r="Q231" s="252" t="s">
        <v>2194</v>
      </c>
      <c r="R231" s="252" t="s">
        <v>3668</v>
      </c>
      <c r="T231" s="252" t="s">
        <v>2017</v>
      </c>
      <c r="U231" s="252" t="s">
        <v>4321</v>
      </c>
      <c r="V231" s="252" t="s">
        <v>3679</v>
      </c>
      <c r="W231" s="252" t="s">
        <v>2238</v>
      </c>
      <c r="X231" s="252" t="s">
        <v>2144</v>
      </c>
      <c r="Y231" s="252" t="s">
        <v>4281</v>
      </c>
      <c r="Z231" s="266" t="s">
        <v>3509</v>
      </c>
      <c r="AA231" s="266" t="s">
        <v>2292</v>
      </c>
      <c r="AB231" s="266" t="s">
        <v>2134</v>
      </c>
      <c r="AD231" s="266" t="s">
        <v>2134</v>
      </c>
      <c r="AE231" s="266" t="s">
        <v>2063</v>
      </c>
      <c r="AF231" s="266" t="s">
        <v>2321</v>
      </c>
      <c r="AG231" s="266" t="s">
        <v>2055</v>
      </c>
      <c r="AH231" s="266" t="s">
        <v>1953</v>
      </c>
      <c r="AI231" s="266" t="s">
        <v>1927</v>
      </c>
    </row>
    <row r="232" spans="1:35" x14ac:dyDescent="0.25">
      <c r="A232" s="264" t="str">
        <f>HLOOKUP(Overview!$P$8,$B$1:$AI$1500,232,FALSE)</f>
        <v xml:space="preserve">          10001688</v>
      </c>
      <c r="B232" s="252"/>
      <c r="C232" s="183">
        <v>10000828</v>
      </c>
      <c r="D232" s="287" t="s">
        <v>2113</v>
      </c>
      <c r="E232" s="264" t="s">
        <v>2230</v>
      </c>
      <c r="F232" s="264" t="s">
        <v>1931</v>
      </c>
      <c r="G232" s="264" t="s">
        <v>2063</v>
      </c>
      <c r="I232" s="264" t="s">
        <v>1927</v>
      </c>
      <c r="J232" s="264" t="s">
        <v>2325</v>
      </c>
      <c r="L232" s="264" t="s">
        <v>3672</v>
      </c>
      <c r="M232" s="264" t="s">
        <v>1894</v>
      </c>
      <c r="N232" s="264" t="s">
        <v>2057</v>
      </c>
      <c r="O232" s="264" t="s">
        <v>2163</v>
      </c>
      <c r="P232" s="264" t="s">
        <v>2127</v>
      </c>
      <c r="Q232" s="264" t="s">
        <v>2105</v>
      </c>
      <c r="R232" s="264" t="s">
        <v>3669</v>
      </c>
      <c r="T232" s="264" t="s">
        <v>4275</v>
      </c>
      <c r="U232" s="264" t="s">
        <v>4322</v>
      </c>
      <c r="V232" s="264" t="s">
        <v>3874</v>
      </c>
      <c r="W232" s="264" t="s">
        <v>2063</v>
      </c>
      <c r="X232" s="264" t="s">
        <v>2168</v>
      </c>
      <c r="Y232" s="264" t="s">
        <v>4286</v>
      </c>
      <c r="Z232" s="265" t="s">
        <v>3675</v>
      </c>
      <c r="AA232" s="265" t="s">
        <v>2032</v>
      </c>
      <c r="AB232" s="265" t="s">
        <v>3629</v>
      </c>
      <c r="AD232" s="265" t="s">
        <v>3629</v>
      </c>
      <c r="AE232" s="265" t="s">
        <v>2094</v>
      </c>
      <c r="AF232" s="265" t="s">
        <v>2333</v>
      </c>
      <c r="AG232" s="265" t="s">
        <v>1983</v>
      </c>
      <c r="AH232" s="265" t="s">
        <v>2109</v>
      </c>
      <c r="AI232" s="265" t="s">
        <v>2146</v>
      </c>
    </row>
    <row r="233" spans="1:35" x14ac:dyDescent="0.25">
      <c r="A233" s="264" t="str">
        <f>HLOOKUP(Overview!$P$8,$B$1:$AI$1500,233,FALSE)</f>
        <v xml:space="preserve">          10001692</v>
      </c>
      <c r="B233" s="252"/>
      <c r="C233" s="183">
        <v>10000821</v>
      </c>
      <c r="D233" s="288" t="s">
        <v>4233</v>
      </c>
      <c r="E233" s="252" t="s">
        <v>2071</v>
      </c>
      <c r="F233" s="252" t="s">
        <v>1925</v>
      </c>
      <c r="G233" s="252" t="s">
        <v>2094</v>
      </c>
      <c r="I233" s="252" t="s">
        <v>2146</v>
      </c>
      <c r="J233" s="252" t="s">
        <v>2380</v>
      </c>
      <c r="L233" s="252" t="s">
        <v>3890</v>
      </c>
      <c r="M233" s="252" t="s">
        <v>2295</v>
      </c>
      <c r="N233" s="252" t="s">
        <v>4323</v>
      </c>
      <c r="O233" s="252" t="s">
        <v>2144</v>
      </c>
      <c r="P233" s="252" t="s">
        <v>1977</v>
      </c>
      <c r="Q233" s="252" t="s">
        <v>1953</v>
      </c>
      <c r="R233" s="252" t="s">
        <v>3670</v>
      </c>
      <c r="T233" s="252" t="s">
        <v>2251</v>
      </c>
      <c r="U233" s="252" t="s">
        <v>4324</v>
      </c>
      <c r="V233" s="252" t="s">
        <v>3681</v>
      </c>
      <c r="W233" s="252" t="s">
        <v>2094</v>
      </c>
      <c r="X233" s="252" t="s">
        <v>3583</v>
      </c>
      <c r="Y233" s="252" t="s">
        <v>4295</v>
      </c>
      <c r="Z233" s="266" t="s">
        <v>3676</v>
      </c>
      <c r="AA233" s="266" t="s">
        <v>2084</v>
      </c>
      <c r="AB233" s="266" t="s">
        <v>1938</v>
      </c>
      <c r="AD233" s="266" t="s">
        <v>1938</v>
      </c>
      <c r="AE233" s="266" t="s">
        <v>2232</v>
      </c>
      <c r="AF233" s="266" t="s">
        <v>3569</v>
      </c>
      <c r="AG233" s="266" t="s">
        <v>2292</v>
      </c>
      <c r="AH233" s="266" t="s">
        <v>2151</v>
      </c>
      <c r="AI233" s="266" t="s">
        <v>1963</v>
      </c>
    </row>
    <row r="234" spans="1:35" x14ac:dyDescent="0.25">
      <c r="A234" s="264" t="str">
        <f>HLOOKUP(Overview!$P$8,$B$1:$AI$1500,234,FALSE)</f>
        <v xml:space="preserve">          10011916</v>
      </c>
      <c r="B234" s="252"/>
      <c r="C234" s="183">
        <v>10000824</v>
      </c>
      <c r="D234" s="287" t="s">
        <v>4244</v>
      </c>
      <c r="E234" s="264" t="s">
        <v>2205</v>
      </c>
      <c r="F234" s="264" t="s">
        <v>2055</v>
      </c>
      <c r="G234" s="264" t="s">
        <v>2232</v>
      </c>
      <c r="I234" s="264" t="s">
        <v>1963</v>
      </c>
      <c r="J234" s="264" t="s">
        <v>2156</v>
      </c>
      <c r="L234" s="264" t="s">
        <v>3871</v>
      </c>
      <c r="M234" s="264" t="s">
        <v>2321</v>
      </c>
      <c r="N234" s="264" t="s">
        <v>2240</v>
      </c>
      <c r="O234" s="264" t="s">
        <v>3583</v>
      </c>
      <c r="P234" s="264" t="s">
        <v>2157</v>
      </c>
      <c r="Q234" s="264" t="s">
        <v>2109</v>
      </c>
      <c r="R234" s="264" t="s">
        <v>3671</v>
      </c>
      <c r="T234" s="264" t="s">
        <v>2257</v>
      </c>
      <c r="U234" s="264" t="s">
        <v>4325</v>
      </c>
      <c r="V234" s="264" t="s">
        <v>2254</v>
      </c>
      <c r="W234" s="264" t="s">
        <v>2232</v>
      </c>
      <c r="X234" s="264" t="s">
        <v>2026</v>
      </c>
      <c r="Y234" s="264" t="s">
        <v>4287</v>
      </c>
      <c r="Z234" s="265" t="s">
        <v>3677</v>
      </c>
      <c r="AA234" s="265" t="s">
        <v>2063</v>
      </c>
      <c r="AB234" s="265" t="s">
        <v>2029</v>
      </c>
      <c r="AD234" s="265" t="s">
        <v>2029</v>
      </c>
      <c r="AE234" s="265" t="s">
        <v>2128</v>
      </c>
      <c r="AF234" s="265" t="s">
        <v>3568</v>
      </c>
      <c r="AG234" s="265" t="s">
        <v>2032</v>
      </c>
      <c r="AH234" s="265" t="s">
        <v>2166</v>
      </c>
      <c r="AI234" s="265" t="s">
        <v>2085</v>
      </c>
    </row>
    <row r="235" spans="1:35" x14ac:dyDescent="0.25">
      <c r="A235" s="264" t="str">
        <f>HLOOKUP(Overview!$P$8,$B$1:$AI$1500,235,FALSE)</f>
        <v xml:space="preserve">          10011917</v>
      </c>
      <c r="B235" s="252"/>
      <c r="C235" s="183">
        <v>10000823</v>
      </c>
      <c r="D235" s="288" t="s">
        <v>4245</v>
      </c>
      <c r="E235" s="252" t="s">
        <v>2203</v>
      </c>
      <c r="F235" s="252" t="s">
        <v>1983</v>
      </c>
      <c r="G235" s="252" t="s">
        <v>2128</v>
      </c>
      <c r="I235" s="252" t="s">
        <v>2085</v>
      </c>
      <c r="J235" s="252" t="s">
        <v>2266</v>
      </c>
      <c r="L235" s="252" t="s">
        <v>3675</v>
      </c>
      <c r="M235" s="252" t="s">
        <v>2333</v>
      </c>
      <c r="N235" s="252" t="s">
        <v>1927</v>
      </c>
      <c r="O235" s="252" t="s">
        <v>2026</v>
      </c>
      <c r="P235" s="252" t="s">
        <v>1873</v>
      </c>
      <c r="Q235" s="252" t="s">
        <v>2151</v>
      </c>
      <c r="R235" s="252" t="s">
        <v>3672</v>
      </c>
      <c r="T235" s="252" t="s">
        <v>2276</v>
      </c>
      <c r="U235" s="252" t="s">
        <v>2251</v>
      </c>
      <c r="V235" s="252" t="s">
        <v>2214</v>
      </c>
      <c r="W235" s="252" t="s">
        <v>2128</v>
      </c>
      <c r="X235" s="252" t="s">
        <v>4326</v>
      </c>
      <c r="Y235" s="252" t="s">
        <v>4288</v>
      </c>
      <c r="Z235" s="266" t="s">
        <v>3678</v>
      </c>
      <c r="AA235" s="266" t="s">
        <v>2094</v>
      </c>
      <c r="AB235" s="266" t="s">
        <v>3664</v>
      </c>
      <c r="AD235" s="266" t="s">
        <v>3664</v>
      </c>
      <c r="AE235" s="266" t="s">
        <v>2247</v>
      </c>
      <c r="AF235" s="266" t="s">
        <v>2265</v>
      </c>
      <c r="AG235" s="266" t="s">
        <v>3571</v>
      </c>
      <c r="AH235" s="266" t="s">
        <v>1999</v>
      </c>
      <c r="AI235" s="266" t="s">
        <v>2202</v>
      </c>
    </row>
    <row r="236" spans="1:35" x14ac:dyDescent="0.25">
      <c r="A236" s="264" t="str">
        <f>HLOOKUP(Overview!$P$8,$B$1:$AI$1500,236,FALSE)</f>
        <v xml:space="preserve">          10014800</v>
      </c>
      <c r="B236" s="252"/>
      <c r="C236" s="183">
        <v>10000825</v>
      </c>
      <c r="D236" s="287" t="s">
        <v>2185</v>
      </c>
      <c r="E236" s="264" t="s">
        <v>2397</v>
      </c>
      <c r="F236" s="264" t="s">
        <v>2292</v>
      </c>
      <c r="G236" s="264" t="s">
        <v>2247</v>
      </c>
      <c r="I236" s="264" t="s">
        <v>2202</v>
      </c>
      <c r="J236" s="264" t="s">
        <v>2239</v>
      </c>
      <c r="L236" s="264" t="s">
        <v>3676</v>
      </c>
      <c r="M236" s="264" t="s">
        <v>3569</v>
      </c>
      <c r="N236" s="264" t="s">
        <v>2146</v>
      </c>
      <c r="O236" s="264" t="s">
        <v>3668</v>
      </c>
      <c r="P236" s="264" t="s">
        <v>1940</v>
      </c>
      <c r="Q236" s="264" t="s">
        <v>2166</v>
      </c>
      <c r="R236" s="264" t="s">
        <v>3674</v>
      </c>
      <c r="T236" s="264" t="s">
        <v>2362</v>
      </c>
      <c r="U236" s="264" t="s">
        <v>2102</v>
      </c>
      <c r="V236" s="264" t="s">
        <v>2234</v>
      </c>
      <c r="W236" s="264" t="s">
        <v>2247</v>
      </c>
      <c r="X236" s="264" t="s">
        <v>3668</v>
      </c>
      <c r="Y236" s="264" t="s">
        <v>2178</v>
      </c>
      <c r="Z236" s="265" t="s">
        <v>3680</v>
      </c>
      <c r="AA236" s="265" t="s">
        <v>2232</v>
      </c>
      <c r="AB236" s="265" t="s">
        <v>3665</v>
      </c>
      <c r="AD236" s="265" t="s">
        <v>3665</v>
      </c>
      <c r="AE236" s="265" t="s">
        <v>2134</v>
      </c>
      <c r="AF236" s="265" t="s">
        <v>3540</v>
      </c>
      <c r="AG236" s="265" t="s">
        <v>2084</v>
      </c>
      <c r="AH236" s="265" t="s">
        <v>2135</v>
      </c>
      <c r="AI236" s="265" t="s">
        <v>2104</v>
      </c>
    </row>
    <row r="237" spans="1:35" x14ac:dyDescent="0.25">
      <c r="A237" s="264" t="str">
        <f>HLOOKUP(Overview!$P$8,$B$1:$AI$1500,237,FALSE)</f>
        <v xml:space="preserve">          10021517</v>
      </c>
      <c r="B237" s="252"/>
      <c r="C237" s="183">
        <v>10000826</v>
      </c>
      <c r="D237" s="288" t="s">
        <v>4486</v>
      </c>
      <c r="E237" s="252" t="s">
        <v>4239</v>
      </c>
      <c r="F237" s="252" t="s">
        <v>2032</v>
      </c>
      <c r="G237" s="252" t="s">
        <v>2134</v>
      </c>
      <c r="I237" s="252" t="s">
        <v>3630</v>
      </c>
      <c r="J237" s="252" t="s">
        <v>1931</v>
      </c>
      <c r="L237" s="252" t="s">
        <v>3677</v>
      </c>
      <c r="M237" s="252" t="s">
        <v>3568</v>
      </c>
      <c r="N237" s="252" t="s">
        <v>1963</v>
      </c>
      <c r="O237" s="252" t="s">
        <v>3669</v>
      </c>
      <c r="P237" s="252" t="s">
        <v>4302</v>
      </c>
      <c r="Q237" s="252" t="s">
        <v>2135</v>
      </c>
      <c r="R237" s="252" t="s">
        <v>3890</v>
      </c>
      <c r="T237" s="252" t="s">
        <v>2301</v>
      </c>
      <c r="U237" s="252" t="s">
        <v>2213</v>
      </c>
      <c r="V237" s="252" t="s">
        <v>2221</v>
      </c>
      <c r="W237" s="252" t="s">
        <v>2134</v>
      </c>
      <c r="X237" s="252" t="s">
        <v>3669</v>
      </c>
      <c r="Y237" s="252" t="s">
        <v>2325</v>
      </c>
      <c r="Z237" s="266" t="s">
        <v>2254</v>
      </c>
      <c r="AA237" s="266" t="s">
        <v>2128</v>
      </c>
      <c r="AB237" s="266" t="s">
        <v>2137</v>
      </c>
      <c r="AD237" s="266" t="s">
        <v>2137</v>
      </c>
      <c r="AE237" s="266" t="s">
        <v>1938</v>
      </c>
      <c r="AF237" s="266" t="s">
        <v>2163</v>
      </c>
      <c r="AG237" s="266" t="s">
        <v>2238</v>
      </c>
      <c r="AH237" s="266" t="s">
        <v>2057</v>
      </c>
      <c r="AI237" s="266" t="s">
        <v>1894</v>
      </c>
    </row>
    <row r="238" spans="1:35" x14ac:dyDescent="0.25">
      <c r="A238" s="264" t="str">
        <f>HLOOKUP(Overview!$P$8,$B$1:$AI$1500,238,FALSE)</f>
        <v xml:space="preserve">          10031904</v>
      </c>
      <c r="B238" s="252"/>
      <c r="C238" s="183">
        <v>10000800</v>
      </c>
      <c r="D238" s="287" t="s">
        <v>2275</v>
      </c>
      <c r="E238" s="264" t="s">
        <v>4220</v>
      </c>
      <c r="F238" s="264" t="s">
        <v>2084</v>
      </c>
      <c r="G238" s="264" t="s">
        <v>3629</v>
      </c>
      <c r="I238" s="264" t="s">
        <v>2104</v>
      </c>
      <c r="J238" s="264" t="s">
        <v>1925</v>
      </c>
      <c r="L238" s="264" t="s">
        <v>3678</v>
      </c>
      <c r="M238" s="264" t="s">
        <v>2361</v>
      </c>
      <c r="N238" s="264" t="s">
        <v>2085</v>
      </c>
      <c r="O238" s="264" t="s">
        <v>3670</v>
      </c>
      <c r="P238" s="264" t="s">
        <v>2037</v>
      </c>
      <c r="Q238" s="264" t="s">
        <v>2057</v>
      </c>
      <c r="R238" s="264" t="s">
        <v>3675</v>
      </c>
      <c r="T238" s="264" t="s">
        <v>2179</v>
      </c>
      <c r="U238" s="264" t="s">
        <v>2173</v>
      </c>
      <c r="V238" s="264" t="s">
        <v>4310</v>
      </c>
      <c r="W238" s="264" t="s">
        <v>1938</v>
      </c>
      <c r="X238" s="264" t="s">
        <v>3670</v>
      </c>
      <c r="Y238" s="264" t="s">
        <v>2156</v>
      </c>
      <c r="Z238" s="265" t="s">
        <v>2214</v>
      </c>
      <c r="AA238" s="265" t="s">
        <v>2247</v>
      </c>
      <c r="AB238" s="265" t="s">
        <v>3666</v>
      </c>
      <c r="AD238" s="265" t="s">
        <v>3666</v>
      </c>
      <c r="AE238" s="265" t="s">
        <v>2029</v>
      </c>
      <c r="AF238" s="265" t="s">
        <v>2144</v>
      </c>
      <c r="AG238" s="265" t="s">
        <v>2063</v>
      </c>
      <c r="AH238" s="265" t="s">
        <v>1961</v>
      </c>
      <c r="AI238" s="265" t="s">
        <v>2295</v>
      </c>
    </row>
    <row r="239" spans="1:35" x14ac:dyDescent="0.25">
      <c r="A239" s="264" t="str">
        <f>HLOOKUP(Overview!$P$8,$B$1:$AI$1500,239,FALSE)</f>
        <v xml:space="preserve">          10063897</v>
      </c>
      <c r="B239" s="252"/>
      <c r="C239" s="183">
        <v>10000827</v>
      </c>
      <c r="D239" s="288" t="s">
        <v>2049</v>
      </c>
      <c r="E239" s="252" t="s">
        <v>4240</v>
      </c>
      <c r="F239" s="252" t="s">
        <v>2238</v>
      </c>
      <c r="G239" s="252" t="s">
        <v>1938</v>
      </c>
      <c r="I239" s="252" t="s">
        <v>1894</v>
      </c>
      <c r="J239" s="252" t="s">
        <v>2055</v>
      </c>
      <c r="L239" s="252" t="s">
        <v>3679</v>
      </c>
      <c r="M239" s="252" t="s">
        <v>3631</v>
      </c>
      <c r="N239" s="252" t="s">
        <v>2202</v>
      </c>
      <c r="O239" s="252" t="s">
        <v>3671</v>
      </c>
      <c r="P239" s="252" t="s">
        <v>1960</v>
      </c>
      <c r="Q239" s="252" t="s">
        <v>2240</v>
      </c>
      <c r="R239" s="252" t="s">
        <v>3676</v>
      </c>
      <c r="T239" s="252" t="s">
        <v>2225</v>
      </c>
      <c r="U239" s="252" t="s">
        <v>2257</v>
      </c>
      <c r="V239" s="252" t="s">
        <v>4307</v>
      </c>
      <c r="W239" s="252" t="s">
        <v>2029</v>
      </c>
      <c r="X239" s="252" t="s">
        <v>3671</v>
      </c>
      <c r="Y239" s="252" t="s">
        <v>2266</v>
      </c>
      <c r="Z239" s="266" t="s">
        <v>2234</v>
      </c>
      <c r="AA239" s="266" t="s">
        <v>2134</v>
      </c>
      <c r="AB239" s="266" t="s">
        <v>2228</v>
      </c>
      <c r="AD239" s="266" t="s">
        <v>2228</v>
      </c>
      <c r="AE239" s="266" t="s">
        <v>3664</v>
      </c>
      <c r="AF239" s="266" t="s">
        <v>3583</v>
      </c>
      <c r="AG239" s="266" t="s">
        <v>2094</v>
      </c>
      <c r="AH239" s="266" t="s">
        <v>2240</v>
      </c>
      <c r="AI239" s="266" t="s">
        <v>2321</v>
      </c>
    </row>
    <row r="240" spans="1:35" x14ac:dyDescent="0.25">
      <c r="A240" s="264" t="str">
        <f>HLOOKUP(Overview!$P$8,$B$1:$AI$1500,240,FALSE)</f>
        <v xml:space="preserve">          10090322</v>
      </c>
      <c r="B240" s="252"/>
      <c r="C240" s="183">
        <v>10021904</v>
      </c>
      <c r="D240" s="287" t="s">
        <v>2178</v>
      </c>
      <c r="E240" s="264" t="s">
        <v>4241</v>
      </c>
      <c r="F240" s="264" t="s">
        <v>2063</v>
      </c>
      <c r="G240" s="264" t="s">
        <v>2029</v>
      </c>
      <c r="I240" s="264" t="s">
        <v>2295</v>
      </c>
      <c r="J240" s="264" t="s">
        <v>1983</v>
      </c>
      <c r="L240" s="264" t="s">
        <v>3875</v>
      </c>
      <c r="M240" s="264" t="s">
        <v>2265</v>
      </c>
      <c r="N240" s="264" t="s">
        <v>3630</v>
      </c>
      <c r="O240" s="264" t="s">
        <v>3672</v>
      </c>
      <c r="P240" s="264" t="s">
        <v>2194</v>
      </c>
      <c r="Q240" s="264" t="s">
        <v>1927</v>
      </c>
      <c r="R240" s="264" t="s">
        <v>3677</v>
      </c>
      <c r="T240" s="264" t="s">
        <v>2298</v>
      </c>
      <c r="U240" s="264" t="s">
        <v>2276</v>
      </c>
      <c r="V240" s="264" t="s">
        <v>4308</v>
      </c>
      <c r="W240" s="264" t="s">
        <v>3664</v>
      </c>
      <c r="X240" s="264" t="s">
        <v>3672</v>
      </c>
      <c r="Y240" s="264" t="s">
        <v>2239</v>
      </c>
      <c r="Z240" s="265" t="s">
        <v>2221</v>
      </c>
      <c r="AA240" s="265" t="s">
        <v>3629</v>
      </c>
      <c r="AB240" s="265" t="s">
        <v>2200</v>
      </c>
      <c r="AD240" s="265" t="s">
        <v>2200</v>
      </c>
      <c r="AE240" s="265" t="s">
        <v>3665</v>
      </c>
      <c r="AF240" s="265" t="s">
        <v>2026</v>
      </c>
      <c r="AG240" s="265" t="s">
        <v>2232</v>
      </c>
      <c r="AH240" s="265" t="s">
        <v>1927</v>
      </c>
      <c r="AI240" s="265" t="s">
        <v>2333</v>
      </c>
    </row>
    <row r="241" spans="1:35" x14ac:dyDescent="0.25">
      <c r="A241" s="264" t="str">
        <f>HLOOKUP(Overview!$P$8,$B$1:$AI$1500,241,FALSE)</f>
        <v xml:space="preserve">          10113788</v>
      </c>
      <c r="B241" s="252"/>
      <c r="C241" s="183">
        <v>10087178</v>
      </c>
      <c r="D241" s="288" t="s">
        <v>3568</v>
      </c>
      <c r="E241" s="252" t="s">
        <v>4242</v>
      </c>
      <c r="F241" s="252" t="s">
        <v>2094</v>
      </c>
      <c r="G241" s="252" t="s">
        <v>3664</v>
      </c>
      <c r="I241" s="252" t="s">
        <v>2321</v>
      </c>
      <c r="J241" s="252" t="s">
        <v>2292</v>
      </c>
      <c r="L241" s="252" t="s">
        <v>4308</v>
      </c>
      <c r="M241" s="252" t="s">
        <v>3540</v>
      </c>
      <c r="N241" s="252" t="s">
        <v>2104</v>
      </c>
      <c r="O241" s="252" t="s">
        <v>3673</v>
      </c>
      <c r="P241" s="252" t="s">
        <v>2105</v>
      </c>
      <c r="Q241" s="252" t="s">
        <v>2146</v>
      </c>
      <c r="R241" s="252" t="s">
        <v>2254</v>
      </c>
      <c r="T241" s="252" t="s">
        <v>2289</v>
      </c>
      <c r="U241" s="252" t="s">
        <v>2301</v>
      </c>
      <c r="V241" s="252" t="s">
        <v>4327</v>
      </c>
      <c r="W241" s="252" t="s">
        <v>3665</v>
      </c>
      <c r="X241" s="252" t="s">
        <v>3673</v>
      </c>
      <c r="Y241" s="252" t="s">
        <v>1931</v>
      </c>
      <c r="Z241" s="266" t="s">
        <v>4307</v>
      </c>
      <c r="AA241" s="266" t="s">
        <v>1938</v>
      </c>
      <c r="AB241" s="266" t="s">
        <v>2404</v>
      </c>
      <c r="AD241" s="266" t="s">
        <v>2404</v>
      </c>
      <c r="AE241" s="266" t="s">
        <v>2137</v>
      </c>
      <c r="AF241" s="266" t="s">
        <v>4326</v>
      </c>
      <c r="AG241" s="266" t="s">
        <v>2128</v>
      </c>
      <c r="AH241" s="266" t="s">
        <v>2146</v>
      </c>
      <c r="AI241" s="266" t="s">
        <v>3569</v>
      </c>
    </row>
    <row r="242" spans="1:35" x14ac:dyDescent="0.25">
      <c r="A242" s="264" t="str">
        <f>HLOOKUP(Overview!$P$8,$B$1:$AI$1500,242,FALSE)</f>
        <v xml:space="preserve">          10119613</v>
      </c>
      <c r="B242" s="252"/>
      <c r="C242" s="183">
        <v>10021944</v>
      </c>
      <c r="D242" s="287" t="s">
        <v>4487</v>
      </c>
      <c r="E242" s="264" t="s">
        <v>4223</v>
      </c>
      <c r="F242" s="264" t="s">
        <v>2232</v>
      </c>
      <c r="G242" s="264" t="s">
        <v>3665</v>
      </c>
      <c r="I242" s="264" t="s">
        <v>2333</v>
      </c>
      <c r="J242" s="264" t="s">
        <v>2032</v>
      </c>
      <c r="L242" s="264" t="s">
        <v>4195</v>
      </c>
      <c r="M242" s="264" t="s">
        <v>2163</v>
      </c>
      <c r="N242" s="264" t="s">
        <v>3631</v>
      </c>
      <c r="O242" s="264" t="s">
        <v>3509</v>
      </c>
      <c r="P242" s="264" t="s">
        <v>1953</v>
      </c>
      <c r="Q242" s="264" t="s">
        <v>1963</v>
      </c>
      <c r="R242" s="264" t="s">
        <v>2214</v>
      </c>
      <c r="T242" s="264" t="s">
        <v>2336</v>
      </c>
      <c r="U242" s="264" t="s">
        <v>2179</v>
      </c>
      <c r="V242" s="264" t="s">
        <v>4195</v>
      </c>
      <c r="W242" s="264" t="s">
        <v>2137</v>
      </c>
      <c r="X242" s="264" t="s">
        <v>3674</v>
      </c>
      <c r="Y242" s="264" t="s">
        <v>1925</v>
      </c>
      <c r="Z242" s="265" t="s">
        <v>4195</v>
      </c>
      <c r="AA242" s="265" t="s">
        <v>2029</v>
      </c>
      <c r="AB242" s="265" t="s">
        <v>2252</v>
      </c>
      <c r="AD242" s="265" t="s">
        <v>2252</v>
      </c>
      <c r="AE242" s="265" t="s">
        <v>2228</v>
      </c>
      <c r="AF242" s="265" t="s">
        <v>3668</v>
      </c>
      <c r="AG242" s="265" t="s">
        <v>2247</v>
      </c>
      <c r="AH242" s="265" t="s">
        <v>1963</v>
      </c>
      <c r="AI242" s="265" t="s">
        <v>3568</v>
      </c>
    </row>
    <row r="243" spans="1:35" x14ac:dyDescent="0.25">
      <c r="A243" s="264" t="str">
        <f>HLOOKUP(Overview!$P$8,$B$1:$AI$1500,243,FALSE)</f>
        <v xml:space="preserve">          10119615</v>
      </c>
      <c r="B243" s="252"/>
      <c r="C243" s="183">
        <v>10087177</v>
      </c>
      <c r="D243" s="288" t="s">
        <v>3674</v>
      </c>
      <c r="E243" s="252" t="s">
        <v>4243</v>
      </c>
      <c r="F243" s="252" t="s">
        <v>2128</v>
      </c>
      <c r="G243" s="252" t="s">
        <v>2137</v>
      </c>
      <c r="I243" s="252" t="s">
        <v>3569</v>
      </c>
      <c r="J243" s="252" t="s">
        <v>3571</v>
      </c>
      <c r="L243" s="252" t="s">
        <v>4268</v>
      </c>
      <c r="M243" s="252" t="s">
        <v>2144</v>
      </c>
      <c r="N243" s="252" t="s">
        <v>2265</v>
      </c>
      <c r="O243" s="252" t="s">
        <v>3890</v>
      </c>
      <c r="P243" s="252" t="s">
        <v>2109</v>
      </c>
      <c r="Q243" s="252" t="s">
        <v>2085</v>
      </c>
      <c r="R243" s="252" t="s">
        <v>2234</v>
      </c>
      <c r="T243" s="252" t="s">
        <v>2279</v>
      </c>
      <c r="U243" s="252" t="s">
        <v>2225</v>
      </c>
      <c r="V243" s="252" t="s">
        <v>4268</v>
      </c>
      <c r="W243" s="252" t="s">
        <v>2228</v>
      </c>
      <c r="X243" s="252" t="s">
        <v>3509</v>
      </c>
      <c r="Y243" s="252" t="s">
        <v>2055</v>
      </c>
      <c r="Z243" s="266" t="s">
        <v>4197</v>
      </c>
      <c r="AA243" s="266" t="s">
        <v>3664</v>
      </c>
      <c r="AB243" s="266" t="s">
        <v>2272</v>
      </c>
      <c r="AD243" s="266" t="s">
        <v>2272</v>
      </c>
      <c r="AE243" s="266" t="s">
        <v>2200</v>
      </c>
      <c r="AF243" s="266" t="s">
        <v>3669</v>
      </c>
      <c r="AG243" s="266" t="s">
        <v>2134</v>
      </c>
      <c r="AH243" s="266" t="s">
        <v>2085</v>
      </c>
      <c r="AI243" s="266" t="s">
        <v>2265</v>
      </c>
    </row>
    <row r="244" spans="1:35" x14ac:dyDescent="0.25">
      <c r="A244" s="264" t="str">
        <f>HLOOKUP(Overview!$P$8,$B$1:$AI$1500,244,FALSE)</f>
        <v xml:space="preserve">          10119618</v>
      </c>
      <c r="B244" s="252"/>
      <c r="C244" s="183">
        <v>10021907</v>
      </c>
      <c r="D244" s="287" t="s">
        <v>4488</v>
      </c>
      <c r="E244" s="264" t="s">
        <v>4226</v>
      </c>
      <c r="F244" s="264" t="s">
        <v>2247</v>
      </c>
      <c r="G244" s="264" t="s">
        <v>3666</v>
      </c>
      <c r="I244" s="264" t="s">
        <v>3568</v>
      </c>
      <c r="J244" s="264" t="s">
        <v>2084</v>
      </c>
      <c r="L244" s="264" t="s">
        <v>4199</v>
      </c>
      <c r="M244" s="264" t="s">
        <v>2026</v>
      </c>
      <c r="N244" s="264" t="s">
        <v>3540</v>
      </c>
      <c r="O244" s="264" t="s">
        <v>3871</v>
      </c>
      <c r="P244" s="264" t="s">
        <v>2151</v>
      </c>
      <c r="Q244" s="264" t="s">
        <v>2202</v>
      </c>
      <c r="R244" s="264" t="s">
        <v>2221</v>
      </c>
      <c r="T244" s="264" t="s">
        <v>2011</v>
      </c>
      <c r="U244" s="264" t="s">
        <v>2298</v>
      </c>
      <c r="V244" s="264" t="s">
        <v>4197</v>
      </c>
      <c r="W244" s="264" t="s">
        <v>2200</v>
      </c>
      <c r="X244" s="264" t="s">
        <v>3675</v>
      </c>
      <c r="Y244" s="264" t="s">
        <v>1983</v>
      </c>
      <c r="Z244" s="265" t="s">
        <v>4267</v>
      </c>
      <c r="AA244" s="265" t="s">
        <v>3665</v>
      </c>
      <c r="AB244" s="265" t="s">
        <v>2153</v>
      </c>
      <c r="AD244" s="265" t="s">
        <v>3591</v>
      </c>
      <c r="AE244" s="265" t="s">
        <v>2404</v>
      </c>
      <c r="AF244" s="265" t="s">
        <v>3670</v>
      </c>
      <c r="AG244" s="265" t="s">
        <v>4328</v>
      </c>
      <c r="AH244" s="265" t="s">
        <v>2202</v>
      </c>
      <c r="AI244" s="265" t="s">
        <v>3540</v>
      </c>
    </row>
    <row r="245" spans="1:35" x14ac:dyDescent="0.25">
      <c r="A245" s="264" t="str">
        <f>HLOOKUP(Overview!$P$8,$B$1:$AI$1500,245,FALSE)</f>
        <v xml:space="preserve">          10063825</v>
      </c>
      <c r="B245" s="252"/>
      <c r="C245" s="183">
        <v>10087179</v>
      </c>
      <c r="D245" s="288" t="s">
        <v>2091</v>
      </c>
      <c r="E245" s="252" t="s">
        <v>2051</v>
      </c>
      <c r="F245" s="252" t="s">
        <v>2134</v>
      </c>
      <c r="G245" s="252" t="s">
        <v>2228</v>
      </c>
      <c r="I245" s="252" t="s">
        <v>2265</v>
      </c>
      <c r="J245" s="252" t="s">
        <v>2238</v>
      </c>
      <c r="L245" s="252" t="s">
        <v>4260</v>
      </c>
      <c r="M245" s="252" t="s">
        <v>3668</v>
      </c>
      <c r="N245" s="252" t="s">
        <v>2163</v>
      </c>
      <c r="O245" s="252" t="s">
        <v>3675</v>
      </c>
      <c r="P245" s="252" t="s">
        <v>2166</v>
      </c>
      <c r="Q245" s="252" t="s">
        <v>3630</v>
      </c>
      <c r="R245" s="252" t="s">
        <v>2313</v>
      </c>
      <c r="T245" s="252" t="s">
        <v>2043</v>
      </c>
      <c r="U245" s="252" t="s">
        <v>2289</v>
      </c>
      <c r="V245" s="252" t="s">
        <v>4267</v>
      </c>
      <c r="W245" s="252" t="s">
        <v>2404</v>
      </c>
      <c r="X245" s="252" t="s">
        <v>3676</v>
      </c>
      <c r="Y245" s="252" t="s">
        <v>2032</v>
      </c>
      <c r="Z245" s="266" t="s">
        <v>4199</v>
      </c>
      <c r="AA245" s="266" t="s">
        <v>2137</v>
      </c>
      <c r="AB245" s="266" t="s">
        <v>2064</v>
      </c>
      <c r="AD245" s="266" t="s">
        <v>2153</v>
      </c>
      <c r="AE245" s="266" t="s">
        <v>2252</v>
      </c>
      <c r="AF245" s="266" t="s">
        <v>3671</v>
      </c>
      <c r="AG245" s="266" t="s">
        <v>4329</v>
      </c>
      <c r="AH245" s="266" t="s">
        <v>2104</v>
      </c>
      <c r="AI245" s="266" t="s">
        <v>2163</v>
      </c>
    </row>
    <row r="246" spans="1:35" x14ac:dyDescent="0.25">
      <c r="A246" s="264" t="str">
        <f>HLOOKUP(Overview!$P$8,$B$1:$AI$1500,246,FALSE)</f>
        <v xml:space="preserve">          10063828</v>
      </c>
      <c r="B246" s="252"/>
      <c r="C246" s="183">
        <v>10027353</v>
      </c>
      <c r="D246" s="287" t="s">
        <v>1942</v>
      </c>
      <c r="E246" s="264" t="s">
        <v>1903</v>
      </c>
      <c r="F246" s="264" t="s">
        <v>3629</v>
      </c>
      <c r="G246" s="264" t="s">
        <v>2200</v>
      </c>
      <c r="I246" s="264" t="s">
        <v>3540</v>
      </c>
      <c r="J246" s="264" t="s">
        <v>4300</v>
      </c>
      <c r="L246" s="264" t="s">
        <v>4261</v>
      </c>
      <c r="M246" s="264" t="s">
        <v>3669</v>
      </c>
      <c r="N246" s="264" t="s">
        <v>2144</v>
      </c>
      <c r="O246" s="264" t="s">
        <v>3676</v>
      </c>
      <c r="P246" s="264" t="s">
        <v>2135</v>
      </c>
      <c r="Q246" s="264" t="s">
        <v>2104</v>
      </c>
      <c r="R246" s="264" t="s">
        <v>4310</v>
      </c>
      <c r="T246" s="264" t="s">
        <v>3688</v>
      </c>
      <c r="U246" s="264" t="s">
        <v>3686</v>
      </c>
      <c r="V246" s="264" t="s">
        <v>4199</v>
      </c>
      <c r="W246" s="264" t="s">
        <v>2252</v>
      </c>
      <c r="X246" s="264" t="s">
        <v>3677</v>
      </c>
      <c r="Y246" s="264" t="s">
        <v>2084</v>
      </c>
      <c r="Z246" s="265" t="s">
        <v>4330</v>
      </c>
      <c r="AA246" s="265" t="s">
        <v>2228</v>
      </c>
      <c r="AB246" s="265" t="s">
        <v>2127</v>
      </c>
      <c r="AD246" s="265" t="s">
        <v>2064</v>
      </c>
      <c r="AE246" s="265" t="s">
        <v>2272</v>
      </c>
      <c r="AF246" s="265" t="s">
        <v>3672</v>
      </c>
      <c r="AG246" s="265" t="s">
        <v>4331</v>
      </c>
      <c r="AH246" s="265" t="s">
        <v>1894</v>
      </c>
      <c r="AI246" s="265" t="s">
        <v>2144</v>
      </c>
    </row>
    <row r="247" spans="1:35" x14ac:dyDescent="0.25">
      <c r="A247" s="264" t="str">
        <f>HLOOKUP(Overview!$P$8,$B$1:$AI$1500,247,FALSE)</f>
        <v xml:space="preserve">          10063829</v>
      </c>
      <c r="B247" s="252"/>
      <c r="C247" s="183">
        <v>10001402</v>
      </c>
      <c r="D247" s="288" t="s">
        <v>1959</v>
      </c>
      <c r="E247" s="252" t="s">
        <v>2005</v>
      </c>
      <c r="F247" s="252" t="s">
        <v>1938</v>
      </c>
      <c r="G247" s="252" t="s">
        <v>2404</v>
      </c>
      <c r="I247" s="252" t="s">
        <v>2163</v>
      </c>
      <c r="J247" s="252" t="s">
        <v>2063</v>
      </c>
      <c r="L247" s="252" t="s">
        <v>4312</v>
      </c>
      <c r="M247" s="252" t="s">
        <v>3671</v>
      </c>
      <c r="N247" s="252" t="s">
        <v>3668</v>
      </c>
      <c r="O247" s="252" t="s">
        <v>3677</v>
      </c>
      <c r="P247" s="252" t="s">
        <v>2057</v>
      </c>
      <c r="Q247" s="252" t="s">
        <v>2295</v>
      </c>
      <c r="R247" s="252" t="s">
        <v>4308</v>
      </c>
      <c r="T247" s="252" t="s">
        <v>3689</v>
      </c>
      <c r="U247" s="252" t="s">
        <v>3687</v>
      </c>
      <c r="V247" s="252" t="s">
        <v>4269</v>
      </c>
      <c r="W247" s="252" t="s">
        <v>2272</v>
      </c>
      <c r="X247" s="252" t="s">
        <v>3678</v>
      </c>
      <c r="Y247" s="252" t="s">
        <v>2063</v>
      </c>
      <c r="Z247" s="266" t="s">
        <v>4260</v>
      </c>
      <c r="AA247" s="266" t="s">
        <v>2200</v>
      </c>
      <c r="AB247" s="266" t="s">
        <v>1977</v>
      </c>
      <c r="AD247" s="266" t="s">
        <v>2127</v>
      </c>
      <c r="AE247" s="266" t="s">
        <v>2153</v>
      </c>
      <c r="AF247" s="266" t="s">
        <v>3673</v>
      </c>
      <c r="AG247" s="266" t="s">
        <v>4332</v>
      </c>
      <c r="AH247" s="266" t="s">
        <v>2295</v>
      </c>
      <c r="AI247" s="266" t="s">
        <v>3583</v>
      </c>
    </row>
    <row r="248" spans="1:35" x14ac:dyDescent="0.25">
      <c r="A248" s="264" t="str">
        <f>HLOOKUP(Overview!$P$8,$B$1:$AI$1500,248,FALSE)</f>
        <v xml:space="preserve">          10063830</v>
      </c>
      <c r="B248" s="252"/>
      <c r="C248" s="183">
        <v>10000237</v>
      </c>
      <c r="D248" s="287" t="s">
        <v>1998</v>
      </c>
      <c r="E248" s="264" t="s">
        <v>4219</v>
      </c>
      <c r="F248" s="264" t="s">
        <v>2029</v>
      </c>
      <c r="G248" s="264" t="s">
        <v>2252</v>
      </c>
      <c r="I248" s="264" t="s">
        <v>2144</v>
      </c>
      <c r="J248" s="264" t="s">
        <v>2094</v>
      </c>
      <c r="L248" s="264" t="s">
        <v>4262</v>
      </c>
      <c r="M248" s="264" t="s">
        <v>3672</v>
      </c>
      <c r="N248" s="264" t="s">
        <v>3669</v>
      </c>
      <c r="O248" s="264" t="s">
        <v>3680</v>
      </c>
      <c r="P248" s="264" t="s">
        <v>2240</v>
      </c>
      <c r="Q248" s="264" t="s">
        <v>2321</v>
      </c>
      <c r="R248" s="264" t="s">
        <v>4268</v>
      </c>
      <c r="T248" s="264" t="s">
        <v>2354</v>
      </c>
      <c r="U248" s="264" t="s">
        <v>3688</v>
      </c>
      <c r="V248" s="264" t="s">
        <v>4260</v>
      </c>
      <c r="W248" s="264" t="s">
        <v>3591</v>
      </c>
      <c r="X248" s="264" t="s">
        <v>3679</v>
      </c>
      <c r="Y248" s="264" t="s">
        <v>2094</v>
      </c>
      <c r="Z248" s="265" t="s">
        <v>4261</v>
      </c>
      <c r="AA248" s="265" t="s">
        <v>2404</v>
      </c>
      <c r="AB248" s="265" t="s">
        <v>2157</v>
      </c>
      <c r="AD248" s="265" t="s">
        <v>1977</v>
      </c>
      <c r="AE248" s="265" t="s">
        <v>2064</v>
      </c>
      <c r="AF248" s="265" t="s">
        <v>3674</v>
      </c>
      <c r="AG248" s="265" t="s">
        <v>4333</v>
      </c>
      <c r="AH248" s="265" t="s">
        <v>2321</v>
      </c>
      <c r="AI248" s="265" t="s">
        <v>2026</v>
      </c>
    </row>
    <row r="249" spans="1:35" x14ac:dyDescent="0.25">
      <c r="A249" s="264" t="str">
        <f>HLOOKUP(Overview!$P$8,$B$1:$AI$1500,249,FALSE)</f>
        <v xml:space="preserve">          10083916</v>
      </c>
      <c r="B249" s="252"/>
      <c r="C249" s="183">
        <v>20004161</v>
      </c>
      <c r="D249" s="288" t="s">
        <v>2140</v>
      </c>
      <c r="E249" s="252" t="s">
        <v>4259</v>
      </c>
      <c r="F249" s="252" t="s">
        <v>3664</v>
      </c>
      <c r="G249" s="252" t="s">
        <v>2272</v>
      </c>
      <c r="I249" s="252" t="s">
        <v>2168</v>
      </c>
      <c r="J249" s="252" t="s">
        <v>2134</v>
      </c>
      <c r="L249" s="252" t="s">
        <v>4263</v>
      </c>
      <c r="M249" s="252" t="s">
        <v>3674</v>
      </c>
      <c r="N249" s="252" t="s">
        <v>3670</v>
      </c>
      <c r="O249" s="252" t="s">
        <v>3875</v>
      </c>
      <c r="P249" s="252" t="s">
        <v>1927</v>
      </c>
      <c r="Q249" s="252" t="s">
        <v>2333</v>
      </c>
      <c r="R249" s="252" t="s">
        <v>4197</v>
      </c>
      <c r="T249" s="252" t="s">
        <v>2356</v>
      </c>
      <c r="U249" s="252" t="s">
        <v>3689</v>
      </c>
      <c r="V249" s="252" t="s">
        <v>4261</v>
      </c>
      <c r="W249" s="252" t="s">
        <v>2153</v>
      </c>
      <c r="X249" s="252" t="s">
        <v>3680</v>
      </c>
      <c r="Y249" s="252" t="s">
        <v>2232</v>
      </c>
      <c r="Z249" s="266" t="s">
        <v>4262</v>
      </c>
      <c r="AA249" s="266" t="s">
        <v>2252</v>
      </c>
      <c r="AB249" s="266" t="s">
        <v>1873</v>
      </c>
      <c r="AD249" s="266" t="s">
        <v>2157</v>
      </c>
      <c r="AE249" s="266" t="s">
        <v>2127</v>
      </c>
      <c r="AF249" s="266" t="s">
        <v>3509</v>
      </c>
      <c r="AG249" s="266" t="s">
        <v>4334</v>
      </c>
      <c r="AH249" s="266" t="s">
        <v>2333</v>
      </c>
      <c r="AI249" s="266" t="s">
        <v>4326</v>
      </c>
    </row>
    <row r="250" spans="1:35" x14ac:dyDescent="0.25">
      <c r="A250" s="264" t="str">
        <f>HLOOKUP(Overview!$P$8,$B$1:$AI$1500,250,FALSE)</f>
        <v xml:space="preserve">          10083917</v>
      </c>
      <c r="B250" s="252"/>
      <c r="C250" s="183">
        <v>20004165</v>
      </c>
      <c r="D250" s="287" t="s">
        <v>2086</v>
      </c>
      <c r="E250" s="264" t="s">
        <v>4221</v>
      </c>
      <c r="F250" s="264" t="s">
        <v>3665</v>
      </c>
      <c r="G250" s="264" t="s">
        <v>3591</v>
      </c>
      <c r="I250" s="264" t="s">
        <v>3583</v>
      </c>
      <c r="J250" s="264" t="s">
        <v>3629</v>
      </c>
      <c r="L250" s="264" t="s">
        <v>4271</v>
      </c>
      <c r="M250" s="264" t="s">
        <v>3509</v>
      </c>
      <c r="N250" s="264" t="s">
        <v>3671</v>
      </c>
      <c r="O250" s="264" t="s">
        <v>2254</v>
      </c>
      <c r="P250" s="264" t="s">
        <v>2146</v>
      </c>
      <c r="Q250" s="264" t="s">
        <v>2162</v>
      </c>
      <c r="R250" s="264" t="s">
        <v>4267</v>
      </c>
      <c r="T250" s="264" t="s">
        <v>2344</v>
      </c>
      <c r="U250" s="264" t="s">
        <v>2354</v>
      </c>
      <c r="V250" s="264" t="s">
        <v>4312</v>
      </c>
      <c r="W250" s="264" t="s">
        <v>2064</v>
      </c>
      <c r="X250" s="264" t="s">
        <v>3874</v>
      </c>
      <c r="Y250" s="264" t="s">
        <v>2128</v>
      </c>
      <c r="Z250" s="265" t="s">
        <v>4263</v>
      </c>
      <c r="AA250" s="265" t="s">
        <v>2272</v>
      </c>
      <c r="AB250" s="265" t="s">
        <v>1940</v>
      </c>
      <c r="AD250" s="265" t="s">
        <v>1926</v>
      </c>
      <c r="AE250" s="265" t="s">
        <v>1977</v>
      </c>
      <c r="AF250" s="265" t="s">
        <v>3675</v>
      </c>
      <c r="AG250" s="265" t="s">
        <v>1938</v>
      </c>
      <c r="AH250" s="265" t="s">
        <v>2265</v>
      </c>
      <c r="AI250" s="265" t="s">
        <v>3668</v>
      </c>
    </row>
    <row r="251" spans="1:35" x14ac:dyDescent="0.25">
      <c r="A251" s="264" t="str">
        <f>HLOOKUP(Overview!$P$8,$B$1:$AI$1500,251,FALSE)</f>
        <v xml:space="preserve">          10090140</v>
      </c>
      <c r="B251" s="252"/>
      <c r="C251" s="183">
        <v>20023539</v>
      </c>
      <c r="D251" s="288" t="s">
        <v>2124</v>
      </c>
      <c r="E251" s="252" t="s">
        <v>3593</v>
      </c>
      <c r="F251" s="252" t="s">
        <v>2137</v>
      </c>
      <c r="G251" s="252" t="s">
        <v>2153</v>
      </c>
      <c r="I251" s="252" t="s">
        <v>2026</v>
      </c>
      <c r="J251" s="252" t="s">
        <v>1938</v>
      </c>
      <c r="L251" s="252" t="s">
        <v>4335</v>
      </c>
      <c r="M251" s="252" t="s">
        <v>3890</v>
      </c>
      <c r="N251" s="252" t="s">
        <v>3672</v>
      </c>
      <c r="O251" s="252" t="s">
        <v>2214</v>
      </c>
      <c r="P251" s="252" t="s">
        <v>1963</v>
      </c>
      <c r="Q251" s="252" t="s">
        <v>2308</v>
      </c>
      <c r="R251" s="252" t="s">
        <v>4199</v>
      </c>
      <c r="T251" s="252" t="s">
        <v>3512</v>
      </c>
      <c r="U251" s="252" t="s">
        <v>2356</v>
      </c>
      <c r="V251" s="252" t="s">
        <v>4262</v>
      </c>
      <c r="W251" s="252" t="s">
        <v>2127</v>
      </c>
      <c r="X251" s="252" t="s">
        <v>3681</v>
      </c>
      <c r="Y251" s="252" t="s">
        <v>2247</v>
      </c>
      <c r="Z251" s="266" t="s">
        <v>4271</v>
      </c>
      <c r="AA251" s="266" t="s">
        <v>3591</v>
      </c>
      <c r="AB251" s="266" t="s">
        <v>2236</v>
      </c>
      <c r="AD251" s="266" t="s">
        <v>1873</v>
      </c>
      <c r="AE251" s="266" t="s">
        <v>2157</v>
      </c>
      <c r="AF251" s="266" t="s">
        <v>3676</v>
      </c>
      <c r="AG251" s="266" t="s">
        <v>2029</v>
      </c>
      <c r="AH251" s="266" t="s">
        <v>3540</v>
      </c>
      <c r="AI251" s="266" t="s">
        <v>3669</v>
      </c>
    </row>
    <row r="252" spans="1:35" x14ac:dyDescent="0.25">
      <c r="A252" s="264" t="str">
        <f>HLOOKUP(Overview!$P$8,$B$1:$AI$1500,252,FALSE)</f>
        <v xml:space="preserve">          10090141</v>
      </c>
      <c r="B252" s="252"/>
      <c r="C252" s="183">
        <v>20000105</v>
      </c>
      <c r="D252" s="287" t="s">
        <v>2070</v>
      </c>
      <c r="E252" s="264" t="s">
        <v>4244</v>
      </c>
      <c r="F252" s="264" t="s">
        <v>2228</v>
      </c>
      <c r="G252" s="264" t="s">
        <v>2064</v>
      </c>
      <c r="I252" s="264" t="s">
        <v>4326</v>
      </c>
      <c r="J252" s="264" t="s">
        <v>2029</v>
      </c>
      <c r="L252" s="264" t="s">
        <v>4277</v>
      </c>
      <c r="M252" s="264" t="s">
        <v>3871</v>
      </c>
      <c r="N252" s="264" t="s">
        <v>3673</v>
      </c>
      <c r="O252" s="264" t="s">
        <v>2234</v>
      </c>
      <c r="P252" s="264" t="s">
        <v>2085</v>
      </c>
      <c r="Q252" s="264" t="s">
        <v>3631</v>
      </c>
      <c r="R252" s="264" t="s">
        <v>4260</v>
      </c>
      <c r="T252" s="264" t="s">
        <v>3421</v>
      </c>
      <c r="U252" s="264" t="s">
        <v>2344</v>
      </c>
      <c r="V252" s="264" t="s">
        <v>4263</v>
      </c>
      <c r="W252" s="264" t="s">
        <v>1977</v>
      </c>
      <c r="X252" s="264" t="s">
        <v>2214</v>
      </c>
      <c r="Y252" s="264" t="s">
        <v>2134</v>
      </c>
      <c r="Z252" s="265" t="s">
        <v>4278</v>
      </c>
      <c r="AA252" s="265" t="s">
        <v>2153</v>
      </c>
      <c r="AB252" s="265" t="s">
        <v>2037</v>
      </c>
      <c r="AD252" s="265" t="s">
        <v>1940</v>
      </c>
      <c r="AE252" s="265" t="s">
        <v>1926</v>
      </c>
      <c r="AF252" s="265" t="s">
        <v>3677</v>
      </c>
      <c r="AG252" s="265" t="s">
        <v>3664</v>
      </c>
      <c r="AH252" s="265" t="s">
        <v>2163</v>
      </c>
      <c r="AI252" s="265" t="s">
        <v>3670</v>
      </c>
    </row>
    <row r="253" spans="1:35" x14ac:dyDescent="0.25">
      <c r="A253" s="264" t="str">
        <f>HLOOKUP(Overview!$P$8,$B$1:$AI$1500,253,FALSE)</f>
        <v xml:space="preserve">          10084737</v>
      </c>
      <c r="B253" s="252"/>
      <c r="C253" s="183">
        <v>10033032</v>
      </c>
      <c r="D253" s="288" t="s">
        <v>2416</v>
      </c>
      <c r="E253" s="252" t="s">
        <v>4245</v>
      </c>
      <c r="F253" s="252" t="s">
        <v>2200</v>
      </c>
      <c r="G253" s="252" t="s">
        <v>2127</v>
      </c>
      <c r="I253" s="252" t="s">
        <v>3668</v>
      </c>
      <c r="J253" s="252" t="s">
        <v>3664</v>
      </c>
      <c r="L253" s="252" t="s">
        <v>4278</v>
      </c>
      <c r="M253" s="252" t="s">
        <v>3675</v>
      </c>
      <c r="N253" s="252" t="s">
        <v>3674</v>
      </c>
      <c r="O253" s="252" t="s">
        <v>2221</v>
      </c>
      <c r="P253" s="252" t="s">
        <v>2202</v>
      </c>
      <c r="Q253" s="252" t="s">
        <v>3540</v>
      </c>
      <c r="R253" s="252" t="s">
        <v>4261</v>
      </c>
      <c r="T253" s="252" t="s">
        <v>3417</v>
      </c>
      <c r="U253" s="252" t="s">
        <v>2394</v>
      </c>
      <c r="V253" s="252" t="s">
        <v>4271</v>
      </c>
      <c r="W253" s="252" t="s">
        <v>2157</v>
      </c>
      <c r="X253" s="252" t="s">
        <v>2313</v>
      </c>
      <c r="Y253" s="252" t="s">
        <v>3629</v>
      </c>
      <c r="Z253" s="266" t="s">
        <v>4272</v>
      </c>
      <c r="AA253" s="266" t="s">
        <v>2064</v>
      </c>
      <c r="AB253" s="266" t="s">
        <v>1960</v>
      </c>
      <c r="AD253" s="266" t="s">
        <v>2236</v>
      </c>
      <c r="AE253" s="266" t="s">
        <v>1873</v>
      </c>
      <c r="AF253" s="266" t="s">
        <v>3678</v>
      </c>
      <c r="AG253" s="266" t="s">
        <v>3665</v>
      </c>
      <c r="AH253" s="266" t="s">
        <v>2144</v>
      </c>
      <c r="AI253" s="266" t="s">
        <v>3671</v>
      </c>
    </row>
    <row r="254" spans="1:35" x14ac:dyDescent="0.25">
      <c r="A254" s="264" t="str">
        <f>HLOOKUP(Overview!$P$8,$B$1:$AI$1500,254,FALSE)</f>
        <v xml:space="preserve">          10086430</v>
      </c>
      <c r="B254" s="252"/>
      <c r="C254" s="183">
        <v>10000836</v>
      </c>
      <c r="D254" s="287" t="s">
        <v>2388</v>
      </c>
      <c r="E254" s="264" t="s">
        <v>4246</v>
      </c>
      <c r="F254" s="264" t="s">
        <v>2404</v>
      </c>
      <c r="G254" s="264" t="s">
        <v>1977</v>
      </c>
      <c r="I254" s="264" t="s">
        <v>3669</v>
      </c>
      <c r="J254" s="264" t="s">
        <v>3665</v>
      </c>
      <c r="L254" s="264" t="s">
        <v>4315</v>
      </c>
      <c r="M254" s="264" t="s">
        <v>3676</v>
      </c>
      <c r="N254" s="264" t="s">
        <v>3509</v>
      </c>
      <c r="O254" s="264" t="s">
        <v>4310</v>
      </c>
      <c r="P254" s="264" t="s">
        <v>3630</v>
      </c>
      <c r="Q254" s="264" t="s">
        <v>3668</v>
      </c>
      <c r="R254" s="264" t="s">
        <v>4312</v>
      </c>
      <c r="T254" s="264" t="s">
        <v>3510</v>
      </c>
      <c r="U254" s="264" t="s">
        <v>3512</v>
      </c>
      <c r="V254" s="264" t="s">
        <v>4336</v>
      </c>
      <c r="W254" s="264" t="s">
        <v>1926</v>
      </c>
      <c r="X254" s="264" t="s">
        <v>4310</v>
      </c>
      <c r="Y254" s="264" t="s">
        <v>1938</v>
      </c>
      <c r="Z254" s="265" t="s">
        <v>4280</v>
      </c>
      <c r="AA254" s="265" t="s">
        <v>2127</v>
      </c>
      <c r="AB254" s="265" t="s">
        <v>2194</v>
      </c>
      <c r="AD254" s="265" t="s">
        <v>2037</v>
      </c>
      <c r="AE254" s="265" t="s">
        <v>1940</v>
      </c>
      <c r="AF254" s="265" t="s">
        <v>3679</v>
      </c>
      <c r="AG254" s="265" t="s">
        <v>2137</v>
      </c>
      <c r="AH254" s="265" t="s">
        <v>3668</v>
      </c>
      <c r="AI254" s="265" t="s">
        <v>3672</v>
      </c>
    </row>
    <row r="255" spans="1:35" x14ac:dyDescent="0.25">
      <c r="A255" s="264" t="str">
        <f>HLOOKUP(Overview!$P$8,$B$1:$AI$1500,255,FALSE)</f>
        <v xml:space="preserve">          10089269</v>
      </c>
      <c r="B255" s="252"/>
      <c r="C255" s="183">
        <v>10002434</v>
      </c>
      <c r="D255" s="288" t="s">
        <v>2384</v>
      </c>
      <c r="E255" s="252" t="s">
        <v>4247</v>
      </c>
      <c r="F255" s="252" t="s">
        <v>2252</v>
      </c>
      <c r="G255" s="252" t="s">
        <v>2157</v>
      </c>
      <c r="I255" s="252" t="s">
        <v>3670</v>
      </c>
      <c r="J255" s="252" t="s">
        <v>2137</v>
      </c>
      <c r="L255" s="252" t="s">
        <v>4272</v>
      </c>
      <c r="M255" s="252" t="s">
        <v>3677</v>
      </c>
      <c r="N255" s="252" t="s">
        <v>3675</v>
      </c>
      <c r="O255" s="252" t="s">
        <v>4307</v>
      </c>
      <c r="P255" s="252" t="s">
        <v>2104</v>
      </c>
      <c r="Q255" s="252" t="s">
        <v>3670</v>
      </c>
      <c r="R255" s="252" t="s">
        <v>4262</v>
      </c>
      <c r="T255" s="252" t="s">
        <v>3690</v>
      </c>
      <c r="U255" s="252" t="s">
        <v>3421</v>
      </c>
      <c r="V255" s="252" t="s">
        <v>4278</v>
      </c>
      <c r="W255" s="252" t="s">
        <v>1873</v>
      </c>
      <c r="X255" s="252" t="s">
        <v>4307</v>
      </c>
      <c r="Y255" s="252" t="s">
        <v>2029</v>
      </c>
      <c r="Z255" s="266" t="s">
        <v>4264</v>
      </c>
      <c r="AA255" s="266" t="s">
        <v>1977</v>
      </c>
      <c r="AB255" s="266" t="s">
        <v>2105</v>
      </c>
      <c r="AD255" s="266" t="s">
        <v>1960</v>
      </c>
      <c r="AE255" s="266" t="s">
        <v>2236</v>
      </c>
      <c r="AF255" s="266" t="s">
        <v>3680</v>
      </c>
      <c r="AG255" s="266" t="s">
        <v>3666</v>
      </c>
      <c r="AH255" s="266" t="s">
        <v>3669</v>
      </c>
      <c r="AI255" s="266" t="s">
        <v>3673</v>
      </c>
    </row>
    <row r="256" spans="1:35" x14ac:dyDescent="0.25">
      <c r="A256" s="264" t="str">
        <f>HLOOKUP(Overview!$P$8,$B$1:$AI$1500,256,FALSE)</f>
        <v xml:space="preserve">          10089301</v>
      </c>
      <c r="B256" s="252"/>
      <c r="C256" s="183">
        <v>10001037</v>
      </c>
      <c r="D256" s="287" t="s">
        <v>2382</v>
      </c>
      <c r="E256" s="264" t="s">
        <v>4248</v>
      </c>
      <c r="F256" s="264" t="s">
        <v>2272</v>
      </c>
      <c r="G256" s="264" t="s">
        <v>1926</v>
      </c>
      <c r="I256" s="264" t="s">
        <v>3671</v>
      </c>
      <c r="J256" s="264" t="s">
        <v>2228</v>
      </c>
      <c r="L256" s="264" t="s">
        <v>4280</v>
      </c>
      <c r="M256" s="264" t="s">
        <v>3678</v>
      </c>
      <c r="N256" s="264" t="s">
        <v>3676</v>
      </c>
      <c r="O256" s="264" t="s">
        <v>4308</v>
      </c>
      <c r="P256" s="264" t="s">
        <v>3568</v>
      </c>
      <c r="Q256" s="264" t="s">
        <v>3671</v>
      </c>
      <c r="R256" s="264" t="s">
        <v>4263</v>
      </c>
      <c r="T256" s="264" t="s">
        <v>3595</v>
      </c>
      <c r="U256" s="264" t="s">
        <v>3417</v>
      </c>
      <c r="V256" s="264" t="s">
        <v>4315</v>
      </c>
      <c r="W256" s="264" t="s">
        <v>1940</v>
      </c>
      <c r="X256" s="264" t="s">
        <v>4308</v>
      </c>
      <c r="Y256" s="264" t="s">
        <v>3664</v>
      </c>
      <c r="Z256" s="265" t="s">
        <v>4274</v>
      </c>
      <c r="AA256" s="265" t="s">
        <v>2157</v>
      </c>
      <c r="AB256" s="265" t="s">
        <v>1953</v>
      </c>
      <c r="AD256" s="265" t="s">
        <v>2194</v>
      </c>
      <c r="AE256" s="265" t="s">
        <v>2037</v>
      </c>
      <c r="AF256" s="265" t="s">
        <v>3874</v>
      </c>
      <c r="AG256" s="265" t="s">
        <v>2228</v>
      </c>
      <c r="AH256" s="265" t="s">
        <v>3670</v>
      </c>
      <c r="AI256" s="265" t="s">
        <v>3509</v>
      </c>
    </row>
    <row r="257" spans="1:35" x14ac:dyDescent="0.25">
      <c r="A257" s="264" t="str">
        <f>HLOOKUP(Overview!$P$8,$B$1:$AI$1500,257,FALSE)</f>
        <v xml:space="preserve">          10090161</v>
      </c>
      <c r="B257" s="252"/>
      <c r="C257" s="183">
        <v>10074444</v>
      </c>
      <c r="D257" s="288" t="s">
        <v>4489</v>
      </c>
      <c r="E257" s="252" t="s">
        <v>4250</v>
      </c>
      <c r="F257" s="252" t="s">
        <v>3591</v>
      </c>
      <c r="G257" s="252" t="s">
        <v>1873</v>
      </c>
      <c r="I257" s="252" t="s">
        <v>3672</v>
      </c>
      <c r="J257" s="252" t="s">
        <v>2200</v>
      </c>
      <c r="L257" s="252" t="s">
        <v>4264</v>
      </c>
      <c r="M257" s="252" t="s">
        <v>3679</v>
      </c>
      <c r="N257" s="252" t="s">
        <v>3677</v>
      </c>
      <c r="O257" s="252" t="s">
        <v>4327</v>
      </c>
      <c r="P257" s="252" t="s">
        <v>2162</v>
      </c>
      <c r="Q257" s="252" t="s">
        <v>3672</v>
      </c>
      <c r="R257" s="252" t="s">
        <v>4271</v>
      </c>
      <c r="T257" s="252" t="s">
        <v>3692</v>
      </c>
      <c r="U257" s="252" t="s">
        <v>3510</v>
      </c>
      <c r="V257" s="252" t="s">
        <v>4272</v>
      </c>
      <c r="W257" s="252" t="s">
        <v>2236</v>
      </c>
      <c r="X257" s="252" t="s">
        <v>4327</v>
      </c>
      <c r="Y257" s="252" t="s">
        <v>3665</v>
      </c>
      <c r="Z257" s="266" t="s">
        <v>4314</v>
      </c>
      <c r="AA257" s="266" t="s">
        <v>1873</v>
      </c>
      <c r="AB257" s="266" t="s">
        <v>2109</v>
      </c>
      <c r="AD257" s="266" t="s">
        <v>4304</v>
      </c>
      <c r="AE257" s="266" t="s">
        <v>1960</v>
      </c>
      <c r="AF257" s="266" t="s">
        <v>3681</v>
      </c>
      <c r="AG257" s="266" t="s">
        <v>2200</v>
      </c>
      <c r="AH257" s="266" t="s">
        <v>3671</v>
      </c>
      <c r="AI257" s="266" t="s">
        <v>3675</v>
      </c>
    </row>
    <row r="258" spans="1:35" x14ac:dyDescent="0.25">
      <c r="A258" s="264" t="str">
        <f>HLOOKUP(Overview!$P$8,$B$1:$AI$1500,258,FALSE)</f>
        <v xml:space="preserve">          20029370</v>
      </c>
      <c r="B258" s="252"/>
      <c r="C258" s="183">
        <v>10000222</v>
      </c>
      <c r="D258" s="287" t="s">
        <v>3879</v>
      </c>
      <c r="E258" s="264" t="s">
        <v>4225</v>
      </c>
      <c r="F258" s="264" t="s">
        <v>2153</v>
      </c>
      <c r="G258" s="264" t="s">
        <v>1940</v>
      </c>
      <c r="I258" s="264" t="s">
        <v>3673</v>
      </c>
      <c r="J258" s="264" t="s">
        <v>2404</v>
      </c>
      <c r="L258" s="264" t="s">
        <v>4274</v>
      </c>
      <c r="M258" s="264" t="s">
        <v>3680</v>
      </c>
      <c r="N258" s="264" t="s">
        <v>3679</v>
      </c>
      <c r="O258" s="264" t="s">
        <v>4195</v>
      </c>
      <c r="P258" s="264" t="s">
        <v>2265</v>
      </c>
      <c r="Q258" s="264" t="s">
        <v>3673</v>
      </c>
      <c r="R258" s="264" t="s">
        <v>4335</v>
      </c>
      <c r="T258" s="264" t="s">
        <v>3693</v>
      </c>
      <c r="U258" s="264" t="s">
        <v>3891</v>
      </c>
      <c r="V258" s="264" t="s">
        <v>4280</v>
      </c>
      <c r="W258" s="264" t="s">
        <v>2037</v>
      </c>
      <c r="X258" s="264" t="s">
        <v>4195</v>
      </c>
      <c r="Y258" s="264" t="s">
        <v>2137</v>
      </c>
      <c r="Z258" s="265" t="s">
        <v>3683</v>
      </c>
      <c r="AA258" s="265" t="s">
        <v>1940</v>
      </c>
      <c r="AB258" s="265" t="s">
        <v>2151</v>
      </c>
      <c r="AD258" s="265" t="s">
        <v>2105</v>
      </c>
      <c r="AE258" s="265" t="s">
        <v>2194</v>
      </c>
      <c r="AF258" s="265" t="s">
        <v>4310</v>
      </c>
      <c r="AG258" s="265" t="s">
        <v>2404</v>
      </c>
      <c r="AH258" s="265" t="s">
        <v>3672</v>
      </c>
      <c r="AI258" s="265" t="s">
        <v>3676</v>
      </c>
    </row>
    <row r="259" spans="1:35" x14ac:dyDescent="0.25">
      <c r="A259" s="264" t="str">
        <f>HLOOKUP(Overview!$P$8,$B$1:$AI$1500,259,FALSE)</f>
        <v xml:space="preserve">          20029371</v>
      </c>
      <c r="B259" s="252"/>
      <c r="C259" s="183">
        <v>10001615</v>
      </c>
      <c r="D259" s="288" t="s">
        <v>3882</v>
      </c>
      <c r="E259" s="252" t="s">
        <v>2306</v>
      </c>
      <c r="F259" s="252" t="s">
        <v>2064</v>
      </c>
      <c r="G259" s="252" t="s">
        <v>2236</v>
      </c>
      <c r="I259" s="252" t="s">
        <v>3674</v>
      </c>
      <c r="J259" s="252" t="s">
        <v>2252</v>
      </c>
      <c r="L259" s="252" t="s">
        <v>4314</v>
      </c>
      <c r="M259" s="252" t="s">
        <v>3875</v>
      </c>
      <c r="N259" s="252" t="s">
        <v>3680</v>
      </c>
      <c r="O259" s="252" t="s">
        <v>4268</v>
      </c>
      <c r="P259" s="252" t="s">
        <v>3540</v>
      </c>
      <c r="Q259" s="252" t="s">
        <v>3890</v>
      </c>
      <c r="R259" s="252" t="s">
        <v>4277</v>
      </c>
      <c r="T259" s="252" t="s">
        <v>3694</v>
      </c>
      <c r="U259" s="252" t="s">
        <v>3885</v>
      </c>
      <c r="V259" s="252" t="s">
        <v>4264</v>
      </c>
      <c r="W259" s="252" t="s">
        <v>1960</v>
      </c>
      <c r="X259" s="252" t="s">
        <v>4268</v>
      </c>
      <c r="Y259" s="252" t="s">
        <v>2228</v>
      </c>
      <c r="Z259" s="266" t="s">
        <v>3684</v>
      </c>
      <c r="AA259" s="266" t="s">
        <v>2236</v>
      </c>
      <c r="AB259" s="266" t="s">
        <v>2166</v>
      </c>
      <c r="AD259" s="266" t="s">
        <v>1953</v>
      </c>
      <c r="AE259" s="266" t="s">
        <v>4304</v>
      </c>
      <c r="AF259" s="266" t="s">
        <v>4307</v>
      </c>
      <c r="AG259" s="266" t="s">
        <v>2252</v>
      </c>
      <c r="AH259" s="266" t="s">
        <v>3673</v>
      </c>
      <c r="AI259" s="266" t="s">
        <v>3677</v>
      </c>
    </row>
    <row r="260" spans="1:35" x14ac:dyDescent="0.25">
      <c r="A260" s="264" t="str">
        <f>HLOOKUP(Overview!$P$8,$B$1:$AI$1500,260,FALSE)</f>
        <v xml:space="preserve">          20029372</v>
      </c>
      <c r="B260" s="252"/>
      <c r="C260" s="183">
        <v>10097399</v>
      </c>
      <c r="D260" s="287" t="s">
        <v>3876</v>
      </c>
      <c r="E260" s="264" t="s">
        <v>2261</v>
      </c>
      <c r="F260" s="264" t="s">
        <v>2127</v>
      </c>
      <c r="G260" s="264" t="s">
        <v>2037</v>
      </c>
      <c r="I260" s="264" t="s">
        <v>3509</v>
      </c>
      <c r="J260" s="264" t="s">
        <v>2272</v>
      </c>
      <c r="L260" s="264" t="s">
        <v>3683</v>
      </c>
      <c r="M260" s="264" t="s">
        <v>3874</v>
      </c>
      <c r="N260" s="264" t="s">
        <v>3875</v>
      </c>
      <c r="O260" s="264" t="s">
        <v>4197</v>
      </c>
      <c r="P260" s="264" t="s">
        <v>2163</v>
      </c>
      <c r="Q260" s="264" t="s">
        <v>3871</v>
      </c>
      <c r="R260" s="264" t="s">
        <v>4278</v>
      </c>
      <c r="T260" s="264" t="s">
        <v>3515</v>
      </c>
      <c r="U260" s="264" t="s">
        <v>3886</v>
      </c>
      <c r="V260" s="264" t="s">
        <v>4274</v>
      </c>
      <c r="W260" s="264" t="s">
        <v>2194</v>
      </c>
      <c r="X260" s="264" t="s">
        <v>4197</v>
      </c>
      <c r="Y260" s="264" t="s">
        <v>2200</v>
      </c>
      <c r="Z260" s="265" t="s">
        <v>3685</v>
      </c>
      <c r="AA260" s="265" t="s">
        <v>2037</v>
      </c>
      <c r="AB260" s="265" t="s">
        <v>2135</v>
      </c>
      <c r="AD260" s="265" t="s">
        <v>2109</v>
      </c>
      <c r="AE260" s="265" t="s">
        <v>2105</v>
      </c>
      <c r="AF260" s="265" t="s">
        <v>4308</v>
      </c>
      <c r="AG260" s="265" t="s">
        <v>2272</v>
      </c>
      <c r="AH260" s="265" t="s">
        <v>3674</v>
      </c>
      <c r="AI260" s="265" t="s">
        <v>3678</v>
      </c>
    </row>
    <row r="261" spans="1:35" x14ac:dyDescent="0.25">
      <c r="A261" s="264" t="str">
        <f>HLOOKUP(Overview!$P$8,$B$1:$AI$1500,261,FALSE)</f>
        <v xml:space="preserve">          20029373</v>
      </c>
      <c r="B261" s="252"/>
      <c r="C261" s="183">
        <v>10001720</v>
      </c>
      <c r="D261" s="288" t="s">
        <v>3880</v>
      </c>
      <c r="E261" s="252" t="s">
        <v>2185</v>
      </c>
      <c r="F261" s="252" t="s">
        <v>1977</v>
      </c>
      <c r="G261" s="252" t="s">
        <v>1960</v>
      </c>
      <c r="I261" s="252" t="s">
        <v>3675</v>
      </c>
      <c r="J261" s="252" t="s">
        <v>3591</v>
      </c>
      <c r="L261" s="252" t="s">
        <v>3684</v>
      </c>
      <c r="M261" s="252" t="s">
        <v>3681</v>
      </c>
      <c r="N261" s="252" t="s">
        <v>3874</v>
      </c>
      <c r="O261" s="252" t="s">
        <v>4267</v>
      </c>
      <c r="P261" s="252" t="s">
        <v>2144</v>
      </c>
      <c r="Q261" s="252" t="s">
        <v>3675</v>
      </c>
      <c r="R261" s="252" t="s">
        <v>4315</v>
      </c>
      <c r="T261" s="252" t="s">
        <v>3423</v>
      </c>
      <c r="U261" s="252" t="s">
        <v>3878</v>
      </c>
      <c r="V261" s="252" t="s">
        <v>4314</v>
      </c>
      <c r="W261" s="252" t="s">
        <v>4304</v>
      </c>
      <c r="X261" s="252" t="s">
        <v>4267</v>
      </c>
      <c r="Y261" s="252" t="s">
        <v>2404</v>
      </c>
      <c r="Z261" s="266" t="s">
        <v>2159</v>
      </c>
      <c r="AA261" s="266" t="s">
        <v>1960</v>
      </c>
      <c r="AB261" s="266" t="s">
        <v>2057</v>
      </c>
      <c r="AD261" s="266" t="s">
        <v>2151</v>
      </c>
      <c r="AE261" s="266" t="s">
        <v>1953</v>
      </c>
      <c r="AF261" s="266" t="s">
        <v>4327</v>
      </c>
      <c r="AG261" s="266" t="s">
        <v>3591</v>
      </c>
      <c r="AH261" s="266" t="s">
        <v>3675</v>
      </c>
      <c r="AI261" s="266" t="s">
        <v>3679</v>
      </c>
    </row>
    <row r="262" spans="1:35" x14ac:dyDescent="0.25">
      <c r="A262" s="264" t="str">
        <f>HLOOKUP(Overview!$P$8,$B$1:$AI$1500,262,FALSE)</f>
        <v xml:space="preserve">          20029374</v>
      </c>
      <c r="B262" s="252"/>
      <c r="C262" s="183">
        <v>10028155</v>
      </c>
      <c r="D262" s="287" t="s">
        <v>3881</v>
      </c>
      <c r="E262" s="264" t="s">
        <v>4283</v>
      </c>
      <c r="F262" s="264" t="s">
        <v>2157</v>
      </c>
      <c r="G262" s="264" t="s">
        <v>2194</v>
      </c>
      <c r="I262" s="264" t="s">
        <v>3676</v>
      </c>
      <c r="J262" s="264" t="s">
        <v>2153</v>
      </c>
      <c r="L262" s="264" t="s">
        <v>3685</v>
      </c>
      <c r="M262" s="264" t="s">
        <v>2254</v>
      </c>
      <c r="N262" s="264" t="s">
        <v>3681</v>
      </c>
      <c r="O262" s="264" t="s">
        <v>4199</v>
      </c>
      <c r="P262" s="264" t="s">
        <v>3668</v>
      </c>
      <c r="Q262" s="264" t="s">
        <v>3676</v>
      </c>
      <c r="R262" s="264" t="s">
        <v>4272</v>
      </c>
      <c r="T262" s="264" t="s">
        <v>3415</v>
      </c>
      <c r="U262" s="264" t="s">
        <v>3690</v>
      </c>
      <c r="V262" s="264" t="s">
        <v>3682</v>
      </c>
      <c r="W262" s="264" t="s">
        <v>2105</v>
      </c>
      <c r="X262" s="264" t="s">
        <v>4199</v>
      </c>
      <c r="Y262" s="264" t="s">
        <v>2252</v>
      </c>
      <c r="Z262" s="265" t="s">
        <v>2013</v>
      </c>
      <c r="AA262" s="265" t="s">
        <v>2194</v>
      </c>
      <c r="AB262" s="265" t="s">
        <v>2240</v>
      </c>
      <c r="AD262" s="265" t="s">
        <v>2166</v>
      </c>
      <c r="AE262" s="265" t="s">
        <v>2109</v>
      </c>
      <c r="AF262" s="265" t="s">
        <v>4195</v>
      </c>
      <c r="AG262" s="265" t="s">
        <v>4337</v>
      </c>
      <c r="AH262" s="265" t="s">
        <v>3676</v>
      </c>
      <c r="AI262" s="265" t="s">
        <v>3680</v>
      </c>
    </row>
    <row r="263" spans="1:35" x14ac:dyDescent="0.25">
      <c r="A263" s="264" t="str">
        <f>HLOOKUP(Overview!$P$8,$B$1:$AI$1500,263,FALSE)</f>
        <v xml:space="preserve">          20029375</v>
      </c>
      <c r="B263" s="252"/>
      <c r="C263" s="183">
        <v>10127331</v>
      </c>
      <c r="D263" s="288" t="s">
        <v>3877</v>
      </c>
      <c r="E263" s="252" t="s">
        <v>3549</v>
      </c>
      <c r="F263" s="252" t="s">
        <v>1926</v>
      </c>
      <c r="G263" s="252" t="s">
        <v>4304</v>
      </c>
      <c r="I263" s="252" t="s">
        <v>3677</v>
      </c>
      <c r="J263" s="252" t="s">
        <v>2064</v>
      </c>
      <c r="L263" s="252" t="s">
        <v>4338</v>
      </c>
      <c r="M263" s="252" t="s">
        <v>2214</v>
      </c>
      <c r="N263" s="252" t="s">
        <v>2254</v>
      </c>
      <c r="O263" s="252" t="s">
        <v>4269</v>
      </c>
      <c r="P263" s="252" t="s">
        <v>3669</v>
      </c>
      <c r="Q263" s="252" t="s">
        <v>3677</v>
      </c>
      <c r="R263" s="252" t="s">
        <v>4280</v>
      </c>
      <c r="T263" s="252" t="s">
        <v>3513</v>
      </c>
      <c r="U263" s="252" t="s">
        <v>3595</v>
      </c>
      <c r="V263" s="252" t="s">
        <v>3683</v>
      </c>
      <c r="W263" s="252" t="s">
        <v>1953</v>
      </c>
      <c r="X263" s="252" t="s">
        <v>4269</v>
      </c>
      <c r="Y263" s="252" t="s">
        <v>2272</v>
      </c>
      <c r="Z263" s="266" t="s">
        <v>2111</v>
      </c>
      <c r="AA263" s="266" t="s">
        <v>2105</v>
      </c>
      <c r="AB263" s="266" t="s">
        <v>1927</v>
      </c>
      <c r="AD263" s="266" t="s">
        <v>2135</v>
      </c>
      <c r="AE263" s="266" t="s">
        <v>2151</v>
      </c>
      <c r="AF263" s="266" t="s">
        <v>4268</v>
      </c>
      <c r="AG263" s="266" t="s">
        <v>2153</v>
      </c>
      <c r="AH263" s="266" t="s">
        <v>3677</v>
      </c>
      <c r="AI263" s="266" t="s">
        <v>3874</v>
      </c>
    </row>
    <row r="264" spans="1:35" x14ac:dyDescent="0.25">
      <c r="A264" s="264" t="str">
        <f>HLOOKUP(Overview!$P$8,$B$1:$AI$1500,264,FALSE)</f>
        <v xml:space="preserve">          20029376</v>
      </c>
      <c r="B264" s="252"/>
      <c r="C264" s="183">
        <v>10133171</v>
      </c>
      <c r="D264" s="287" t="s">
        <v>3884</v>
      </c>
      <c r="E264" s="264" t="s">
        <v>3553</v>
      </c>
      <c r="F264" s="264" t="s">
        <v>1873</v>
      </c>
      <c r="G264" s="264" t="s">
        <v>2105</v>
      </c>
      <c r="I264" s="264" t="s">
        <v>2254</v>
      </c>
      <c r="J264" s="264" t="s">
        <v>2127</v>
      </c>
      <c r="L264" s="264" t="s">
        <v>2401</v>
      </c>
      <c r="M264" s="264" t="s">
        <v>2234</v>
      </c>
      <c r="N264" s="264" t="s">
        <v>2214</v>
      </c>
      <c r="O264" s="264" t="s">
        <v>4263</v>
      </c>
      <c r="P264" s="264" t="s">
        <v>3671</v>
      </c>
      <c r="Q264" s="264" t="s">
        <v>3678</v>
      </c>
      <c r="R264" s="264" t="s">
        <v>4264</v>
      </c>
      <c r="T264" s="264" t="s">
        <v>3419</v>
      </c>
      <c r="U264" s="264" t="s">
        <v>3598</v>
      </c>
      <c r="V264" s="264" t="s">
        <v>3684</v>
      </c>
      <c r="W264" s="264" t="s">
        <v>2109</v>
      </c>
      <c r="X264" s="264" t="s">
        <v>4339</v>
      </c>
      <c r="Y264" s="264" t="s">
        <v>3591</v>
      </c>
      <c r="Z264" s="265" t="s">
        <v>2282</v>
      </c>
      <c r="AA264" s="265" t="s">
        <v>1953</v>
      </c>
      <c r="AB264" s="265" t="s">
        <v>2146</v>
      </c>
      <c r="AD264" s="265" t="s">
        <v>2057</v>
      </c>
      <c r="AE264" s="265" t="s">
        <v>2166</v>
      </c>
      <c r="AF264" s="265" t="s">
        <v>4197</v>
      </c>
      <c r="AG264" s="265" t="s">
        <v>2064</v>
      </c>
      <c r="AH264" s="265" t="s">
        <v>2254</v>
      </c>
      <c r="AI264" s="265" t="s">
        <v>3681</v>
      </c>
    </row>
    <row r="265" spans="1:35" x14ac:dyDescent="0.25">
      <c r="A265" s="264" t="str">
        <f>HLOOKUP(Overview!$P$8,$B$1:$AI$1500,265,FALSE)</f>
        <v xml:space="preserve">          20029377</v>
      </c>
      <c r="B265" s="252"/>
      <c r="C265" s="183">
        <v>10133172</v>
      </c>
      <c r="D265" s="288" t="s">
        <v>3883</v>
      </c>
      <c r="E265" s="252" t="s">
        <v>3551</v>
      </c>
      <c r="F265" s="252" t="s">
        <v>1940</v>
      </c>
      <c r="G265" s="252" t="s">
        <v>1953</v>
      </c>
      <c r="I265" s="252" t="s">
        <v>2214</v>
      </c>
      <c r="J265" s="252" t="s">
        <v>1977</v>
      </c>
      <c r="L265" s="252" t="s">
        <v>2159</v>
      </c>
      <c r="M265" s="252" t="s">
        <v>2221</v>
      </c>
      <c r="N265" s="252" t="s">
        <v>2234</v>
      </c>
      <c r="O265" s="252" t="s">
        <v>4271</v>
      </c>
      <c r="P265" s="252" t="s">
        <v>3672</v>
      </c>
      <c r="Q265" s="252" t="s">
        <v>3870</v>
      </c>
      <c r="R265" s="252" t="s">
        <v>4274</v>
      </c>
      <c r="T265" s="252" t="s">
        <v>3695</v>
      </c>
      <c r="U265" s="252" t="s">
        <v>3596</v>
      </c>
      <c r="V265" s="252" t="s">
        <v>3685</v>
      </c>
      <c r="W265" s="252" t="s">
        <v>2151</v>
      </c>
      <c r="X265" s="252" t="s">
        <v>4330</v>
      </c>
      <c r="Y265" s="252" t="s">
        <v>2153</v>
      </c>
      <c r="Z265" s="266" t="s">
        <v>2123</v>
      </c>
      <c r="AA265" s="266" t="s">
        <v>2109</v>
      </c>
      <c r="AB265" s="266" t="s">
        <v>1963</v>
      </c>
      <c r="AD265" s="266" t="s">
        <v>2240</v>
      </c>
      <c r="AE265" s="266" t="s">
        <v>2135</v>
      </c>
      <c r="AF265" s="266" t="s">
        <v>4267</v>
      </c>
      <c r="AG265" s="266" t="s">
        <v>4340</v>
      </c>
      <c r="AH265" s="266" t="s">
        <v>2214</v>
      </c>
      <c r="AI265" s="266" t="s">
        <v>2254</v>
      </c>
    </row>
    <row r="266" spans="1:35" x14ac:dyDescent="0.25">
      <c r="A266" s="264" t="str">
        <f>HLOOKUP(Overview!$P$8,$B$1:$AI$1500,266,FALSE)</f>
        <v xml:space="preserve">          20000642</v>
      </c>
      <c r="B266" s="252"/>
      <c r="C266" s="183">
        <v>10000005</v>
      </c>
      <c r="D266" s="287" t="s">
        <v>2013</v>
      </c>
      <c r="E266" s="264" t="s">
        <v>4251</v>
      </c>
      <c r="F266" s="264" t="s">
        <v>2236</v>
      </c>
      <c r="G266" s="264" t="s">
        <v>2109</v>
      </c>
      <c r="I266" s="264" t="s">
        <v>2234</v>
      </c>
      <c r="J266" s="264" t="s">
        <v>2157</v>
      </c>
      <c r="L266" s="264" t="s">
        <v>2013</v>
      </c>
      <c r="M266" s="264" t="s">
        <v>4307</v>
      </c>
      <c r="N266" s="264" t="s">
        <v>2334</v>
      </c>
      <c r="O266" s="264" t="s">
        <v>4335</v>
      </c>
      <c r="P266" s="264" t="s">
        <v>3674</v>
      </c>
      <c r="Q266" s="264" t="s">
        <v>3679</v>
      </c>
      <c r="R266" s="264" t="s">
        <v>4314</v>
      </c>
      <c r="U266" s="264" t="s">
        <v>3894</v>
      </c>
      <c r="V266" s="264" t="s">
        <v>4341</v>
      </c>
      <c r="W266" s="264" t="s">
        <v>2166</v>
      </c>
      <c r="X266" s="264" t="s">
        <v>4260</v>
      </c>
      <c r="Y266" s="264" t="s">
        <v>2064</v>
      </c>
      <c r="Z266" s="265" t="s">
        <v>2223</v>
      </c>
      <c r="AA266" s="265" t="s">
        <v>2151</v>
      </c>
      <c r="AB266" s="265" t="s">
        <v>2085</v>
      </c>
      <c r="AD266" s="265" t="s">
        <v>1927</v>
      </c>
      <c r="AE266" s="265" t="s">
        <v>2057</v>
      </c>
      <c r="AF266" s="265" t="s">
        <v>4199</v>
      </c>
      <c r="AG266" s="265" t="s">
        <v>2127</v>
      </c>
      <c r="AH266" s="265" t="s">
        <v>2234</v>
      </c>
      <c r="AI266" s="265" t="s">
        <v>2214</v>
      </c>
    </row>
    <row r="267" spans="1:35" x14ac:dyDescent="0.25">
      <c r="A267" s="264" t="str">
        <f>HLOOKUP(Overview!$P$8,$B$1:$AI$1500,267,FALSE)</f>
        <v xml:space="preserve">          20000643</v>
      </c>
      <c r="B267" s="252"/>
      <c r="C267" s="183">
        <v>10002278</v>
      </c>
      <c r="D267" s="288" t="s">
        <v>2111</v>
      </c>
      <c r="E267" s="252" t="s">
        <v>4252</v>
      </c>
      <c r="F267" s="252" t="s">
        <v>2037</v>
      </c>
      <c r="G267" s="252" t="s">
        <v>2151</v>
      </c>
      <c r="I267" s="252" t="s">
        <v>2221</v>
      </c>
      <c r="J267" s="252" t="s">
        <v>1926</v>
      </c>
      <c r="L267" s="252" t="s">
        <v>2111</v>
      </c>
      <c r="M267" s="252" t="s">
        <v>4308</v>
      </c>
      <c r="N267" s="252" t="s">
        <v>2221</v>
      </c>
      <c r="O267" s="252" t="s">
        <v>4278</v>
      </c>
      <c r="P267" s="252" t="s">
        <v>3890</v>
      </c>
      <c r="Q267" s="252" t="s">
        <v>3681</v>
      </c>
      <c r="R267" s="252" t="s">
        <v>3682</v>
      </c>
      <c r="U267" s="252" t="s">
        <v>3895</v>
      </c>
      <c r="V267" s="252" t="s">
        <v>4342</v>
      </c>
      <c r="W267" s="252" t="s">
        <v>1999</v>
      </c>
      <c r="X267" s="252" t="s">
        <v>4261</v>
      </c>
      <c r="Y267" s="252" t="s">
        <v>2127</v>
      </c>
      <c r="Z267" s="266" t="s">
        <v>2017</v>
      </c>
      <c r="AA267" s="266" t="s">
        <v>2166</v>
      </c>
      <c r="AB267" s="266" t="s">
        <v>2202</v>
      </c>
      <c r="AD267" s="266" t="s">
        <v>2146</v>
      </c>
      <c r="AE267" s="266" t="s">
        <v>2240</v>
      </c>
      <c r="AF267" s="266" t="s">
        <v>4269</v>
      </c>
      <c r="AG267" s="266" t="s">
        <v>1977</v>
      </c>
      <c r="AH267" s="266" t="s">
        <v>2221</v>
      </c>
      <c r="AI267" s="266" t="s">
        <v>2234</v>
      </c>
    </row>
    <row r="268" spans="1:35" x14ac:dyDescent="0.25">
      <c r="A268" s="264" t="str">
        <f>HLOOKUP(Overview!$P$8,$B$1:$AI$1500,268,FALSE)</f>
        <v xml:space="preserve">          20000644</v>
      </c>
      <c r="B268" s="252"/>
      <c r="C268" s="183">
        <v>10120325</v>
      </c>
      <c r="D268" s="287" t="s">
        <v>2282</v>
      </c>
      <c r="E268" s="264" t="s">
        <v>3589</v>
      </c>
      <c r="F268" s="264" t="s">
        <v>1960</v>
      </c>
      <c r="G268" s="264" t="s">
        <v>2166</v>
      </c>
      <c r="I268" s="264" t="s">
        <v>4310</v>
      </c>
      <c r="J268" s="264" t="s">
        <v>1873</v>
      </c>
      <c r="L268" s="264" t="s">
        <v>2282</v>
      </c>
      <c r="M268" s="264" t="s">
        <v>4327</v>
      </c>
      <c r="N268" s="264" t="s">
        <v>2313</v>
      </c>
      <c r="O268" s="264" t="s">
        <v>4315</v>
      </c>
      <c r="P268" s="264" t="s">
        <v>3871</v>
      </c>
      <c r="Q268" s="264" t="s">
        <v>2254</v>
      </c>
      <c r="R268" s="264" t="s">
        <v>3683</v>
      </c>
      <c r="U268" s="264" t="s">
        <v>3692</v>
      </c>
      <c r="V268" s="264" t="s">
        <v>4338</v>
      </c>
      <c r="W268" s="264" t="s">
        <v>2135</v>
      </c>
      <c r="X268" s="264" t="s">
        <v>4312</v>
      </c>
      <c r="Y268" s="264" t="s">
        <v>1977</v>
      </c>
      <c r="Z268" s="265" t="s">
        <v>2251</v>
      </c>
      <c r="AA268" s="265" t="s">
        <v>2135</v>
      </c>
      <c r="AB268" s="265" t="s">
        <v>3630</v>
      </c>
      <c r="AD268" s="265" t="s">
        <v>1963</v>
      </c>
      <c r="AE268" s="265" t="s">
        <v>1927</v>
      </c>
      <c r="AF268" s="265" t="s">
        <v>4339</v>
      </c>
      <c r="AG268" s="265" t="s">
        <v>2157</v>
      </c>
      <c r="AH268" s="265" t="s">
        <v>4310</v>
      </c>
      <c r="AI268" s="265" t="s">
        <v>2221</v>
      </c>
    </row>
    <row r="269" spans="1:35" x14ac:dyDescent="0.25">
      <c r="A269" s="264" t="str">
        <f>HLOOKUP(Overview!$P$8,$B$1:$AI$1500,269,FALSE)</f>
        <v xml:space="preserve">          20007583</v>
      </c>
      <c r="B269" s="252"/>
      <c r="C269" s="183">
        <v>10000689</v>
      </c>
      <c r="D269" s="288" t="s">
        <v>2251</v>
      </c>
      <c r="E269" s="252" t="s">
        <v>4253</v>
      </c>
      <c r="F269" s="252" t="s">
        <v>2194</v>
      </c>
      <c r="G269" s="252" t="s">
        <v>1999</v>
      </c>
      <c r="I269" s="252" t="s">
        <v>4307</v>
      </c>
      <c r="J269" s="252" t="s">
        <v>1940</v>
      </c>
      <c r="L269" s="252" t="s">
        <v>2123</v>
      </c>
      <c r="M269" s="252" t="s">
        <v>4195</v>
      </c>
      <c r="N269" s="252" t="s">
        <v>4307</v>
      </c>
      <c r="O269" s="252" t="s">
        <v>4280</v>
      </c>
      <c r="P269" s="252" t="s">
        <v>3675</v>
      </c>
      <c r="Q269" s="252" t="s">
        <v>2214</v>
      </c>
      <c r="R269" s="252" t="s">
        <v>3684</v>
      </c>
      <c r="U269" s="252" t="s">
        <v>3693</v>
      </c>
      <c r="V269" s="252" t="s">
        <v>4343</v>
      </c>
      <c r="W269" s="252" t="s">
        <v>2057</v>
      </c>
      <c r="X269" s="252" t="s">
        <v>4262</v>
      </c>
      <c r="Y269" s="252" t="s">
        <v>2157</v>
      </c>
      <c r="Z269" s="266" t="s">
        <v>2102</v>
      </c>
      <c r="AA269" s="266" t="s">
        <v>2057</v>
      </c>
      <c r="AB269" s="266" t="s">
        <v>2104</v>
      </c>
      <c r="AD269" s="266" t="s">
        <v>2085</v>
      </c>
      <c r="AE269" s="266" t="s">
        <v>2146</v>
      </c>
      <c r="AF269" s="266" t="s">
        <v>4330</v>
      </c>
      <c r="AG269" s="266" t="s">
        <v>1926</v>
      </c>
      <c r="AH269" s="266" t="s">
        <v>4307</v>
      </c>
      <c r="AI269" s="266" t="s">
        <v>4310</v>
      </c>
    </row>
    <row r="270" spans="1:35" x14ac:dyDescent="0.25">
      <c r="A270" s="264" t="str">
        <f>HLOOKUP(Overview!$P$8,$B$1:$AI$1500,270,FALSE)</f>
        <v xml:space="preserve">          20026703</v>
      </c>
      <c r="B270" s="252"/>
      <c r="C270" s="183">
        <v>10002778</v>
      </c>
      <c r="D270" s="287" t="s">
        <v>2288</v>
      </c>
      <c r="E270" s="264" t="s">
        <v>4255</v>
      </c>
      <c r="F270" s="264" t="s">
        <v>4304</v>
      </c>
      <c r="G270" s="264" t="s">
        <v>2135</v>
      </c>
      <c r="I270" s="264" t="s">
        <v>4308</v>
      </c>
      <c r="J270" s="264" t="s">
        <v>2236</v>
      </c>
      <c r="L270" s="264" t="s">
        <v>2223</v>
      </c>
      <c r="M270" s="264" t="s">
        <v>4267</v>
      </c>
      <c r="N270" s="264" t="s">
        <v>4308</v>
      </c>
      <c r="O270" s="264" t="s">
        <v>4264</v>
      </c>
      <c r="P270" s="264" t="s">
        <v>3676</v>
      </c>
      <c r="Q270" s="264" t="s">
        <v>2234</v>
      </c>
      <c r="R270" s="264" t="s">
        <v>3685</v>
      </c>
      <c r="U270" s="264" t="s">
        <v>3694</v>
      </c>
      <c r="V270" s="264" t="s">
        <v>2159</v>
      </c>
      <c r="W270" s="264" t="s">
        <v>1961</v>
      </c>
      <c r="X270" s="264" t="s">
        <v>4263</v>
      </c>
      <c r="Y270" s="264" t="s">
        <v>1926</v>
      </c>
      <c r="Z270" s="265" t="s">
        <v>2213</v>
      </c>
      <c r="AA270" s="265" t="s">
        <v>2240</v>
      </c>
      <c r="AB270" s="265" t="s">
        <v>2295</v>
      </c>
      <c r="AD270" s="265" t="s">
        <v>2202</v>
      </c>
      <c r="AE270" s="265" t="s">
        <v>1963</v>
      </c>
      <c r="AF270" s="265" t="s">
        <v>4260</v>
      </c>
      <c r="AG270" s="265" t="s">
        <v>1873</v>
      </c>
      <c r="AH270" s="265" t="s">
        <v>4308</v>
      </c>
      <c r="AI270" s="265" t="s">
        <v>4307</v>
      </c>
    </row>
    <row r="271" spans="1:35" x14ac:dyDescent="0.25">
      <c r="A271" s="264" t="str">
        <f>HLOOKUP(Overview!$P$8,$B$1:$AI$1500,271,FALSE)</f>
        <v xml:space="preserve">          10000017</v>
      </c>
      <c r="B271" s="252"/>
      <c r="C271" s="183">
        <v>10085268</v>
      </c>
      <c r="D271" s="288" t="s">
        <v>4490</v>
      </c>
      <c r="E271" s="252" t="s">
        <v>3579</v>
      </c>
      <c r="F271" s="252" t="s">
        <v>2105</v>
      </c>
      <c r="G271" s="252" t="s">
        <v>2057</v>
      </c>
      <c r="I271" s="252" t="s">
        <v>4327</v>
      </c>
      <c r="J271" s="252" t="s">
        <v>2037</v>
      </c>
      <c r="L271" s="252" t="s">
        <v>2017</v>
      </c>
      <c r="M271" s="252" t="s">
        <v>4199</v>
      </c>
      <c r="N271" s="252" t="s">
        <v>4195</v>
      </c>
      <c r="O271" s="252" t="s">
        <v>4314</v>
      </c>
      <c r="P271" s="252" t="s">
        <v>3677</v>
      </c>
      <c r="Q271" s="252" t="s">
        <v>2334</v>
      </c>
      <c r="R271" s="252" t="s">
        <v>4343</v>
      </c>
      <c r="U271" s="252" t="s">
        <v>3515</v>
      </c>
      <c r="V271" s="252" t="s">
        <v>2013</v>
      </c>
      <c r="W271" s="252" t="s">
        <v>2240</v>
      </c>
      <c r="X271" s="252" t="s">
        <v>4271</v>
      </c>
      <c r="Y271" s="252" t="s">
        <v>1873</v>
      </c>
      <c r="Z271" s="266" t="s">
        <v>2212</v>
      </c>
      <c r="AA271" s="266" t="s">
        <v>1927</v>
      </c>
      <c r="AB271" s="266" t="s">
        <v>2321</v>
      </c>
      <c r="AD271" s="266" t="s">
        <v>3630</v>
      </c>
      <c r="AE271" s="266" t="s">
        <v>2085</v>
      </c>
      <c r="AF271" s="266" t="s">
        <v>4261</v>
      </c>
      <c r="AG271" s="266" t="s">
        <v>1940</v>
      </c>
      <c r="AH271" s="266" t="s">
        <v>4327</v>
      </c>
      <c r="AI271" s="266" t="s">
        <v>4308</v>
      </c>
    </row>
    <row r="272" spans="1:35" x14ac:dyDescent="0.25">
      <c r="A272" s="264" t="str">
        <f>HLOOKUP(Overview!$P$8,$B$1:$AI$1500,272,FALSE)</f>
        <v xml:space="preserve">          10000028</v>
      </c>
      <c r="B272" s="252"/>
      <c r="C272" s="183">
        <v>10081780</v>
      </c>
      <c r="D272" s="287" t="s">
        <v>4491</v>
      </c>
      <c r="E272" s="264" t="s">
        <v>3577</v>
      </c>
      <c r="F272" s="264" t="s">
        <v>1953</v>
      </c>
      <c r="G272" s="264" t="s">
        <v>1961</v>
      </c>
      <c r="I272" s="264" t="s">
        <v>4195</v>
      </c>
      <c r="J272" s="264" t="s">
        <v>1960</v>
      </c>
      <c r="L272" s="264" t="s">
        <v>4275</v>
      </c>
      <c r="M272" s="264" t="s">
        <v>4269</v>
      </c>
      <c r="N272" s="264" t="s">
        <v>4268</v>
      </c>
      <c r="O272" s="264" t="s">
        <v>3682</v>
      </c>
      <c r="P272" s="264" t="s">
        <v>3678</v>
      </c>
      <c r="Q272" s="264" t="s">
        <v>2221</v>
      </c>
      <c r="R272" s="264" t="s">
        <v>2401</v>
      </c>
      <c r="U272" s="264" t="s">
        <v>3516</v>
      </c>
      <c r="V272" s="264" t="s">
        <v>2111</v>
      </c>
      <c r="W272" s="264" t="s">
        <v>1927</v>
      </c>
      <c r="X272" s="264" t="s">
        <v>4277</v>
      </c>
      <c r="Y272" s="264" t="s">
        <v>1940</v>
      </c>
      <c r="Z272" s="265" t="s">
        <v>2257</v>
      </c>
      <c r="AA272" s="265" t="s">
        <v>2146</v>
      </c>
      <c r="AB272" s="265" t="s">
        <v>2333</v>
      </c>
      <c r="AD272" s="265" t="s">
        <v>2104</v>
      </c>
      <c r="AE272" s="265" t="s">
        <v>2202</v>
      </c>
      <c r="AF272" s="265" t="s">
        <v>4312</v>
      </c>
      <c r="AG272" s="265" t="s">
        <v>2236</v>
      </c>
      <c r="AH272" s="265" t="s">
        <v>4195</v>
      </c>
      <c r="AI272" s="265" t="s">
        <v>4327</v>
      </c>
    </row>
    <row r="273" spans="1:35" x14ac:dyDescent="0.25">
      <c r="A273" s="264" t="str">
        <f>HLOOKUP(Overview!$P$8,$B$1:$AI$1500,273,FALSE)</f>
        <v xml:space="preserve">          10000246</v>
      </c>
      <c r="B273" s="252"/>
      <c r="C273" s="183">
        <v>10003730</v>
      </c>
      <c r="D273" s="288" t="s">
        <v>4181</v>
      </c>
      <c r="E273" s="252" t="s">
        <v>3581</v>
      </c>
      <c r="F273" s="252" t="s">
        <v>2109</v>
      </c>
      <c r="G273" s="252" t="s">
        <v>2240</v>
      </c>
      <c r="I273" s="252" t="s">
        <v>4268</v>
      </c>
      <c r="J273" s="252" t="s">
        <v>2194</v>
      </c>
      <c r="L273" s="252" t="s">
        <v>4317</v>
      </c>
      <c r="M273" s="252" t="s">
        <v>4260</v>
      </c>
      <c r="N273" s="252" t="s">
        <v>4197</v>
      </c>
      <c r="O273" s="252" t="s">
        <v>3684</v>
      </c>
      <c r="P273" s="252" t="s">
        <v>3679</v>
      </c>
      <c r="Q273" s="252" t="s">
        <v>2313</v>
      </c>
      <c r="R273" s="252" t="s">
        <v>2413</v>
      </c>
      <c r="U273" s="252" t="s">
        <v>3423</v>
      </c>
      <c r="V273" s="252" t="s">
        <v>2282</v>
      </c>
      <c r="W273" s="252" t="s">
        <v>2146</v>
      </c>
      <c r="X273" s="252" t="s">
        <v>4278</v>
      </c>
      <c r="Y273" s="252" t="s">
        <v>2236</v>
      </c>
      <c r="Z273" s="266" t="s">
        <v>2370</v>
      </c>
      <c r="AA273" s="266" t="s">
        <v>1963</v>
      </c>
      <c r="AB273" s="266" t="s">
        <v>3569</v>
      </c>
      <c r="AD273" s="266" t="s">
        <v>1894</v>
      </c>
      <c r="AE273" s="266" t="s">
        <v>3630</v>
      </c>
      <c r="AF273" s="266" t="s">
        <v>4262</v>
      </c>
      <c r="AG273" s="266" t="s">
        <v>2037</v>
      </c>
      <c r="AH273" s="266" t="s">
        <v>4268</v>
      </c>
      <c r="AI273" s="266" t="s">
        <v>4195</v>
      </c>
    </row>
    <row r="274" spans="1:35" x14ac:dyDescent="0.25">
      <c r="A274" s="264" t="str">
        <f>HLOOKUP(Overview!$P$8,$B$1:$AI$1500,274,FALSE)</f>
        <v xml:space="preserve">          10001236</v>
      </c>
      <c r="B274" s="252"/>
      <c r="C274" s="183">
        <v>10015777</v>
      </c>
      <c r="D274" s="287" t="s">
        <v>1837</v>
      </c>
      <c r="E274" s="264" t="s">
        <v>4256</v>
      </c>
      <c r="F274" s="264" t="s">
        <v>2151</v>
      </c>
      <c r="G274" s="264" t="s">
        <v>1927</v>
      </c>
      <c r="I274" s="264" t="s">
        <v>4197</v>
      </c>
      <c r="J274" s="264" t="s">
        <v>4304</v>
      </c>
      <c r="L274" s="264" t="s">
        <v>4318</v>
      </c>
      <c r="M274" s="264" t="s">
        <v>4261</v>
      </c>
      <c r="N274" s="264" t="s">
        <v>4199</v>
      </c>
      <c r="O274" s="264" t="s">
        <v>3685</v>
      </c>
      <c r="P274" s="264" t="s">
        <v>3875</v>
      </c>
      <c r="Q274" s="264" t="s">
        <v>4310</v>
      </c>
      <c r="R274" s="264" t="s">
        <v>2159</v>
      </c>
      <c r="U274" s="264" t="s">
        <v>3518</v>
      </c>
      <c r="V274" s="264" t="s">
        <v>2348</v>
      </c>
      <c r="W274" s="264" t="s">
        <v>1963</v>
      </c>
      <c r="X274" s="264" t="s">
        <v>4315</v>
      </c>
      <c r="Y274" s="264" t="s">
        <v>2037</v>
      </c>
      <c r="Z274" s="265" t="s">
        <v>2276</v>
      </c>
      <c r="AA274" s="265" t="s">
        <v>2085</v>
      </c>
      <c r="AB274" s="265" t="s">
        <v>3568</v>
      </c>
      <c r="AD274" s="265" t="s">
        <v>2295</v>
      </c>
      <c r="AE274" s="265" t="s">
        <v>2104</v>
      </c>
      <c r="AF274" s="265" t="s">
        <v>4263</v>
      </c>
      <c r="AG274" s="265" t="s">
        <v>1960</v>
      </c>
      <c r="AH274" s="265" t="s">
        <v>4197</v>
      </c>
      <c r="AI274" s="265" t="s">
        <v>4268</v>
      </c>
    </row>
    <row r="275" spans="1:35" x14ac:dyDescent="0.25">
      <c r="A275" s="264" t="str">
        <f>HLOOKUP(Overview!$P$8,$B$1:$AI$1500,275,FALSE)</f>
        <v xml:space="preserve">          10001237</v>
      </c>
      <c r="B275" s="252"/>
      <c r="C275" s="183">
        <v>10000830</v>
      </c>
      <c r="D275" s="288" t="s">
        <v>1843</v>
      </c>
      <c r="E275" s="252" t="s">
        <v>4258</v>
      </c>
      <c r="F275" s="252" t="s">
        <v>2166</v>
      </c>
      <c r="G275" s="252" t="s">
        <v>2146</v>
      </c>
      <c r="I275" s="252" t="s">
        <v>4267</v>
      </c>
      <c r="J275" s="252" t="s">
        <v>2105</v>
      </c>
      <c r="L275" s="252" t="s">
        <v>4320</v>
      </c>
      <c r="M275" s="252" t="s">
        <v>4312</v>
      </c>
      <c r="N275" s="252" t="s">
        <v>4269</v>
      </c>
      <c r="O275" s="252" t="s">
        <v>4344</v>
      </c>
      <c r="P275" s="252" t="s">
        <v>3874</v>
      </c>
      <c r="Q275" s="252" t="s">
        <v>4307</v>
      </c>
      <c r="R275" s="252" t="s">
        <v>2013</v>
      </c>
      <c r="U275" s="252" t="s">
        <v>3519</v>
      </c>
      <c r="V275" s="252" t="s">
        <v>2123</v>
      </c>
      <c r="W275" s="252" t="s">
        <v>2085</v>
      </c>
      <c r="X275" s="252" t="s">
        <v>4272</v>
      </c>
      <c r="Y275" s="252" t="s">
        <v>1960</v>
      </c>
      <c r="Z275" s="266" t="s">
        <v>2301</v>
      </c>
      <c r="AA275" s="266" t="s">
        <v>2202</v>
      </c>
      <c r="AB275" s="266" t="s">
        <v>3631</v>
      </c>
      <c r="AD275" s="266" t="s">
        <v>2321</v>
      </c>
      <c r="AE275" s="266" t="s">
        <v>1894</v>
      </c>
      <c r="AF275" s="266" t="s">
        <v>4271</v>
      </c>
      <c r="AG275" s="266" t="s">
        <v>2194</v>
      </c>
      <c r="AH275" s="266" t="s">
        <v>4267</v>
      </c>
      <c r="AI275" s="266" t="s">
        <v>4197</v>
      </c>
    </row>
    <row r="276" spans="1:35" x14ac:dyDescent="0.25">
      <c r="A276" s="264" t="str">
        <f>HLOOKUP(Overview!$P$8,$B$1:$AI$1500,276,FALSE)</f>
        <v xml:space="preserve">          10001242</v>
      </c>
      <c r="B276" s="252"/>
      <c r="C276" s="183">
        <v>10127494</v>
      </c>
      <c r="D276" s="287" t="s">
        <v>1962</v>
      </c>
      <c r="E276" s="264" t="s">
        <v>2020</v>
      </c>
      <c r="F276" s="264" t="s">
        <v>1999</v>
      </c>
      <c r="G276" s="264" t="s">
        <v>1963</v>
      </c>
      <c r="I276" s="264" t="s">
        <v>4199</v>
      </c>
      <c r="J276" s="264" t="s">
        <v>1953</v>
      </c>
      <c r="L276" s="264" t="s">
        <v>4321</v>
      </c>
      <c r="M276" s="264" t="s">
        <v>4262</v>
      </c>
      <c r="N276" s="264" t="s">
        <v>4260</v>
      </c>
      <c r="O276" s="264" t="s">
        <v>2159</v>
      </c>
      <c r="P276" s="264" t="s">
        <v>3681</v>
      </c>
      <c r="Q276" s="264" t="s">
        <v>4308</v>
      </c>
      <c r="R276" s="264" t="s">
        <v>2111</v>
      </c>
      <c r="U276" s="264" t="s">
        <v>3415</v>
      </c>
      <c r="V276" s="264" t="s">
        <v>2223</v>
      </c>
      <c r="W276" s="264" t="s">
        <v>2202</v>
      </c>
      <c r="X276" s="264" t="s">
        <v>4280</v>
      </c>
      <c r="Y276" s="264" t="s">
        <v>2194</v>
      </c>
      <c r="Z276" s="265" t="s">
        <v>2225</v>
      </c>
      <c r="AA276" s="265" t="s">
        <v>3630</v>
      </c>
      <c r="AB276" s="265" t="s">
        <v>2265</v>
      </c>
      <c r="AD276" s="265" t="s">
        <v>2333</v>
      </c>
      <c r="AE276" s="265" t="s">
        <v>2295</v>
      </c>
      <c r="AF276" s="265" t="s">
        <v>4277</v>
      </c>
      <c r="AG276" s="265" t="s">
        <v>4304</v>
      </c>
      <c r="AH276" s="265" t="s">
        <v>4199</v>
      </c>
      <c r="AI276" s="265" t="s">
        <v>4267</v>
      </c>
    </row>
    <row r="277" spans="1:35" x14ac:dyDescent="0.25">
      <c r="A277" s="264" t="str">
        <f>HLOOKUP(Overview!$P$8,$B$1:$AI$1500,277,FALSE)</f>
        <v xml:space="preserve">          10001249</v>
      </c>
      <c r="B277" s="252"/>
      <c r="C277" s="183">
        <v>10002009</v>
      </c>
      <c r="D277" s="288" t="s">
        <v>1965</v>
      </c>
      <c r="E277" s="252" t="s">
        <v>4284</v>
      </c>
      <c r="F277" s="252" t="s">
        <v>2135</v>
      </c>
      <c r="G277" s="252" t="s">
        <v>2085</v>
      </c>
      <c r="I277" s="252" t="s">
        <v>4269</v>
      </c>
      <c r="J277" s="252" t="s">
        <v>2109</v>
      </c>
      <c r="L277" s="252" t="s">
        <v>4322</v>
      </c>
      <c r="M277" s="252" t="s">
        <v>4263</v>
      </c>
      <c r="N277" s="252" t="s">
        <v>4261</v>
      </c>
      <c r="O277" s="252" t="s">
        <v>2013</v>
      </c>
      <c r="P277" s="252" t="s">
        <v>2254</v>
      </c>
      <c r="Q277" s="252" t="s">
        <v>4327</v>
      </c>
      <c r="R277" s="252" t="s">
        <v>2282</v>
      </c>
      <c r="U277" s="252" t="s">
        <v>3513</v>
      </c>
      <c r="V277" s="252" t="s">
        <v>2017</v>
      </c>
      <c r="W277" s="252" t="s">
        <v>3630</v>
      </c>
      <c r="X277" s="252" t="s">
        <v>4264</v>
      </c>
      <c r="Y277" s="252" t="s">
        <v>4304</v>
      </c>
      <c r="Z277" s="266" t="s">
        <v>2336</v>
      </c>
      <c r="AA277" s="266" t="s">
        <v>2104</v>
      </c>
      <c r="AB277" s="266" t="s">
        <v>2163</v>
      </c>
      <c r="AD277" s="266" t="s">
        <v>3569</v>
      </c>
      <c r="AE277" s="266" t="s">
        <v>2321</v>
      </c>
      <c r="AF277" s="266" t="s">
        <v>4278</v>
      </c>
      <c r="AG277" s="266" t="s">
        <v>2105</v>
      </c>
      <c r="AH277" s="266" t="s">
        <v>4269</v>
      </c>
      <c r="AI277" s="266" t="s">
        <v>4199</v>
      </c>
    </row>
    <row r="278" spans="1:35" x14ac:dyDescent="0.25">
      <c r="A278" s="264" t="str">
        <f>HLOOKUP(Overview!$P$8,$B$1:$AI$1500,278,FALSE)</f>
        <v xml:space="preserve">          10001251</v>
      </c>
      <c r="B278" s="252"/>
      <c r="C278" s="183">
        <v>10002432</v>
      </c>
      <c r="D278" s="287" t="s">
        <v>1831</v>
      </c>
      <c r="E278" s="264" t="s">
        <v>4249</v>
      </c>
      <c r="F278" s="264" t="s">
        <v>2057</v>
      </c>
      <c r="G278" s="264" t="s">
        <v>2202</v>
      </c>
      <c r="I278" s="264" t="s">
        <v>4330</v>
      </c>
      <c r="J278" s="264" t="s">
        <v>2151</v>
      </c>
      <c r="L278" s="264" t="s">
        <v>4324</v>
      </c>
      <c r="M278" s="264" t="s">
        <v>4271</v>
      </c>
      <c r="N278" s="264" t="s">
        <v>4312</v>
      </c>
      <c r="O278" s="264" t="s">
        <v>2111</v>
      </c>
      <c r="P278" s="264" t="s">
        <v>2214</v>
      </c>
      <c r="Q278" s="264" t="s">
        <v>4195</v>
      </c>
      <c r="R278" s="264" t="s">
        <v>2123</v>
      </c>
      <c r="U278" s="264" t="s">
        <v>3419</v>
      </c>
      <c r="V278" s="264" t="s">
        <v>2251</v>
      </c>
      <c r="W278" s="264" t="s">
        <v>2104</v>
      </c>
      <c r="X278" s="264" t="s">
        <v>4274</v>
      </c>
      <c r="Y278" s="264" t="s">
        <v>2105</v>
      </c>
      <c r="Z278" s="265" t="s">
        <v>2324</v>
      </c>
      <c r="AA278" s="265" t="s">
        <v>2295</v>
      </c>
      <c r="AB278" s="265" t="s">
        <v>2144</v>
      </c>
      <c r="AD278" s="265" t="s">
        <v>3568</v>
      </c>
      <c r="AE278" s="265" t="s">
        <v>2333</v>
      </c>
      <c r="AF278" s="265" t="s">
        <v>4315</v>
      </c>
      <c r="AG278" s="265" t="s">
        <v>1953</v>
      </c>
      <c r="AH278" s="265" t="s">
        <v>4339</v>
      </c>
      <c r="AI278" s="265" t="s">
        <v>4269</v>
      </c>
    </row>
    <row r="279" spans="1:35" x14ac:dyDescent="0.25">
      <c r="A279" s="264" t="str">
        <f>HLOOKUP(Overview!$P$8,$B$1:$AI$1500,279,FALSE)</f>
        <v xml:space="preserve">          10001252</v>
      </c>
      <c r="B279" s="252"/>
      <c r="C279" s="183">
        <v>10001035</v>
      </c>
      <c r="D279" s="288" t="s">
        <v>1855</v>
      </c>
      <c r="E279" s="252" t="s">
        <v>4266</v>
      </c>
      <c r="F279" s="252" t="s">
        <v>1961</v>
      </c>
      <c r="G279" s="252" t="s">
        <v>3630</v>
      </c>
      <c r="I279" s="252" t="s">
        <v>4260</v>
      </c>
      <c r="J279" s="252" t="s">
        <v>2166</v>
      </c>
      <c r="L279" s="252" t="s">
        <v>4325</v>
      </c>
      <c r="M279" s="252" t="s">
        <v>4277</v>
      </c>
      <c r="N279" s="252" t="s">
        <v>4262</v>
      </c>
      <c r="O279" s="252" t="s">
        <v>2282</v>
      </c>
      <c r="P279" s="252" t="s">
        <v>2234</v>
      </c>
      <c r="Q279" s="252" t="s">
        <v>4268</v>
      </c>
      <c r="R279" s="252" t="s">
        <v>2223</v>
      </c>
      <c r="U279" s="252" t="s">
        <v>3695</v>
      </c>
      <c r="V279" s="252" t="s">
        <v>2102</v>
      </c>
      <c r="W279" s="252" t="s">
        <v>1894</v>
      </c>
      <c r="X279" s="252" t="s">
        <v>4314</v>
      </c>
      <c r="Y279" s="252" t="s">
        <v>1953</v>
      </c>
      <c r="Z279" s="266" t="s">
        <v>2242</v>
      </c>
      <c r="AA279" s="266" t="s">
        <v>2321</v>
      </c>
      <c r="AB279" s="266" t="s">
        <v>3668</v>
      </c>
      <c r="AD279" s="266" t="s">
        <v>2265</v>
      </c>
      <c r="AE279" s="266" t="s">
        <v>3569</v>
      </c>
      <c r="AF279" s="266" t="s">
        <v>4272</v>
      </c>
      <c r="AG279" s="266" t="s">
        <v>2109</v>
      </c>
      <c r="AH279" s="266" t="s">
        <v>4330</v>
      </c>
      <c r="AI279" s="266" t="s">
        <v>4339</v>
      </c>
    </row>
    <row r="280" spans="1:35" x14ac:dyDescent="0.25">
      <c r="A280" s="264" t="str">
        <f>HLOOKUP(Overview!$P$8,$B$1:$AI$1500,280,FALSE)</f>
        <v xml:space="preserve">          10001255</v>
      </c>
      <c r="B280" s="252"/>
      <c r="C280" s="183">
        <v>10000155</v>
      </c>
      <c r="D280" s="287" t="s">
        <v>4211</v>
      </c>
      <c r="E280" s="264" t="s">
        <v>4297</v>
      </c>
      <c r="F280" s="264" t="s">
        <v>2240</v>
      </c>
      <c r="G280" s="264" t="s">
        <v>2104</v>
      </c>
      <c r="I280" s="264" t="s">
        <v>4261</v>
      </c>
      <c r="J280" s="264" t="s">
        <v>1999</v>
      </c>
      <c r="L280" s="264" t="s">
        <v>2410</v>
      </c>
      <c r="M280" s="264" t="s">
        <v>4278</v>
      </c>
      <c r="N280" s="264" t="s">
        <v>4263</v>
      </c>
      <c r="O280" s="264" t="s">
        <v>2123</v>
      </c>
      <c r="P280" s="264" t="s">
        <v>2221</v>
      </c>
      <c r="Q280" s="264" t="s">
        <v>4197</v>
      </c>
      <c r="R280" s="264" t="s">
        <v>2017</v>
      </c>
      <c r="V280" s="264" t="s">
        <v>2213</v>
      </c>
      <c r="W280" s="264" t="s">
        <v>2295</v>
      </c>
      <c r="X280" s="264" t="s">
        <v>4345</v>
      </c>
      <c r="Y280" s="264" t="s">
        <v>2109</v>
      </c>
      <c r="Z280" s="265" t="s">
        <v>2288</v>
      </c>
      <c r="AA280" s="265" t="s">
        <v>2333</v>
      </c>
      <c r="AB280" s="265" t="s">
        <v>3669</v>
      </c>
      <c r="AD280" s="265" t="s">
        <v>3540</v>
      </c>
      <c r="AE280" s="265" t="s">
        <v>3568</v>
      </c>
      <c r="AF280" s="265" t="s">
        <v>4280</v>
      </c>
      <c r="AG280" s="265" t="s">
        <v>2151</v>
      </c>
      <c r="AH280" s="265" t="s">
        <v>4260</v>
      </c>
      <c r="AI280" s="265" t="s">
        <v>4330</v>
      </c>
    </row>
    <row r="281" spans="1:35" x14ac:dyDescent="0.25">
      <c r="A281" s="264" t="str">
        <f>HLOOKUP(Overview!$P$8,$B$1:$AI$1500,281,FALSE)</f>
        <v xml:space="preserve">          10001256</v>
      </c>
      <c r="B281" s="252"/>
      <c r="C281" s="183">
        <v>10000760</v>
      </c>
      <c r="D281" s="288" t="s">
        <v>1865</v>
      </c>
      <c r="E281" s="252" t="s">
        <v>3584</v>
      </c>
      <c r="F281" s="252" t="s">
        <v>1927</v>
      </c>
      <c r="G281" s="252" t="s">
        <v>1894</v>
      </c>
      <c r="I281" s="252" t="s">
        <v>4312</v>
      </c>
      <c r="J281" s="252" t="s">
        <v>2135</v>
      </c>
      <c r="L281" s="252" t="s">
        <v>2251</v>
      </c>
      <c r="M281" s="252" t="s">
        <v>4272</v>
      </c>
      <c r="N281" s="252" t="s">
        <v>4271</v>
      </c>
      <c r="O281" s="252" t="s">
        <v>2017</v>
      </c>
      <c r="P281" s="252" t="s">
        <v>4310</v>
      </c>
      <c r="Q281" s="252" t="s">
        <v>4267</v>
      </c>
      <c r="R281" s="252" t="s">
        <v>4318</v>
      </c>
      <c r="V281" s="252" t="s">
        <v>2173</v>
      </c>
      <c r="W281" s="252" t="s">
        <v>2321</v>
      </c>
      <c r="X281" s="252" t="s">
        <v>3682</v>
      </c>
      <c r="Y281" s="252" t="s">
        <v>2151</v>
      </c>
      <c r="Z281" s="266" t="s">
        <v>3686</v>
      </c>
      <c r="AA281" s="266" t="s">
        <v>3569</v>
      </c>
      <c r="AB281" s="266" t="s">
        <v>3670</v>
      </c>
      <c r="AD281" s="266" t="s">
        <v>2163</v>
      </c>
      <c r="AE281" s="266" t="s">
        <v>2300</v>
      </c>
      <c r="AF281" s="266" t="s">
        <v>4264</v>
      </c>
      <c r="AG281" s="266" t="s">
        <v>2166</v>
      </c>
      <c r="AH281" s="266" t="s">
        <v>4261</v>
      </c>
      <c r="AI281" s="266" t="s">
        <v>4260</v>
      </c>
    </row>
    <row r="282" spans="1:35" x14ac:dyDescent="0.25">
      <c r="A282" s="264" t="str">
        <f>HLOOKUP(Overview!$P$8,$B$1:$AI$1500,282,FALSE)</f>
        <v xml:space="preserve">          10001257</v>
      </c>
      <c r="B282" s="252"/>
      <c r="C282" s="183">
        <v>10002283</v>
      </c>
      <c r="D282" s="287" t="s">
        <v>1882</v>
      </c>
      <c r="E282" s="264" t="s">
        <v>2175</v>
      </c>
      <c r="F282" s="264" t="s">
        <v>2146</v>
      </c>
      <c r="G282" s="264" t="s">
        <v>2295</v>
      </c>
      <c r="I282" s="264" t="s">
        <v>4262</v>
      </c>
      <c r="J282" s="264" t="s">
        <v>2057</v>
      </c>
      <c r="L282" s="264" t="s">
        <v>2102</v>
      </c>
      <c r="M282" s="264" t="s">
        <v>4280</v>
      </c>
      <c r="N282" s="264" t="s">
        <v>4277</v>
      </c>
      <c r="O282" s="264" t="s">
        <v>4275</v>
      </c>
      <c r="P282" s="264" t="s">
        <v>4307</v>
      </c>
      <c r="Q282" s="264" t="s">
        <v>4199</v>
      </c>
      <c r="R282" s="264" t="s">
        <v>4325</v>
      </c>
      <c r="V282" s="264" t="s">
        <v>2212</v>
      </c>
      <c r="W282" s="264" t="s">
        <v>2333</v>
      </c>
      <c r="X282" s="264" t="s">
        <v>3683</v>
      </c>
      <c r="Y282" s="264" t="s">
        <v>2166</v>
      </c>
      <c r="Z282" s="265" t="s">
        <v>3687</v>
      </c>
      <c r="AA282" s="265" t="s">
        <v>3568</v>
      </c>
      <c r="AB282" s="265" t="s">
        <v>3671</v>
      </c>
      <c r="AD282" s="265" t="s">
        <v>2144</v>
      </c>
      <c r="AE282" s="265" t="s">
        <v>3631</v>
      </c>
      <c r="AF282" s="265" t="s">
        <v>4274</v>
      </c>
      <c r="AG282" s="265" t="s">
        <v>1999</v>
      </c>
      <c r="AH282" s="265" t="s">
        <v>4312</v>
      </c>
      <c r="AI282" s="265" t="s">
        <v>4261</v>
      </c>
    </row>
    <row r="283" spans="1:35" x14ac:dyDescent="0.25">
      <c r="A283" s="264" t="str">
        <f>HLOOKUP(Overview!$P$8,$B$1:$AI$1500,283,FALSE)</f>
        <v xml:space="preserve">          10001266</v>
      </c>
      <c r="B283" s="252"/>
      <c r="C283" s="183">
        <v>10120323</v>
      </c>
      <c r="D283" s="288" t="s">
        <v>1917</v>
      </c>
      <c r="E283" s="252" t="s">
        <v>2317</v>
      </c>
      <c r="F283" s="252" t="s">
        <v>1963</v>
      </c>
      <c r="G283" s="252" t="s">
        <v>2321</v>
      </c>
      <c r="I283" s="252" t="s">
        <v>4263</v>
      </c>
      <c r="J283" s="252" t="s">
        <v>1961</v>
      </c>
      <c r="L283" s="252" t="s">
        <v>2213</v>
      </c>
      <c r="M283" s="252" t="s">
        <v>4264</v>
      </c>
      <c r="N283" s="252" t="s">
        <v>4278</v>
      </c>
      <c r="O283" s="252" t="s">
        <v>4318</v>
      </c>
      <c r="P283" s="252" t="s">
        <v>4308</v>
      </c>
      <c r="Q283" s="252" t="s">
        <v>4269</v>
      </c>
      <c r="R283" s="252" t="s">
        <v>2251</v>
      </c>
      <c r="V283" s="252" t="s">
        <v>2257</v>
      </c>
      <c r="W283" s="252" t="s">
        <v>3569</v>
      </c>
      <c r="X283" s="252" t="s">
        <v>3684</v>
      </c>
      <c r="Y283" s="252" t="s">
        <v>1999</v>
      </c>
      <c r="Z283" s="266" t="s">
        <v>3688</v>
      </c>
      <c r="AA283" s="266" t="s">
        <v>3631</v>
      </c>
      <c r="AB283" s="266" t="s">
        <v>3672</v>
      </c>
      <c r="AD283" s="266" t="s">
        <v>3583</v>
      </c>
      <c r="AE283" s="266" t="s">
        <v>2265</v>
      </c>
      <c r="AF283" s="266" t="s">
        <v>4314</v>
      </c>
      <c r="AG283" s="266" t="s">
        <v>2135</v>
      </c>
      <c r="AH283" s="266" t="s">
        <v>4262</v>
      </c>
      <c r="AI283" s="266" t="s">
        <v>4312</v>
      </c>
    </row>
    <row r="284" spans="1:35" x14ac:dyDescent="0.25">
      <c r="A284" s="264" t="str">
        <f>HLOOKUP(Overview!$P$8,$B$1:$AI$1500,284,FALSE)</f>
        <v xml:space="preserve">          10119292</v>
      </c>
      <c r="B284" s="252"/>
      <c r="C284" s="183">
        <v>10000832</v>
      </c>
      <c r="D284" s="287" t="s">
        <v>3669</v>
      </c>
      <c r="E284" s="264" t="s">
        <v>2275</v>
      </c>
      <c r="F284" s="264" t="s">
        <v>2085</v>
      </c>
      <c r="G284" s="264" t="s">
        <v>2333</v>
      </c>
      <c r="I284" s="264" t="s">
        <v>4271</v>
      </c>
      <c r="J284" s="264" t="s">
        <v>2240</v>
      </c>
      <c r="L284" s="264" t="s">
        <v>2173</v>
      </c>
      <c r="M284" s="264" t="s">
        <v>4274</v>
      </c>
      <c r="N284" s="264" t="s">
        <v>4315</v>
      </c>
      <c r="O284" s="264" t="s">
        <v>4321</v>
      </c>
      <c r="P284" s="264" t="s">
        <v>4327</v>
      </c>
      <c r="Q284" s="264" t="s">
        <v>4330</v>
      </c>
      <c r="R284" s="264" t="s">
        <v>2102</v>
      </c>
      <c r="V284" s="264" t="s">
        <v>2276</v>
      </c>
      <c r="W284" s="264" t="s">
        <v>3568</v>
      </c>
      <c r="X284" s="264" t="s">
        <v>3685</v>
      </c>
      <c r="Y284" s="264" t="s">
        <v>2135</v>
      </c>
      <c r="Z284" s="265" t="s">
        <v>3689</v>
      </c>
      <c r="AA284" s="265" t="s">
        <v>2265</v>
      </c>
      <c r="AB284" s="265" t="s">
        <v>3673</v>
      </c>
      <c r="AD284" s="265" t="s">
        <v>2026</v>
      </c>
      <c r="AE284" s="265" t="s">
        <v>3540</v>
      </c>
      <c r="AF284" s="265" t="s">
        <v>4345</v>
      </c>
      <c r="AG284" s="265" t="s">
        <v>2057</v>
      </c>
      <c r="AH284" s="265" t="s">
        <v>4263</v>
      </c>
      <c r="AI284" s="265" t="s">
        <v>4262</v>
      </c>
    </row>
    <row r="285" spans="1:35" x14ac:dyDescent="0.25">
      <c r="A285" s="264" t="str">
        <f>HLOOKUP(Overview!$P$8,$B$1:$AI$1500,285,FALSE)</f>
        <v xml:space="preserve">          10123483</v>
      </c>
      <c r="B285" s="252"/>
      <c r="C285" s="183">
        <v>10000853</v>
      </c>
      <c r="D285" s="288" t="s">
        <v>4260</v>
      </c>
      <c r="E285" s="252" t="s">
        <v>4230</v>
      </c>
      <c r="F285" s="252" t="s">
        <v>2202</v>
      </c>
      <c r="G285" s="252" t="s">
        <v>3569</v>
      </c>
      <c r="I285" s="252" t="s">
        <v>4277</v>
      </c>
      <c r="J285" s="252" t="s">
        <v>1927</v>
      </c>
      <c r="L285" s="252" t="s">
        <v>2331</v>
      </c>
      <c r="M285" s="252" t="s">
        <v>4314</v>
      </c>
      <c r="N285" s="252" t="s">
        <v>4272</v>
      </c>
      <c r="O285" s="252" t="s">
        <v>4325</v>
      </c>
      <c r="P285" s="252" t="s">
        <v>4195</v>
      </c>
      <c r="Q285" s="252" t="s">
        <v>4260</v>
      </c>
      <c r="R285" s="252" t="s">
        <v>2270</v>
      </c>
      <c r="V285" s="252" t="s">
        <v>2301</v>
      </c>
      <c r="W285" s="252" t="s">
        <v>2162</v>
      </c>
      <c r="X285" s="252" t="s">
        <v>4341</v>
      </c>
      <c r="Y285" s="252" t="s">
        <v>2057</v>
      </c>
      <c r="Z285" s="266" t="s">
        <v>3512</v>
      </c>
      <c r="AA285" s="266" t="s">
        <v>3540</v>
      </c>
      <c r="AB285" s="266" t="s">
        <v>3674</v>
      </c>
      <c r="AD285" s="266" t="s">
        <v>3668</v>
      </c>
      <c r="AE285" s="266" t="s">
        <v>2163</v>
      </c>
      <c r="AF285" s="266" t="s">
        <v>3682</v>
      </c>
      <c r="AG285" s="266" t="s">
        <v>1961</v>
      </c>
      <c r="AH285" s="266" t="s">
        <v>4271</v>
      </c>
      <c r="AI285" s="266" t="s">
        <v>4263</v>
      </c>
    </row>
    <row r="286" spans="1:35" x14ac:dyDescent="0.25">
      <c r="A286" s="264" t="str">
        <f>HLOOKUP(Overview!$P$8,$B$1:$AI$1500,286,FALSE)</f>
        <v xml:space="preserve">          10130146</v>
      </c>
      <c r="B286" s="252"/>
      <c r="C286" s="183">
        <v>10001045</v>
      </c>
      <c r="D286" s="287" t="s">
        <v>4492</v>
      </c>
      <c r="E286" s="264" t="s">
        <v>3620</v>
      </c>
      <c r="F286" s="264" t="s">
        <v>3630</v>
      </c>
      <c r="G286" s="264" t="s">
        <v>3568</v>
      </c>
      <c r="I286" s="264" t="s">
        <v>4278</v>
      </c>
      <c r="J286" s="264" t="s">
        <v>2146</v>
      </c>
      <c r="L286" s="264" t="s">
        <v>2212</v>
      </c>
      <c r="M286" s="264" t="s">
        <v>3682</v>
      </c>
      <c r="N286" s="264" t="s">
        <v>4280</v>
      </c>
      <c r="O286" s="264" t="s">
        <v>2251</v>
      </c>
      <c r="P286" s="264" t="s">
        <v>4268</v>
      </c>
      <c r="Q286" s="264" t="s">
        <v>4261</v>
      </c>
      <c r="R286" s="264" t="s">
        <v>2213</v>
      </c>
      <c r="V286" s="264" t="s">
        <v>2179</v>
      </c>
      <c r="W286" s="264" t="s">
        <v>2300</v>
      </c>
      <c r="X286" s="264" t="s">
        <v>4338</v>
      </c>
      <c r="Y286" s="264" t="s">
        <v>1961</v>
      </c>
      <c r="Z286" s="265" t="s">
        <v>3421</v>
      </c>
      <c r="AA286" s="265" t="s">
        <v>2163</v>
      </c>
      <c r="AB286" s="265" t="s">
        <v>3890</v>
      </c>
      <c r="AD286" s="265" t="s">
        <v>3669</v>
      </c>
      <c r="AE286" s="265" t="s">
        <v>2144</v>
      </c>
      <c r="AF286" s="265" t="s">
        <v>3683</v>
      </c>
      <c r="AG286" s="265" t="s">
        <v>2240</v>
      </c>
      <c r="AH286" s="265" t="s">
        <v>4277</v>
      </c>
      <c r="AI286" s="265" t="s">
        <v>4271</v>
      </c>
    </row>
    <row r="287" spans="1:35" x14ac:dyDescent="0.25">
      <c r="A287" s="264" t="str">
        <f>HLOOKUP(Overview!$P$8,$B$1:$AI$1500,287,FALSE)</f>
        <v xml:space="preserve">          10130148</v>
      </c>
      <c r="B287" s="252"/>
      <c r="C287" s="183">
        <v>10000781</v>
      </c>
      <c r="D287" s="288" t="s">
        <v>4493</v>
      </c>
      <c r="E287" s="252" t="s">
        <v>4285</v>
      </c>
      <c r="F287" s="252" t="s">
        <v>2104</v>
      </c>
      <c r="G287" s="252" t="s">
        <v>3631</v>
      </c>
      <c r="I287" s="252" t="s">
        <v>4315</v>
      </c>
      <c r="J287" s="252" t="s">
        <v>1963</v>
      </c>
      <c r="L287" s="252" t="s">
        <v>2257</v>
      </c>
      <c r="M287" s="252" t="s">
        <v>3683</v>
      </c>
      <c r="N287" s="252" t="s">
        <v>4264</v>
      </c>
      <c r="O287" s="252" t="s">
        <v>2102</v>
      </c>
      <c r="P287" s="252" t="s">
        <v>4197</v>
      </c>
      <c r="Q287" s="252" t="s">
        <v>4312</v>
      </c>
      <c r="R287" s="252" t="s">
        <v>2173</v>
      </c>
      <c r="V287" s="252" t="s">
        <v>2225</v>
      </c>
      <c r="W287" s="252" t="s">
        <v>2308</v>
      </c>
      <c r="X287" s="252" t="s">
        <v>4343</v>
      </c>
      <c r="Y287" s="252" t="s">
        <v>2240</v>
      </c>
      <c r="Z287" s="266" t="s">
        <v>3417</v>
      </c>
      <c r="AA287" s="266" t="s">
        <v>2144</v>
      </c>
      <c r="AB287" s="266" t="s">
        <v>3871</v>
      </c>
      <c r="AD287" s="266" t="s">
        <v>3670</v>
      </c>
      <c r="AE287" s="266" t="s">
        <v>2168</v>
      </c>
      <c r="AF287" s="266" t="s">
        <v>3684</v>
      </c>
      <c r="AG287" s="266" t="s">
        <v>1927</v>
      </c>
      <c r="AH287" s="266" t="s">
        <v>4278</v>
      </c>
      <c r="AI287" s="266" t="s">
        <v>4336</v>
      </c>
    </row>
    <row r="288" spans="1:35" x14ac:dyDescent="0.25">
      <c r="A288" s="264" t="str">
        <f>HLOOKUP(Overview!$P$8,$B$1:$AI$1500,288,FALSE)</f>
        <v xml:space="preserve">          10130149</v>
      </c>
      <c r="B288" s="252"/>
      <c r="C288" s="183">
        <v>10089655</v>
      </c>
      <c r="D288" s="287" t="s">
        <v>4494</v>
      </c>
      <c r="E288" s="264" t="s">
        <v>4276</v>
      </c>
      <c r="F288" s="264" t="s">
        <v>1894</v>
      </c>
      <c r="G288" s="264" t="s">
        <v>2265</v>
      </c>
      <c r="I288" s="264" t="s">
        <v>4272</v>
      </c>
      <c r="J288" s="264" t="s">
        <v>2085</v>
      </c>
      <c r="L288" s="264" t="s">
        <v>2276</v>
      </c>
      <c r="M288" s="264" t="s">
        <v>3684</v>
      </c>
      <c r="N288" s="264" t="s">
        <v>4274</v>
      </c>
      <c r="O288" s="264" t="s">
        <v>2270</v>
      </c>
      <c r="P288" s="264" t="s">
        <v>4267</v>
      </c>
      <c r="Q288" s="264" t="s">
        <v>4262</v>
      </c>
      <c r="R288" s="264" t="s">
        <v>2212</v>
      </c>
      <c r="V288" s="264" t="s">
        <v>2298</v>
      </c>
      <c r="W288" s="264" t="s">
        <v>3631</v>
      </c>
      <c r="X288" s="264" t="s">
        <v>2401</v>
      </c>
      <c r="Y288" s="264" t="s">
        <v>1927</v>
      </c>
      <c r="Z288" s="265" t="s">
        <v>3510</v>
      </c>
      <c r="AA288" s="265" t="s">
        <v>2168</v>
      </c>
      <c r="AB288" s="265" t="s">
        <v>3675</v>
      </c>
      <c r="AD288" s="265" t="s">
        <v>3671</v>
      </c>
      <c r="AE288" s="265" t="s">
        <v>2026</v>
      </c>
      <c r="AF288" s="265" t="s">
        <v>3685</v>
      </c>
      <c r="AG288" s="265" t="s">
        <v>2146</v>
      </c>
      <c r="AH288" s="265" t="s">
        <v>4315</v>
      </c>
      <c r="AI288" s="265" t="s">
        <v>4277</v>
      </c>
    </row>
    <row r="289" spans="1:35" x14ac:dyDescent="0.25">
      <c r="A289" s="264" t="str">
        <f>HLOOKUP(Overview!$P$8,$B$1:$AI$1500,289,FALSE)</f>
        <v xml:space="preserve">          10130150</v>
      </c>
      <c r="B289" s="252"/>
      <c r="C289" s="183">
        <v>10003047</v>
      </c>
      <c r="D289" s="288" t="s">
        <v>4495</v>
      </c>
      <c r="E289" s="252" t="s">
        <v>4257</v>
      </c>
      <c r="F289" s="252" t="s">
        <v>2295</v>
      </c>
      <c r="G289" s="252" t="s">
        <v>3540</v>
      </c>
      <c r="I289" s="252" t="s">
        <v>4280</v>
      </c>
      <c r="J289" s="252" t="s">
        <v>2202</v>
      </c>
      <c r="L289" s="252" t="s">
        <v>2179</v>
      </c>
      <c r="M289" s="252" t="s">
        <v>3685</v>
      </c>
      <c r="N289" s="252" t="s">
        <v>4314</v>
      </c>
      <c r="O289" s="252" t="s">
        <v>2173</v>
      </c>
      <c r="P289" s="252" t="s">
        <v>4199</v>
      </c>
      <c r="Q289" s="252" t="s">
        <v>4263</v>
      </c>
      <c r="R289" s="252" t="s">
        <v>2257</v>
      </c>
      <c r="V289" s="252" t="s">
        <v>2289</v>
      </c>
      <c r="W289" s="252" t="s">
        <v>2265</v>
      </c>
      <c r="X289" s="252" t="s">
        <v>2159</v>
      </c>
      <c r="Y289" s="252" t="s">
        <v>2146</v>
      </c>
      <c r="Z289" s="266" t="s">
        <v>3889</v>
      </c>
      <c r="AA289" s="266" t="s">
        <v>3668</v>
      </c>
      <c r="AB289" s="266" t="s">
        <v>3676</v>
      </c>
      <c r="AD289" s="266" t="s">
        <v>3672</v>
      </c>
      <c r="AE289" s="266" t="s">
        <v>3668</v>
      </c>
      <c r="AF289" s="266" t="s">
        <v>4341</v>
      </c>
      <c r="AG289" s="266" t="s">
        <v>1963</v>
      </c>
      <c r="AH289" s="266" t="s">
        <v>4272</v>
      </c>
      <c r="AI289" s="266" t="s">
        <v>4278</v>
      </c>
    </row>
    <row r="290" spans="1:35" x14ac:dyDescent="0.25">
      <c r="A290" s="264" t="str">
        <f>HLOOKUP(Overview!$P$8,$B$1:$AI$1500,290,FALSE)</f>
        <v xml:space="preserve">          10130151</v>
      </c>
      <c r="B290" s="252"/>
      <c r="C290" s="183">
        <v>10000905</v>
      </c>
      <c r="D290" s="287" t="s">
        <v>4496</v>
      </c>
      <c r="E290" s="264" t="s">
        <v>1975</v>
      </c>
      <c r="F290" s="264" t="s">
        <v>2321</v>
      </c>
      <c r="G290" s="264" t="s">
        <v>2163</v>
      </c>
      <c r="I290" s="264" t="s">
        <v>4264</v>
      </c>
      <c r="J290" s="264" t="s">
        <v>3630</v>
      </c>
      <c r="L290" s="264" t="s">
        <v>2225</v>
      </c>
      <c r="M290" s="264" t="s">
        <v>4341</v>
      </c>
      <c r="N290" s="264" t="s">
        <v>3682</v>
      </c>
      <c r="O290" s="264" t="s">
        <v>2212</v>
      </c>
      <c r="P290" s="264" t="s">
        <v>4269</v>
      </c>
      <c r="Q290" s="264" t="s">
        <v>4271</v>
      </c>
      <c r="R290" s="264" t="s">
        <v>2276</v>
      </c>
      <c r="V290" s="264" t="s">
        <v>2336</v>
      </c>
      <c r="W290" s="264" t="s">
        <v>3540</v>
      </c>
      <c r="X290" s="264" t="s">
        <v>2013</v>
      </c>
      <c r="Y290" s="264" t="s">
        <v>1963</v>
      </c>
      <c r="Z290" s="265" t="s">
        <v>3690</v>
      </c>
      <c r="AA290" s="265" t="s">
        <v>3669</v>
      </c>
      <c r="AB290" s="265" t="s">
        <v>3677</v>
      </c>
      <c r="AD290" s="265" t="s">
        <v>3673</v>
      </c>
      <c r="AE290" s="265" t="s">
        <v>3669</v>
      </c>
      <c r="AF290" s="265" t="s">
        <v>4338</v>
      </c>
      <c r="AG290" s="265" t="s">
        <v>2085</v>
      </c>
      <c r="AH290" s="265" t="s">
        <v>4280</v>
      </c>
      <c r="AI290" s="265" t="s">
        <v>4315</v>
      </c>
    </row>
    <row r="291" spans="1:35" x14ac:dyDescent="0.25">
      <c r="A291" s="264" t="str">
        <f>HLOOKUP(Overview!$P$8,$B$1:$AI$1500,291,FALSE)</f>
        <v xml:space="preserve">          20028239</v>
      </c>
      <c r="B291" s="252"/>
      <c r="C291" s="183">
        <v>10000147</v>
      </c>
      <c r="D291" s="288" t="s">
        <v>3887</v>
      </c>
      <c r="E291" s="252" t="s">
        <v>4270</v>
      </c>
      <c r="F291" s="252" t="s">
        <v>2333</v>
      </c>
      <c r="G291" s="252" t="s">
        <v>2144</v>
      </c>
      <c r="I291" s="252" t="s">
        <v>4274</v>
      </c>
      <c r="J291" s="252" t="s">
        <v>2104</v>
      </c>
      <c r="L291" s="252" t="s">
        <v>2289</v>
      </c>
      <c r="M291" s="252" t="s">
        <v>4342</v>
      </c>
      <c r="N291" s="252" t="s">
        <v>2159</v>
      </c>
      <c r="O291" s="252" t="s">
        <v>2257</v>
      </c>
      <c r="P291" s="252" t="s">
        <v>4260</v>
      </c>
      <c r="Q291" s="252" t="s">
        <v>4278</v>
      </c>
      <c r="R291" s="252" t="s">
        <v>2377</v>
      </c>
      <c r="V291" s="252" t="s">
        <v>2288</v>
      </c>
      <c r="W291" s="252" t="s">
        <v>2163</v>
      </c>
      <c r="X291" s="252" t="s">
        <v>2111</v>
      </c>
      <c r="Y291" s="252" t="s">
        <v>2085</v>
      </c>
      <c r="Z291" s="266" t="s">
        <v>3692</v>
      </c>
      <c r="AA291" s="266" t="s">
        <v>3670</v>
      </c>
      <c r="AB291" s="266" t="s">
        <v>3678</v>
      </c>
      <c r="AD291" s="266" t="s">
        <v>3674</v>
      </c>
      <c r="AE291" s="266" t="s">
        <v>3670</v>
      </c>
      <c r="AF291" s="266" t="s">
        <v>4343</v>
      </c>
      <c r="AG291" s="266" t="s">
        <v>2202</v>
      </c>
      <c r="AH291" s="266" t="s">
        <v>4264</v>
      </c>
      <c r="AI291" s="266" t="s">
        <v>4272</v>
      </c>
    </row>
    <row r="292" spans="1:35" x14ac:dyDescent="0.25">
      <c r="A292" s="264" t="str">
        <f>HLOOKUP(Overview!$P$8,$B$1:$AI$1500,292,FALSE)</f>
        <v xml:space="preserve">          20028240</v>
      </c>
      <c r="B292" s="252"/>
      <c r="C292" s="183">
        <v>10083872</v>
      </c>
      <c r="D292" s="287" t="s">
        <v>3878</v>
      </c>
      <c r="E292" s="264" t="s">
        <v>2366</v>
      </c>
      <c r="F292" s="264" t="s">
        <v>3569</v>
      </c>
      <c r="G292" s="264" t="s">
        <v>2168</v>
      </c>
      <c r="I292" s="264" t="s">
        <v>4314</v>
      </c>
      <c r="J292" s="264" t="s">
        <v>1894</v>
      </c>
      <c r="L292" s="264" t="s">
        <v>2336</v>
      </c>
      <c r="M292" s="264" t="s">
        <v>4338</v>
      </c>
      <c r="N292" s="264" t="s">
        <v>2013</v>
      </c>
      <c r="O292" s="264" t="s">
        <v>2276</v>
      </c>
      <c r="P292" s="264" t="s">
        <v>4261</v>
      </c>
      <c r="Q292" s="264" t="s">
        <v>4315</v>
      </c>
      <c r="R292" s="264" t="s">
        <v>2301</v>
      </c>
      <c r="V292" s="264" t="s">
        <v>3686</v>
      </c>
      <c r="W292" s="264" t="s">
        <v>2144</v>
      </c>
      <c r="X292" s="264" t="s">
        <v>2282</v>
      </c>
      <c r="Y292" s="264" t="s">
        <v>2202</v>
      </c>
      <c r="Z292" s="265" t="s">
        <v>3693</v>
      </c>
      <c r="AA292" s="265" t="s">
        <v>3671</v>
      </c>
      <c r="AB292" s="265" t="s">
        <v>3679</v>
      </c>
      <c r="AD292" s="265" t="s">
        <v>3509</v>
      </c>
      <c r="AE292" s="265" t="s">
        <v>3671</v>
      </c>
      <c r="AF292" s="265" t="s">
        <v>2401</v>
      </c>
      <c r="AG292" s="265" t="s">
        <v>3630</v>
      </c>
      <c r="AH292" s="265" t="s">
        <v>4274</v>
      </c>
      <c r="AI292" s="265" t="s">
        <v>4280</v>
      </c>
    </row>
    <row r="293" spans="1:35" x14ac:dyDescent="0.25">
      <c r="A293" s="264" t="str">
        <f>HLOOKUP(Overview!$P$8,$B$1:$AI$1500,293,FALSE)</f>
        <v xml:space="preserve">          20028241</v>
      </c>
      <c r="B293" s="252"/>
      <c r="C293" s="183">
        <v>10119253</v>
      </c>
      <c r="D293" s="288" t="s">
        <v>3872</v>
      </c>
      <c r="E293" s="252" t="s">
        <v>3621</v>
      </c>
      <c r="F293" s="252" t="s">
        <v>3568</v>
      </c>
      <c r="G293" s="252" t="s">
        <v>2026</v>
      </c>
      <c r="I293" s="252" t="s">
        <v>3682</v>
      </c>
      <c r="J293" s="252" t="s">
        <v>2295</v>
      </c>
      <c r="L293" s="252" t="s">
        <v>2279</v>
      </c>
      <c r="M293" s="252" t="s">
        <v>4344</v>
      </c>
      <c r="N293" s="252" t="s">
        <v>2111</v>
      </c>
      <c r="O293" s="252" t="s">
        <v>2301</v>
      </c>
      <c r="P293" s="252" t="s">
        <v>4312</v>
      </c>
      <c r="Q293" s="252" t="s">
        <v>4272</v>
      </c>
      <c r="R293" s="252" t="s">
        <v>2179</v>
      </c>
      <c r="V293" s="252" t="s">
        <v>3687</v>
      </c>
      <c r="W293" s="252" t="s">
        <v>2168</v>
      </c>
      <c r="X293" s="252" t="s">
        <v>2123</v>
      </c>
      <c r="Y293" s="252" t="s">
        <v>3630</v>
      </c>
      <c r="Z293" s="266" t="s">
        <v>3515</v>
      </c>
      <c r="AA293" s="266" t="s">
        <v>3672</v>
      </c>
      <c r="AB293" s="266" t="s">
        <v>3874</v>
      </c>
      <c r="AD293" s="266" t="s">
        <v>3890</v>
      </c>
      <c r="AE293" s="266" t="s">
        <v>3672</v>
      </c>
      <c r="AF293" s="266" t="s">
        <v>2159</v>
      </c>
      <c r="AG293" s="266" t="s">
        <v>2104</v>
      </c>
      <c r="AH293" s="266" t="s">
        <v>4314</v>
      </c>
      <c r="AI293" s="266" t="s">
        <v>4264</v>
      </c>
    </row>
    <row r="294" spans="1:35" x14ac:dyDescent="0.25">
      <c r="A294" s="264" t="str">
        <f>HLOOKUP(Overview!$P$8,$B$1:$AI$1500,294,FALSE)</f>
        <v xml:space="preserve">          20028331</v>
      </c>
      <c r="B294" s="252"/>
      <c r="C294" s="183">
        <v>10000795</v>
      </c>
      <c r="D294" s="287" t="s">
        <v>3423</v>
      </c>
      <c r="E294" s="264" t="s">
        <v>2091</v>
      </c>
      <c r="F294" s="264" t="s">
        <v>2162</v>
      </c>
      <c r="G294" s="264" t="s">
        <v>4326</v>
      </c>
      <c r="I294" s="264" t="s">
        <v>3683</v>
      </c>
      <c r="J294" s="264" t="s">
        <v>2321</v>
      </c>
      <c r="L294" s="264" t="s">
        <v>2288</v>
      </c>
      <c r="M294" s="264" t="s">
        <v>4343</v>
      </c>
      <c r="N294" s="264" t="s">
        <v>2282</v>
      </c>
      <c r="O294" s="264" t="s">
        <v>2179</v>
      </c>
      <c r="P294" s="264" t="s">
        <v>4262</v>
      </c>
      <c r="Q294" s="264" t="s">
        <v>4280</v>
      </c>
      <c r="R294" s="264" t="s">
        <v>2225</v>
      </c>
      <c r="V294" s="264" t="s">
        <v>3688</v>
      </c>
      <c r="W294" s="264" t="s">
        <v>3583</v>
      </c>
      <c r="X294" s="264" t="s">
        <v>2223</v>
      </c>
      <c r="Y294" s="264" t="s">
        <v>2104</v>
      </c>
      <c r="Z294" s="265" t="s">
        <v>3423</v>
      </c>
      <c r="AA294" s="265" t="s">
        <v>3673</v>
      </c>
      <c r="AB294" s="265" t="s">
        <v>3681</v>
      </c>
      <c r="AD294" s="265" t="s">
        <v>3871</v>
      </c>
      <c r="AE294" s="265" t="s">
        <v>3673</v>
      </c>
      <c r="AF294" s="265" t="s">
        <v>2013</v>
      </c>
      <c r="AG294" s="265" t="s">
        <v>1894</v>
      </c>
      <c r="AH294" s="265" t="s">
        <v>3682</v>
      </c>
      <c r="AI294" s="265" t="s">
        <v>4274</v>
      </c>
    </row>
    <row r="295" spans="1:35" x14ac:dyDescent="0.25">
      <c r="A295" s="264" t="str">
        <f>HLOOKUP(Overview!$P$8,$B$1:$AI$1500,295,FALSE)</f>
        <v xml:space="preserve">          20028337</v>
      </c>
      <c r="B295" s="252"/>
      <c r="C295" s="183">
        <v>10000835</v>
      </c>
      <c r="D295" s="288" t="s">
        <v>3419</v>
      </c>
      <c r="E295" s="252" t="s">
        <v>1942</v>
      </c>
      <c r="F295" s="252" t="s">
        <v>2361</v>
      </c>
      <c r="G295" s="252" t="s">
        <v>3668</v>
      </c>
      <c r="I295" s="252" t="s">
        <v>3684</v>
      </c>
      <c r="J295" s="252" t="s">
        <v>2333</v>
      </c>
      <c r="L295" s="252" t="s">
        <v>3686</v>
      </c>
      <c r="M295" s="252" t="s">
        <v>2159</v>
      </c>
      <c r="N295" s="252" t="s">
        <v>2123</v>
      </c>
      <c r="O295" s="252" t="s">
        <v>2225</v>
      </c>
      <c r="P295" s="252" t="s">
        <v>4263</v>
      </c>
      <c r="Q295" s="252" t="s">
        <v>4264</v>
      </c>
      <c r="R295" s="252" t="s">
        <v>2289</v>
      </c>
      <c r="V295" s="252" t="s">
        <v>3689</v>
      </c>
      <c r="W295" s="252" t="s">
        <v>2026</v>
      </c>
      <c r="X295" s="252" t="s">
        <v>2017</v>
      </c>
      <c r="Y295" s="252" t="s">
        <v>1894</v>
      </c>
      <c r="Z295" s="266" t="s">
        <v>3518</v>
      </c>
      <c r="AA295" s="266" t="s">
        <v>3674</v>
      </c>
      <c r="AB295" s="266" t="s">
        <v>2254</v>
      </c>
      <c r="AD295" s="266" t="s">
        <v>3675</v>
      </c>
      <c r="AE295" s="266" t="s">
        <v>3674</v>
      </c>
      <c r="AF295" s="266" t="s">
        <v>2111</v>
      </c>
      <c r="AG295" s="266" t="s">
        <v>2295</v>
      </c>
      <c r="AH295" s="266" t="s">
        <v>3683</v>
      </c>
      <c r="AI295" s="266" t="s">
        <v>4314</v>
      </c>
    </row>
    <row r="296" spans="1:35" x14ac:dyDescent="0.25">
      <c r="A296" s="264" t="str">
        <f>HLOOKUP(Overview!$P$8,$B$1:$AI$1500,296,FALSE)</f>
        <v xml:space="preserve">          20031511</v>
      </c>
      <c r="B296" s="252"/>
      <c r="C296" s="183">
        <v>10000834</v>
      </c>
      <c r="D296" s="287" t="s">
        <v>4497</v>
      </c>
      <c r="E296" s="264" t="s">
        <v>1959</v>
      </c>
      <c r="F296" s="264" t="s">
        <v>1986</v>
      </c>
      <c r="G296" s="264" t="s">
        <v>3669</v>
      </c>
      <c r="I296" s="264" t="s">
        <v>3685</v>
      </c>
      <c r="J296" s="264" t="s">
        <v>3569</v>
      </c>
      <c r="L296" s="264" t="s">
        <v>3687</v>
      </c>
      <c r="M296" s="264" t="s">
        <v>2013</v>
      </c>
      <c r="N296" s="264" t="s">
        <v>2223</v>
      </c>
      <c r="O296" s="264" t="s">
        <v>2298</v>
      </c>
      <c r="P296" s="264" t="s">
        <v>4271</v>
      </c>
      <c r="Q296" s="264" t="s">
        <v>4274</v>
      </c>
      <c r="R296" s="264" t="s">
        <v>2350</v>
      </c>
      <c r="V296" s="264" t="s">
        <v>2354</v>
      </c>
      <c r="W296" s="264" t="s">
        <v>4326</v>
      </c>
      <c r="X296" s="264" t="s">
        <v>2251</v>
      </c>
      <c r="Y296" s="264" t="s">
        <v>2295</v>
      </c>
      <c r="Z296" s="265" t="s">
        <v>3415</v>
      </c>
      <c r="AA296" s="265" t="s">
        <v>3890</v>
      </c>
      <c r="AB296" s="265" t="s">
        <v>2214</v>
      </c>
      <c r="AD296" s="265" t="s">
        <v>3676</v>
      </c>
      <c r="AE296" s="265" t="s">
        <v>3890</v>
      </c>
      <c r="AF296" s="265" t="s">
        <v>2282</v>
      </c>
      <c r="AG296" s="265" t="s">
        <v>2321</v>
      </c>
      <c r="AH296" s="265" t="s">
        <v>3684</v>
      </c>
      <c r="AI296" s="265" t="s">
        <v>4345</v>
      </c>
    </row>
    <row r="297" spans="1:35" x14ac:dyDescent="0.25">
      <c r="A297" s="264" t="str">
        <f>HLOOKUP(Overview!$P$8,$B$1:$AI$1500,297,FALSE)</f>
        <v xml:space="preserve">          20031512</v>
      </c>
      <c r="B297" s="252"/>
      <c r="C297" s="183">
        <v>10127495</v>
      </c>
      <c r="D297" s="288" t="s">
        <v>4498</v>
      </c>
      <c r="E297" s="252" t="s">
        <v>1998</v>
      </c>
      <c r="F297" s="252" t="s">
        <v>3631</v>
      </c>
      <c r="G297" s="252" t="s">
        <v>3670</v>
      </c>
      <c r="I297" s="252" t="s">
        <v>4342</v>
      </c>
      <c r="J297" s="252" t="s">
        <v>3568</v>
      </c>
      <c r="L297" s="252" t="s">
        <v>3688</v>
      </c>
      <c r="M297" s="252" t="s">
        <v>2111</v>
      </c>
      <c r="N297" s="252" t="s">
        <v>2017</v>
      </c>
      <c r="O297" s="252" t="s">
        <v>2289</v>
      </c>
      <c r="P297" s="252" t="s">
        <v>4335</v>
      </c>
      <c r="Q297" s="252" t="s">
        <v>4314</v>
      </c>
      <c r="R297" s="252" t="s">
        <v>2279</v>
      </c>
      <c r="V297" s="252" t="s">
        <v>2356</v>
      </c>
      <c r="W297" s="252" t="s">
        <v>3668</v>
      </c>
      <c r="X297" s="252" t="s">
        <v>2102</v>
      </c>
      <c r="Y297" s="252" t="s">
        <v>2321</v>
      </c>
      <c r="Z297" s="266" t="s">
        <v>3513</v>
      </c>
      <c r="AA297" s="266" t="s">
        <v>3675</v>
      </c>
      <c r="AB297" s="266" t="s">
        <v>2234</v>
      </c>
      <c r="AD297" s="266" t="s">
        <v>3677</v>
      </c>
      <c r="AE297" s="266" t="s">
        <v>3675</v>
      </c>
      <c r="AF297" s="266" t="s">
        <v>2123</v>
      </c>
      <c r="AG297" s="266" t="s">
        <v>2333</v>
      </c>
      <c r="AH297" s="266" t="s">
        <v>3685</v>
      </c>
      <c r="AI297" s="266" t="s">
        <v>3682</v>
      </c>
    </row>
    <row r="298" spans="1:35" x14ac:dyDescent="0.25">
      <c r="A298" s="264" t="str">
        <f>HLOOKUP(Overview!$P$8,$B$1:$AI$1500,298,FALSE)</f>
        <v xml:space="preserve">          10006323</v>
      </c>
      <c r="B298" s="252"/>
      <c r="C298" s="183">
        <v>10001750</v>
      </c>
      <c r="D298" s="287" t="s">
        <v>2005</v>
      </c>
      <c r="E298" s="264" t="s">
        <v>2049</v>
      </c>
      <c r="F298" s="264" t="s">
        <v>2265</v>
      </c>
      <c r="G298" s="264" t="s">
        <v>3671</v>
      </c>
      <c r="I298" s="264" t="s">
        <v>4338</v>
      </c>
      <c r="J298" s="264" t="s">
        <v>2361</v>
      </c>
      <c r="L298" s="264" t="s">
        <v>3689</v>
      </c>
      <c r="M298" s="264" t="s">
        <v>2282</v>
      </c>
      <c r="N298" s="264" t="s">
        <v>4318</v>
      </c>
      <c r="O298" s="264" t="s">
        <v>2279</v>
      </c>
      <c r="P298" s="264" t="s">
        <v>4277</v>
      </c>
      <c r="Q298" s="264" t="s">
        <v>3683</v>
      </c>
      <c r="R298" s="264" t="s">
        <v>2288</v>
      </c>
      <c r="V298" s="264" t="s">
        <v>2344</v>
      </c>
      <c r="W298" s="264" t="s">
        <v>3669</v>
      </c>
      <c r="X298" s="264" t="s">
        <v>2270</v>
      </c>
      <c r="Y298" s="264" t="s">
        <v>2333</v>
      </c>
      <c r="Z298" s="265" t="s">
        <v>3419</v>
      </c>
      <c r="AA298" s="265" t="s">
        <v>3676</v>
      </c>
      <c r="AB298" s="265" t="s">
        <v>2334</v>
      </c>
      <c r="AD298" s="265" t="s">
        <v>3678</v>
      </c>
      <c r="AE298" s="265" t="s">
        <v>3676</v>
      </c>
      <c r="AF298" s="265" t="s">
        <v>2223</v>
      </c>
      <c r="AG298" s="265" t="s">
        <v>3569</v>
      </c>
      <c r="AH298" s="265" t="s">
        <v>2159</v>
      </c>
      <c r="AI298" s="265" t="s">
        <v>3683</v>
      </c>
    </row>
    <row r="299" spans="1:35" x14ac:dyDescent="0.25">
      <c r="A299" s="264" t="str">
        <f>HLOOKUP(Overview!$P$8,$B$1:$AI$1500,299,FALSE)</f>
        <v xml:space="preserve">          20019287</v>
      </c>
      <c r="B299" s="252"/>
      <c r="C299" s="183">
        <v>10000873</v>
      </c>
      <c r="D299" s="288" t="s">
        <v>2102</v>
      </c>
      <c r="E299" s="252" t="s">
        <v>3622</v>
      </c>
      <c r="F299" s="252" t="s">
        <v>3540</v>
      </c>
      <c r="G299" s="252" t="s">
        <v>3672</v>
      </c>
      <c r="I299" s="252" t="s">
        <v>2159</v>
      </c>
      <c r="J299" s="252" t="s">
        <v>2308</v>
      </c>
      <c r="L299" s="252" t="s">
        <v>2354</v>
      </c>
      <c r="M299" s="252" t="s">
        <v>2123</v>
      </c>
      <c r="N299" s="252" t="s">
        <v>4320</v>
      </c>
      <c r="O299" s="252" t="s">
        <v>2288</v>
      </c>
      <c r="P299" s="252" t="s">
        <v>4278</v>
      </c>
      <c r="Q299" s="252" t="s">
        <v>3684</v>
      </c>
      <c r="R299" s="252" t="s">
        <v>3686</v>
      </c>
      <c r="V299" s="252" t="s">
        <v>2394</v>
      </c>
      <c r="W299" s="252" t="s">
        <v>3670</v>
      </c>
      <c r="X299" s="252" t="s">
        <v>2213</v>
      </c>
      <c r="Y299" s="252" t="s">
        <v>3569</v>
      </c>
      <c r="AA299" s="266" t="s">
        <v>3677</v>
      </c>
      <c r="AB299" s="266" t="s">
        <v>2221</v>
      </c>
      <c r="AD299" s="266" t="s">
        <v>3679</v>
      </c>
      <c r="AE299" s="266" t="s">
        <v>3677</v>
      </c>
      <c r="AF299" s="266" t="s">
        <v>2017</v>
      </c>
      <c r="AG299" s="266" t="s">
        <v>3568</v>
      </c>
      <c r="AH299" s="266" t="s">
        <v>2013</v>
      </c>
      <c r="AI299" s="266" t="s">
        <v>3684</v>
      </c>
    </row>
    <row r="300" spans="1:35" x14ac:dyDescent="0.25">
      <c r="A300" s="264" t="str">
        <f>HLOOKUP(Overview!$P$8,$B$1:$AI$1500,300,FALSE)</f>
        <v xml:space="preserve">          20019288</v>
      </c>
      <c r="B300" s="252"/>
      <c r="C300" s="183">
        <v>10000819</v>
      </c>
      <c r="D300" s="287" t="s">
        <v>2270</v>
      </c>
      <c r="E300" s="264" t="s">
        <v>3623</v>
      </c>
      <c r="F300" s="264" t="s">
        <v>2163</v>
      </c>
      <c r="G300" s="264" t="s">
        <v>3673</v>
      </c>
      <c r="I300" s="264" t="s">
        <v>2013</v>
      </c>
      <c r="J300" s="264" t="s">
        <v>3631</v>
      </c>
      <c r="L300" s="264" t="s">
        <v>2356</v>
      </c>
      <c r="M300" s="264" t="s">
        <v>2223</v>
      </c>
      <c r="N300" s="264" t="s">
        <v>4321</v>
      </c>
      <c r="O300" s="264" t="s">
        <v>3686</v>
      </c>
      <c r="P300" s="264" t="s">
        <v>4315</v>
      </c>
      <c r="Q300" s="264" t="s">
        <v>3685</v>
      </c>
      <c r="R300" s="264" t="s">
        <v>3687</v>
      </c>
      <c r="V300" s="264" t="s">
        <v>3512</v>
      </c>
      <c r="W300" s="264" t="s">
        <v>3671</v>
      </c>
      <c r="X300" s="264" t="s">
        <v>2173</v>
      </c>
      <c r="Y300" s="264" t="s">
        <v>3568</v>
      </c>
      <c r="AA300" s="265" t="s">
        <v>3678</v>
      </c>
      <c r="AB300" s="265" t="s">
        <v>2313</v>
      </c>
      <c r="AD300" s="265" t="s">
        <v>3680</v>
      </c>
      <c r="AE300" s="265" t="s">
        <v>3678</v>
      </c>
      <c r="AF300" s="265" t="s">
        <v>2251</v>
      </c>
      <c r="AG300" s="265" t="s">
        <v>3631</v>
      </c>
      <c r="AH300" s="265" t="s">
        <v>2111</v>
      </c>
      <c r="AI300" s="265" t="s">
        <v>3685</v>
      </c>
    </row>
    <row r="301" spans="1:35" x14ac:dyDescent="0.25">
      <c r="A301" s="264" t="str">
        <f>HLOOKUP(Overview!$P$8,$B$1:$AI$1500,301,FALSE)</f>
        <v xml:space="preserve">          20019289</v>
      </c>
      <c r="B301" s="252"/>
      <c r="C301" s="183">
        <v>10021945</v>
      </c>
      <c r="D301" s="288" t="s">
        <v>2213</v>
      </c>
      <c r="E301" s="252" t="s">
        <v>4294</v>
      </c>
      <c r="F301" s="252" t="s">
        <v>2144</v>
      </c>
      <c r="G301" s="252" t="s">
        <v>3674</v>
      </c>
      <c r="I301" s="252" t="s">
        <v>2111</v>
      </c>
      <c r="J301" s="252" t="s">
        <v>2265</v>
      </c>
      <c r="L301" s="252" t="s">
        <v>2344</v>
      </c>
      <c r="M301" s="252" t="s">
        <v>2017</v>
      </c>
      <c r="N301" s="252" t="s">
        <v>4322</v>
      </c>
      <c r="O301" s="252" t="s">
        <v>3687</v>
      </c>
      <c r="P301" s="252" t="s">
        <v>4272</v>
      </c>
      <c r="Q301" s="252" t="s">
        <v>2159</v>
      </c>
      <c r="R301" s="252" t="s">
        <v>3689</v>
      </c>
      <c r="V301" s="252" t="s">
        <v>3421</v>
      </c>
      <c r="W301" s="252" t="s">
        <v>3672</v>
      </c>
      <c r="X301" s="252" t="s">
        <v>2212</v>
      </c>
      <c r="Y301" s="252" t="s">
        <v>3631</v>
      </c>
      <c r="AA301" s="266" t="s">
        <v>3679</v>
      </c>
      <c r="AB301" s="266" t="s">
        <v>4310</v>
      </c>
      <c r="AD301" s="266" t="s">
        <v>3874</v>
      </c>
      <c r="AE301" s="266" t="s">
        <v>3679</v>
      </c>
      <c r="AF301" s="266" t="s">
        <v>2102</v>
      </c>
      <c r="AG301" s="266" t="s">
        <v>2265</v>
      </c>
      <c r="AH301" s="266" t="s">
        <v>2282</v>
      </c>
      <c r="AI301" s="266" t="s">
        <v>4341</v>
      </c>
    </row>
    <row r="302" spans="1:35" x14ac:dyDescent="0.25">
      <c r="A302" s="264" t="str">
        <f>HLOOKUP(Overview!$P$8,$B$1:$AI$1500,302,FALSE)</f>
        <v xml:space="preserve">          20019290</v>
      </c>
      <c r="B302" s="252"/>
      <c r="C302" s="183">
        <v>20004167</v>
      </c>
      <c r="D302" s="287" t="s">
        <v>2173</v>
      </c>
      <c r="E302" s="264" t="s">
        <v>4303</v>
      </c>
      <c r="F302" s="264" t="s">
        <v>2168</v>
      </c>
      <c r="G302" s="264" t="s">
        <v>3509</v>
      </c>
      <c r="I302" s="264" t="s">
        <v>2282</v>
      </c>
      <c r="J302" s="264" t="s">
        <v>3540</v>
      </c>
      <c r="L302" s="264" t="s">
        <v>3512</v>
      </c>
      <c r="M302" s="264" t="s">
        <v>4275</v>
      </c>
      <c r="N302" s="264" t="s">
        <v>4324</v>
      </c>
      <c r="O302" s="264" t="s">
        <v>3688</v>
      </c>
      <c r="P302" s="264" t="s">
        <v>4280</v>
      </c>
      <c r="Q302" s="264" t="s">
        <v>2013</v>
      </c>
      <c r="R302" s="264" t="s">
        <v>2354</v>
      </c>
      <c r="V302" s="264" t="s">
        <v>3417</v>
      </c>
      <c r="W302" s="264" t="s">
        <v>3673</v>
      </c>
      <c r="X302" s="264" t="s">
        <v>4346</v>
      </c>
      <c r="Y302" s="264" t="s">
        <v>2265</v>
      </c>
      <c r="AA302" s="265" t="s">
        <v>3680</v>
      </c>
      <c r="AB302" s="265" t="s">
        <v>4307</v>
      </c>
      <c r="AD302" s="265" t="s">
        <v>3681</v>
      </c>
      <c r="AE302" s="265" t="s">
        <v>3680</v>
      </c>
      <c r="AF302" s="265" t="s">
        <v>2270</v>
      </c>
      <c r="AG302" s="265" t="s">
        <v>3540</v>
      </c>
      <c r="AH302" s="265" t="s">
        <v>2348</v>
      </c>
      <c r="AI302" s="265" t="s">
        <v>4338</v>
      </c>
    </row>
    <row r="303" spans="1:35" x14ac:dyDescent="0.25">
      <c r="A303" s="264" t="str">
        <f>HLOOKUP(Overview!$P$8,$B$1:$AI$1500,303,FALSE)</f>
        <v xml:space="preserve">          20019292</v>
      </c>
      <c r="B303" s="252"/>
      <c r="C303" s="183">
        <v>20004169</v>
      </c>
      <c r="D303" s="288" t="s">
        <v>2212</v>
      </c>
      <c r="E303" s="252" t="s">
        <v>3624</v>
      </c>
      <c r="F303" s="252" t="s">
        <v>3583</v>
      </c>
      <c r="G303" s="252" t="s">
        <v>3871</v>
      </c>
      <c r="I303" s="252" t="s">
        <v>2348</v>
      </c>
      <c r="J303" s="252" t="s">
        <v>2163</v>
      </c>
      <c r="L303" s="252" t="s">
        <v>3421</v>
      </c>
      <c r="M303" s="252" t="s">
        <v>4318</v>
      </c>
      <c r="N303" s="252" t="s">
        <v>4325</v>
      </c>
      <c r="O303" s="252" t="s">
        <v>3689</v>
      </c>
      <c r="P303" s="252" t="s">
        <v>4264</v>
      </c>
      <c r="Q303" s="252" t="s">
        <v>2111</v>
      </c>
      <c r="R303" s="252" t="s">
        <v>2356</v>
      </c>
      <c r="V303" s="252" t="s">
        <v>3510</v>
      </c>
      <c r="W303" s="252" t="s">
        <v>3674</v>
      </c>
      <c r="X303" s="252" t="s">
        <v>2327</v>
      </c>
      <c r="Y303" s="252" t="s">
        <v>3540</v>
      </c>
      <c r="AA303" s="266" t="s">
        <v>3874</v>
      </c>
      <c r="AB303" s="266" t="s">
        <v>4308</v>
      </c>
      <c r="AD303" s="266" t="s">
        <v>2254</v>
      </c>
      <c r="AE303" s="266" t="s">
        <v>3874</v>
      </c>
      <c r="AF303" s="266" t="s">
        <v>2213</v>
      </c>
      <c r="AG303" s="266" t="s">
        <v>2163</v>
      </c>
      <c r="AH303" s="266" t="s">
        <v>2123</v>
      </c>
      <c r="AI303" s="266" t="s">
        <v>2159</v>
      </c>
    </row>
    <row r="304" spans="1:35" x14ac:dyDescent="0.25">
      <c r="A304" s="264" t="str">
        <f>HLOOKUP(Overview!$P$8,$B$1:$AI$1500,304,FALSE)</f>
        <v xml:space="preserve">          10002281</v>
      </c>
      <c r="B304" s="252"/>
      <c r="C304" s="183">
        <v>20000106</v>
      </c>
      <c r="D304" s="287" t="s">
        <v>1916</v>
      </c>
      <c r="E304" s="264" t="s">
        <v>3625</v>
      </c>
      <c r="F304" s="264" t="s">
        <v>2026</v>
      </c>
      <c r="G304" s="264" t="s">
        <v>3675</v>
      </c>
      <c r="I304" s="264" t="s">
        <v>2123</v>
      </c>
      <c r="J304" s="264" t="s">
        <v>2144</v>
      </c>
      <c r="L304" s="264" t="s">
        <v>3417</v>
      </c>
      <c r="M304" s="264" t="s">
        <v>4321</v>
      </c>
      <c r="N304" s="264" t="s">
        <v>3632</v>
      </c>
      <c r="O304" s="264" t="s">
        <v>2354</v>
      </c>
      <c r="P304" s="264" t="s">
        <v>4274</v>
      </c>
      <c r="Q304" s="264" t="s">
        <v>2282</v>
      </c>
      <c r="R304" s="264" t="s">
        <v>2344</v>
      </c>
      <c r="V304" s="264" t="s">
        <v>3891</v>
      </c>
      <c r="W304" s="264" t="s">
        <v>3509</v>
      </c>
      <c r="X304" s="264" t="s">
        <v>2315</v>
      </c>
      <c r="Y304" s="264" t="s">
        <v>2163</v>
      </c>
      <c r="AA304" s="265" t="s">
        <v>3681</v>
      </c>
      <c r="AB304" s="265" t="s">
        <v>4327</v>
      </c>
      <c r="AD304" s="265" t="s">
        <v>2214</v>
      </c>
      <c r="AE304" s="265" t="s">
        <v>3681</v>
      </c>
      <c r="AF304" s="265" t="s">
        <v>2173</v>
      </c>
      <c r="AG304" s="265" t="s">
        <v>2144</v>
      </c>
      <c r="AH304" s="265" t="s">
        <v>2223</v>
      </c>
      <c r="AI304" s="265" t="s">
        <v>2013</v>
      </c>
    </row>
    <row r="305" spans="1:35" x14ac:dyDescent="0.25">
      <c r="A305" s="264" t="str">
        <f>HLOOKUP(Overview!$P$8,$B$1:$AI$1500,305,FALSE)</f>
        <v xml:space="preserve">          10002282</v>
      </c>
      <c r="B305" s="252"/>
      <c r="C305" s="183">
        <v>10033031</v>
      </c>
      <c r="D305" s="288" t="s">
        <v>1897</v>
      </c>
      <c r="E305" s="252" t="s">
        <v>4273</v>
      </c>
      <c r="F305" s="252" t="s">
        <v>3668</v>
      </c>
      <c r="G305" s="252" t="s">
        <v>3676</v>
      </c>
      <c r="I305" s="252" t="s">
        <v>2223</v>
      </c>
      <c r="J305" s="252" t="s">
        <v>2168</v>
      </c>
      <c r="L305" s="252" t="s">
        <v>3510</v>
      </c>
      <c r="M305" s="252" t="s">
        <v>4324</v>
      </c>
      <c r="N305" s="252" t="s">
        <v>3633</v>
      </c>
      <c r="O305" s="252" t="s">
        <v>2356</v>
      </c>
      <c r="P305" s="252" t="s">
        <v>4314</v>
      </c>
      <c r="Q305" s="252" t="s">
        <v>2123</v>
      </c>
      <c r="R305" s="252" t="s">
        <v>3512</v>
      </c>
      <c r="V305" s="252" t="s">
        <v>3885</v>
      </c>
      <c r="W305" s="252" t="s">
        <v>3890</v>
      </c>
      <c r="X305" s="252" t="s">
        <v>2420</v>
      </c>
      <c r="Y305" s="252" t="s">
        <v>2144</v>
      </c>
      <c r="AA305" s="266" t="s">
        <v>2254</v>
      </c>
      <c r="AB305" s="266" t="s">
        <v>4195</v>
      </c>
      <c r="AD305" s="266" t="s">
        <v>2234</v>
      </c>
      <c r="AE305" s="266" t="s">
        <v>2254</v>
      </c>
      <c r="AF305" s="266" t="s">
        <v>2331</v>
      </c>
      <c r="AG305" s="266" t="s">
        <v>2168</v>
      </c>
      <c r="AH305" s="266" t="s">
        <v>2017</v>
      </c>
      <c r="AI305" s="266" t="s">
        <v>2111</v>
      </c>
    </row>
    <row r="306" spans="1:35" x14ac:dyDescent="0.25">
      <c r="A306" s="264" t="str">
        <f>HLOOKUP(Overview!$P$8,$B$1:$AI$1500,306,FALSE)</f>
        <v xml:space="preserve">          10002283</v>
      </c>
      <c r="B306" s="252"/>
      <c r="C306" s="183">
        <v>10001754</v>
      </c>
      <c r="D306" s="287" t="s">
        <v>2000</v>
      </c>
      <c r="E306" s="264" t="s">
        <v>2372</v>
      </c>
      <c r="F306" s="264" t="s">
        <v>3669</v>
      </c>
      <c r="G306" s="264" t="s">
        <v>3677</v>
      </c>
      <c r="I306" s="264" t="s">
        <v>2017</v>
      </c>
      <c r="J306" s="264" t="s">
        <v>3583</v>
      </c>
      <c r="L306" s="264" t="s">
        <v>3690</v>
      </c>
      <c r="M306" s="264" t="s">
        <v>4325</v>
      </c>
      <c r="N306" s="264" t="s">
        <v>3634</v>
      </c>
      <c r="O306" s="264" t="s">
        <v>2344</v>
      </c>
      <c r="P306" s="264" t="s">
        <v>3683</v>
      </c>
      <c r="Q306" s="264" t="s">
        <v>2223</v>
      </c>
      <c r="R306" s="264" t="s">
        <v>3421</v>
      </c>
      <c r="V306" s="264" t="s">
        <v>3886</v>
      </c>
      <c r="W306" s="264" t="s">
        <v>3675</v>
      </c>
      <c r="X306" s="264" t="s">
        <v>2276</v>
      </c>
      <c r="Y306" s="264" t="s">
        <v>3583</v>
      </c>
      <c r="AA306" s="265" t="s">
        <v>2214</v>
      </c>
      <c r="AB306" s="265" t="s">
        <v>4268</v>
      </c>
      <c r="AD306" s="265" t="s">
        <v>2334</v>
      </c>
      <c r="AE306" s="265" t="s">
        <v>2214</v>
      </c>
      <c r="AF306" s="265" t="s">
        <v>2212</v>
      </c>
      <c r="AG306" s="265" t="s">
        <v>3583</v>
      </c>
      <c r="AH306" s="265" t="s">
        <v>2251</v>
      </c>
      <c r="AI306" s="265" t="s">
        <v>2282</v>
      </c>
    </row>
    <row r="307" spans="1:35" x14ac:dyDescent="0.25">
      <c r="A307" s="264" t="str">
        <f>HLOOKUP(Overview!$P$8,$B$1:$AI$1500,307,FALSE)</f>
        <v xml:space="preserve">          10002284</v>
      </c>
      <c r="B307" s="252"/>
      <c r="C307" s="183">
        <v>10002435</v>
      </c>
      <c r="D307" s="288" t="s">
        <v>4499</v>
      </c>
      <c r="E307" s="252" t="s">
        <v>4265</v>
      </c>
      <c r="F307" s="252" t="s">
        <v>3670</v>
      </c>
      <c r="G307" s="252" t="s">
        <v>3678</v>
      </c>
      <c r="I307" s="252" t="s">
        <v>2251</v>
      </c>
      <c r="J307" s="252" t="s">
        <v>2026</v>
      </c>
      <c r="L307" s="252" t="s">
        <v>3692</v>
      </c>
      <c r="M307" s="252" t="s">
        <v>2251</v>
      </c>
      <c r="N307" s="252" t="s">
        <v>2352</v>
      </c>
      <c r="O307" s="252" t="s">
        <v>2394</v>
      </c>
      <c r="P307" s="252" t="s">
        <v>3684</v>
      </c>
      <c r="Q307" s="252" t="s">
        <v>2017</v>
      </c>
      <c r="R307" s="252" t="s">
        <v>3417</v>
      </c>
      <c r="V307" s="252" t="s">
        <v>3889</v>
      </c>
      <c r="W307" s="252" t="s">
        <v>3676</v>
      </c>
      <c r="X307" s="252" t="s">
        <v>4347</v>
      </c>
      <c r="Y307" s="252" t="s">
        <v>2026</v>
      </c>
      <c r="AA307" s="266" t="s">
        <v>2234</v>
      </c>
      <c r="AB307" s="266" t="s">
        <v>4197</v>
      </c>
      <c r="AD307" s="266" t="s">
        <v>2221</v>
      </c>
      <c r="AE307" s="266" t="s">
        <v>2234</v>
      </c>
      <c r="AF307" s="266" t="s">
        <v>2370</v>
      </c>
      <c r="AG307" s="266" t="s">
        <v>2026</v>
      </c>
      <c r="AH307" s="266" t="s">
        <v>2102</v>
      </c>
      <c r="AI307" s="266" t="s">
        <v>2348</v>
      </c>
    </row>
    <row r="308" spans="1:35" x14ac:dyDescent="0.25">
      <c r="A308" s="264" t="str">
        <f>HLOOKUP(Overview!$P$8,$B$1:$AI$1500,308,FALSE)</f>
        <v xml:space="preserve">          10002285</v>
      </c>
      <c r="B308" s="252"/>
      <c r="C308" s="183">
        <v>10001038</v>
      </c>
      <c r="D308" s="287" t="s">
        <v>1996</v>
      </c>
      <c r="E308" s="264" t="s">
        <v>4293</v>
      </c>
      <c r="F308" s="264" t="s">
        <v>3671</v>
      </c>
      <c r="G308" s="264" t="s">
        <v>3679</v>
      </c>
      <c r="I308" s="264" t="s">
        <v>2102</v>
      </c>
      <c r="J308" s="264" t="s">
        <v>4326</v>
      </c>
      <c r="L308" s="264" t="s">
        <v>3693</v>
      </c>
      <c r="M308" s="264" t="s">
        <v>2352</v>
      </c>
      <c r="N308" s="264" t="s">
        <v>2102</v>
      </c>
      <c r="O308" s="264" t="s">
        <v>3512</v>
      </c>
      <c r="P308" s="264" t="s">
        <v>3685</v>
      </c>
      <c r="Q308" s="264" t="s">
        <v>4275</v>
      </c>
      <c r="R308" s="264" t="s">
        <v>3510</v>
      </c>
      <c r="V308" s="264" t="s">
        <v>3892</v>
      </c>
      <c r="W308" s="264" t="s">
        <v>3677</v>
      </c>
      <c r="X308" s="264" t="s">
        <v>4348</v>
      </c>
      <c r="Y308" s="264" t="s">
        <v>4326</v>
      </c>
      <c r="AA308" s="265" t="s">
        <v>2334</v>
      </c>
      <c r="AB308" s="265" t="s">
        <v>4267</v>
      </c>
      <c r="AD308" s="265" t="s">
        <v>2313</v>
      </c>
      <c r="AE308" s="265" t="s">
        <v>2334</v>
      </c>
      <c r="AF308" s="265" t="s">
        <v>4346</v>
      </c>
      <c r="AG308" s="265" t="s">
        <v>4326</v>
      </c>
      <c r="AH308" s="265" t="s">
        <v>2270</v>
      </c>
      <c r="AI308" s="265" t="s">
        <v>2123</v>
      </c>
    </row>
    <row r="309" spans="1:35" x14ac:dyDescent="0.25">
      <c r="A309" s="264" t="str">
        <f>HLOOKUP(Overview!$P$8,$B$1:$AI$1500,309,FALSE)</f>
        <v xml:space="preserve">          10028020</v>
      </c>
      <c r="B309" s="252"/>
      <c r="C309" s="183">
        <v>10000223</v>
      </c>
      <c r="D309" s="288" t="s">
        <v>2175</v>
      </c>
      <c r="E309" s="252" t="s">
        <v>4279</v>
      </c>
      <c r="F309" s="252" t="s">
        <v>3672</v>
      </c>
      <c r="G309" s="252" t="s">
        <v>3680</v>
      </c>
      <c r="I309" s="252" t="s">
        <v>2270</v>
      </c>
      <c r="J309" s="252" t="s">
        <v>3668</v>
      </c>
      <c r="L309" s="252" t="s">
        <v>3694</v>
      </c>
      <c r="M309" s="252" t="s">
        <v>2102</v>
      </c>
      <c r="N309" s="252" t="s">
        <v>2270</v>
      </c>
      <c r="O309" s="252" t="s">
        <v>3421</v>
      </c>
      <c r="P309" s="252" t="s">
        <v>4341</v>
      </c>
      <c r="Q309" s="252" t="s">
        <v>4317</v>
      </c>
      <c r="R309" s="252" t="s">
        <v>3891</v>
      </c>
      <c r="V309" s="252" t="s">
        <v>3893</v>
      </c>
      <c r="W309" s="252" t="s">
        <v>3678</v>
      </c>
      <c r="X309" s="252" t="s">
        <v>4349</v>
      </c>
      <c r="Y309" s="252" t="s">
        <v>3668</v>
      </c>
      <c r="AA309" s="266" t="s">
        <v>2221</v>
      </c>
      <c r="AB309" s="266" t="s">
        <v>4199</v>
      </c>
      <c r="AD309" s="266" t="s">
        <v>4310</v>
      </c>
      <c r="AE309" s="266" t="s">
        <v>2221</v>
      </c>
      <c r="AF309" s="266" t="s">
        <v>2327</v>
      </c>
      <c r="AG309" s="266" t="s">
        <v>3668</v>
      </c>
      <c r="AH309" s="266" t="s">
        <v>2213</v>
      </c>
      <c r="AI309" s="266" t="s">
        <v>2223</v>
      </c>
    </row>
    <row r="310" spans="1:35" x14ac:dyDescent="0.25">
      <c r="A310" s="264" t="str">
        <f>HLOOKUP(Overview!$P$8,$B$1:$AI$1500,310,FALSE)</f>
        <v xml:space="preserve">          10045978</v>
      </c>
      <c r="B310" s="252"/>
      <c r="C310" s="183">
        <v>10001616</v>
      </c>
      <c r="D310" s="287" t="s">
        <v>1975</v>
      </c>
      <c r="E310" s="264" t="s">
        <v>2121</v>
      </c>
      <c r="F310" s="264" t="s">
        <v>3673</v>
      </c>
      <c r="G310" s="264" t="s">
        <v>3874</v>
      </c>
      <c r="I310" s="264" t="s">
        <v>2213</v>
      </c>
      <c r="J310" s="264" t="s">
        <v>3669</v>
      </c>
      <c r="L310" s="264" t="s">
        <v>3515</v>
      </c>
      <c r="M310" s="264" t="s">
        <v>2213</v>
      </c>
      <c r="N310" s="264" t="s">
        <v>2213</v>
      </c>
      <c r="O310" s="264" t="s">
        <v>3417</v>
      </c>
      <c r="P310" s="264" t="s">
        <v>4342</v>
      </c>
      <c r="Q310" s="264" t="s">
        <v>4318</v>
      </c>
      <c r="R310" s="264" t="s">
        <v>3886</v>
      </c>
      <c r="V310" s="264" t="s">
        <v>3887</v>
      </c>
      <c r="W310" s="264" t="s">
        <v>3679</v>
      </c>
      <c r="X310" s="264" t="s">
        <v>2301</v>
      </c>
      <c r="Y310" s="264" t="s">
        <v>3669</v>
      </c>
      <c r="AA310" s="265" t="s">
        <v>2313</v>
      </c>
      <c r="AB310" s="265" t="s">
        <v>4269</v>
      </c>
      <c r="AD310" s="265" t="s">
        <v>4307</v>
      </c>
      <c r="AE310" s="265" t="s">
        <v>2313</v>
      </c>
      <c r="AF310" s="265" t="s">
        <v>4350</v>
      </c>
      <c r="AG310" s="265" t="s">
        <v>3669</v>
      </c>
      <c r="AH310" s="265" t="s">
        <v>2173</v>
      </c>
      <c r="AI310" s="265" t="s">
        <v>2017</v>
      </c>
    </row>
    <row r="311" spans="1:35" x14ac:dyDescent="0.25">
      <c r="A311" s="264" t="str">
        <f>HLOOKUP(Overview!$P$8,$B$1:$AI$1500,311,FALSE)</f>
        <v xml:space="preserve">          10000009</v>
      </c>
      <c r="B311" s="252"/>
      <c r="C311" s="183">
        <v>10097401</v>
      </c>
      <c r="D311" s="288" t="s">
        <v>4500</v>
      </c>
      <c r="E311" s="252" t="s">
        <v>2192</v>
      </c>
      <c r="F311" s="252" t="s">
        <v>3674</v>
      </c>
      <c r="G311" s="252" t="s">
        <v>3681</v>
      </c>
      <c r="I311" s="252" t="s">
        <v>2173</v>
      </c>
      <c r="J311" s="252" t="s">
        <v>3670</v>
      </c>
      <c r="L311" s="252" t="s">
        <v>3516</v>
      </c>
      <c r="M311" s="252" t="s">
        <v>2173</v>
      </c>
      <c r="N311" s="252" t="s">
        <v>2173</v>
      </c>
      <c r="O311" s="252" t="s">
        <v>3510</v>
      </c>
      <c r="P311" s="252" t="s">
        <v>4338</v>
      </c>
      <c r="Q311" s="252" t="s">
        <v>4320</v>
      </c>
      <c r="R311" s="252" t="s">
        <v>3889</v>
      </c>
      <c r="V311" s="252" t="s">
        <v>3878</v>
      </c>
      <c r="W311" s="252" t="s">
        <v>3680</v>
      </c>
      <c r="X311" s="252" t="s">
        <v>2179</v>
      </c>
      <c r="Y311" s="252" t="s">
        <v>3670</v>
      </c>
      <c r="AA311" s="266" t="s">
        <v>4310</v>
      </c>
      <c r="AB311" s="266" t="s">
        <v>4339</v>
      </c>
      <c r="AD311" s="266" t="s">
        <v>4308</v>
      </c>
      <c r="AE311" s="266" t="s">
        <v>4310</v>
      </c>
      <c r="AF311" s="266" t="s">
        <v>2315</v>
      </c>
      <c r="AG311" s="266" t="s">
        <v>3670</v>
      </c>
      <c r="AH311" s="266" t="s">
        <v>2212</v>
      </c>
      <c r="AI311" s="266" t="s">
        <v>2410</v>
      </c>
    </row>
    <row r="312" spans="1:35" x14ac:dyDescent="0.25">
      <c r="A312" s="264" t="str">
        <f>HLOOKUP(Overview!$P$8,$B$1:$AI$1500,312,FALSE)</f>
        <v xml:space="preserve">          10000011</v>
      </c>
      <c r="B312" s="252"/>
      <c r="C312" s="183">
        <v>10000765</v>
      </c>
      <c r="D312" s="287" t="s">
        <v>4501</v>
      </c>
      <c r="E312" s="264" t="s">
        <v>2115</v>
      </c>
      <c r="F312" s="264" t="s">
        <v>3509</v>
      </c>
      <c r="G312" s="264" t="s">
        <v>2254</v>
      </c>
      <c r="I312" s="264" t="s">
        <v>2212</v>
      </c>
      <c r="J312" s="264" t="s">
        <v>3671</v>
      </c>
      <c r="L312" s="264" t="s">
        <v>3423</v>
      </c>
      <c r="M312" s="264" t="s">
        <v>2212</v>
      </c>
      <c r="N312" s="264" t="s">
        <v>2212</v>
      </c>
      <c r="O312" s="264" t="s">
        <v>3891</v>
      </c>
      <c r="P312" s="264" t="s">
        <v>4343</v>
      </c>
      <c r="Q312" s="264" t="s">
        <v>4321</v>
      </c>
      <c r="R312" s="264" t="s">
        <v>3887</v>
      </c>
      <c r="V312" s="264" t="s">
        <v>3872</v>
      </c>
      <c r="W312" s="264" t="s">
        <v>3875</v>
      </c>
      <c r="X312" s="264" t="s">
        <v>2225</v>
      </c>
      <c r="Y312" s="264" t="s">
        <v>3671</v>
      </c>
      <c r="AA312" s="265" t="s">
        <v>4307</v>
      </c>
      <c r="AB312" s="265" t="s">
        <v>4330</v>
      </c>
      <c r="AD312" s="265" t="s">
        <v>4195</v>
      </c>
      <c r="AE312" s="265" t="s">
        <v>4307</v>
      </c>
      <c r="AF312" s="265" t="s">
        <v>4351</v>
      </c>
      <c r="AG312" s="265" t="s">
        <v>3671</v>
      </c>
      <c r="AH312" s="265" t="s">
        <v>2257</v>
      </c>
      <c r="AI312" s="265" t="s">
        <v>2251</v>
      </c>
    </row>
    <row r="313" spans="1:35" x14ac:dyDescent="0.25">
      <c r="A313" s="264" t="str">
        <f>HLOOKUP(Overview!$P$8,$B$1:$AI$1500,313,FALSE)</f>
        <v xml:space="preserve">          10000012</v>
      </c>
      <c r="B313" s="252"/>
      <c r="C313" s="183">
        <v>10127334</v>
      </c>
      <c r="D313" s="288" t="s">
        <v>4502</v>
      </c>
      <c r="E313" s="252" t="s">
        <v>2262</v>
      </c>
      <c r="F313" s="252" t="s">
        <v>3871</v>
      </c>
      <c r="G313" s="252" t="s">
        <v>2214</v>
      </c>
      <c r="I313" s="252" t="s">
        <v>2257</v>
      </c>
      <c r="J313" s="252" t="s">
        <v>3672</v>
      </c>
      <c r="L313" s="252" t="s">
        <v>3415</v>
      </c>
      <c r="M313" s="252" t="s">
        <v>2257</v>
      </c>
      <c r="N313" s="252" t="s">
        <v>2257</v>
      </c>
      <c r="O313" s="252" t="s">
        <v>3885</v>
      </c>
      <c r="P313" s="252" t="s">
        <v>2401</v>
      </c>
      <c r="Q313" s="252" t="s">
        <v>4322</v>
      </c>
      <c r="R313" s="252" t="s">
        <v>3690</v>
      </c>
      <c r="V313" s="252" t="s">
        <v>3690</v>
      </c>
      <c r="W313" s="252" t="s">
        <v>3874</v>
      </c>
      <c r="X313" s="252" t="s">
        <v>2298</v>
      </c>
      <c r="Y313" s="252" t="s">
        <v>3672</v>
      </c>
      <c r="AA313" s="266" t="s">
        <v>4308</v>
      </c>
      <c r="AB313" s="266" t="s">
        <v>4260</v>
      </c>
      <c r="AD313" s="266" t="s">
        <v>4268</v>
      </c>
      <c r="AE313" s="266" t="s">
        <v>4308</v>
      </c>
      <c r="AF313" s="266" t="s">
        <v>2276</v>
      </c>
      <c r="AG313" s="266" t="s">
        <v>3672</v>
      </c>
      <c r="AH313" s="266" t="s">
        <v>2276</v>
      </c>
      <c r="AI313" s="266" t="s">
        <v>2102</v>
      </c>
    </row>
    <row r="314" spans="1:35" x14ac:dyDescent="0.25">
      <c r="A314" s="264" t="str">
        <f>HLOOKUP(Overview!$P$8,$B$1:$AI$1500,314,FALSE)</f>
        <v xml:space="preserve">          10087163</v>
      </c>
      <c r="B314" s="252"/>
      <c r="C314" s="183">
        <v>10000006</v>
      </c>
      <c r="D314" s="287" t="s">
        <v>2291</v>
      </c>
      <c r="E314" s="264" t="s">
        <v>4289</v>
      </c>
      <c r="F314" s="264" t="s">
        <v>3675</v>
      </c>
      <c r="G314" s="264" t="s">
        <v>2234</v>
      </c>
      <c r="I314" s="264" t="s">
        <v>2276</v>
      </c>
      <c r="J314" s="264" t="s">
        <v>3673</v>
      </c>
      <c r="L314" s="264" t="s">
        <v>3513</v>
      </c>
      <c r="M314" s="264" t="s">
        <v>2276</v>
      </c>
      <c r="N314" s="264" t="s">
        <v>2276</v>
      </c>
      <c r="O314" s="264" t="s">
        <v>3886</v>
      </c>
      <c r="P314" s="264" t="s">
        <v>2159</v>
      </c>
      <c r="Q314" s="264" t="s">
        <v>4324</v>
      </c>
      <c r="R314" s="264" t="s">
        <v>3596</v>
      </c>
      <c r="V314" s="264" t="s">
        <v>3898</v>
      </c>
      <c r="W314" s="264" t="s">
        <v>3681</v>
      </c>
      <c r="X314" s="264" t="s">
        <v>2289</v>
      </c>
      <c r="Y314" s="264" t="s">
        <v>3673</v>
      </c>
      <c r="AA314" s="265" t="s">
        <v>4327</v>
      </c>
      <c r="AB314" s="265" t="s">
        <v>4261</v>
      </c>
      <c r="AD314" s="265" t="s">
        <v>4197</v>
      </c>
      <c r="AE314" s="265" t="s">
        <v>4327</v>
      </c>
      <c r="AF314" s="265" t="s">
        <v>2301</v>
      </c>
      <c r="AG314" s="265" t="s">
        <v>3673</v>
      </c>
      <c r="AH314" s="265" t="s">
        <v>2301</v>
      </c>
      <c r="AI314" s="265" t="s">
        <v>2270</v>
      </c>
    </row>
    <row r="315" spans="1:35" x14ac:dyDescent="0.25">
      <c r="A315" s="264" t="str">
        <f>HLOOKUP(Overview!$P$8,$B$1:$AI$1500,315,FALSE)</f>
        <v xml:space="preserve">          10087164</v>
      </c>
      <c r="B315" s="252"/>
      <c r="C315" s="183">
        <v>10002280</v>
      </c>
      <c r="D315" s="288" t="s">
        <v>2319</v>
      </c>
      <c r="E315" s="252" t="s">
        <v>4290</v>
      </c>
      <c r="F315" s="252" t="s">
        <v>3676</v>
      </c>
      <c r="G315" s="252" t="s">
        <v>2334</v>
      </c>
      <c r="I315" s="252" t="s">
        <v>2301</v>
      </c>
      <c r="J315" s="252" t="s">
        <v>3674</v>
      </c>
      <c r="L315" s="252" t="s">
        <v>3419</v>
      </c>
      <c r="M315" s="252" t="s">
        <v>2301</v>
      </c>
      <c r="N315" s="252" t="s">
        <v>2362</v>
      </c>
      <c r="O315" s="252" t="s">
        <v>3889</v>
      </c>
      <c r="P315" s="252" t="s">
        <v>2013</v>
      </c>
      <c r="Q315" s="252" t="s">
        <v>4325</v>
      </c>
      <c r="R315" s="252" t="s">
        <v>3899</v>
      </c>
      <c r="V315" s="252" t="s">
        <v>3595</v>
      </c>
      <c r="W315" s="252" t="s">
        <v>2254</v>
      </c>
      <c r="X315" s="252" t="s">
        <v>2336</v>
      </c>
      <c r="Y315" s="252" t="s">
        <v>3674</v>
      </c>
      <c r="AA315" s="266" t="s">
        <v>4195</v>
      </c>
      <c r="AB315" s="266" t="s">
        <v>4312</v>
      </c>
      <c r="AD315" s="266" t="s">
        <v>4267</v>
      </c>
      <c r="AE315" s="266" t="s">
        <v>4195</v>
      </c>
      <c r="AF315" s="266" t="s">
        <v>2179</v>
      </c>
      <c r="AG315" s="266" t="s">
        <v>3674</v>
      </c>
      <c r="AH315" s="266" t="s">
        <v>2179</v>
      </c>
      <c r="AI315" s="266" t="s">
        <v>2213</v>
      </c>
    </row>
    <row r="316" spans="1:35" x14ac:dyDescent="0.25">
      <c r="A316" s="264" t="str">
        <f>HLOOKUP(Overview!$P$8,$B$1:$AI$1500,316,FALSE)</f>
        <v xml:space="preserve">          10087165</v>
      </c>
      <c r="B316" s="252"/>
      <c r="C316" s="183">
        <v>10120324</v>
      </c>
      <c r="D316" s="287" t="s">
        <v>2273</v>
      </c>
      <c r="E316" s="264" t="s">
        <v>4291</v>
      </c>
      <c r="F316" s="264" t="s">
        <v>3677</v>
      </c>
      <c r="G316" s="264" t="s">
        <v>2221</v>
      </c>
      <c r="I316" s="264" t="s">
        <v>2179</v>
      </c>
      <c r="J316" s="264" t="s">
        <v>3509</v>
      </c>
      <c r="L316" s="264" t="s">
        <v>3695</v>
      </c>
      <c r="M316" s="264" t="s">
        <v>2179</v>
      </c>
      <c r="N316" s="264" t="s">
        <v>3635</v>
      </c>
      <c r="O316" s="264" t="s">
        <v>3892</v>
      </c>
      <c r="P316" s="264" t="s">
        <v>2111</v>
      </c>
      <c r="Q316" s="264" t="s">
        <v>2251</v>
      </c>
      <c r="R316" s="264" t="s">
        <v>3894</v>
      </c>
      <c r="V316" s="264" t="s">
        <v>3598</v>
      </c>
      <c r="W316" s="264" t="s">
        <v>2214</v>
      </c>
      <c r="X316" s="264" t="s">
        <v>2375</v>
      </c>
      <c r="Y316" s="264" t="s">
        <v>3509</v>
      </c>
      <c r="AA316" s="265" t="s">
        <v>4268</v>
      </c>
      <c r="AB316" s="265" t="s">
        <v>4262</v>
      </c>
      <c r="AD316" s="265" t="s">
        <v>4199</v>
      </c>
      <c r="AE316" s="265" t="s">
        <v>4268</v>
      </c>
      <c r="AF316" s="265" t="s">
        <v>2225</v>
      </c>
      <c r="AG316" s="265" t="s">
        <v>3509</v>
      </c>
      <c r="AH316" s="265" t="s">
        <v>2225</v>
      </c>
      <c r="AI316" s="265" t="s">
        <v>2173</v>
      </c>
    </row>
    <row r="317" spans="1:35" x14ac:dyDescent="0.25">
      <c r="A317" s="264" t="str">
        <f>HLOOKUP(Overview!$P$8,$B$1:$AI$1500,317,FALSE)</f>
        <v xml:space="preserve">          10120971</v>
      </c>
      <c r="B317" s="252"/>
      <c r="C317" s="183">
        <v>10000690</v>
      </c>
      <c r="D317" s="288" t="s">
        <v>4503</v>
      </c>
      <c r="E317" s="252" t="s">
        <v>4254</v>
      </c>
      <c r="F317" s="252" t="s">
        <v>3678</v>
      </c>
      <c r="G317" s="252" t="s">
        <v>2313</v>
      </c>
      <c r="I317" s="252" t="s">
        <v>2225</v>
      </c>
      <c r="J317" s="252" t="s">
        <v>3890</v>
      </c>
      <c r="M317" s="252" t="s">
        <v>2225</v>
      </c>
      <c r="N317" s="252" t="s">
        <v>2301</v>
      </c>
      <c r="O317" s="252" t="s">
        <v>3893</v>
      </c>
      <c r="P317" s="252" t="s">
        <v>2282</v>
      </c>
      <c r="Q317" s="252" t="s">
        <v>4352</v>
      </c>
      <c r="R317" s="252" t="s">
        <v>3895</v>
      </c>
      <c r="V317" s="252" t="s">
        <v>3596</v>
      </c>
      <c r="W317" s="252" t="s">
        <v>2234</v>
      </c>
      <c r="X317" s="252" t="s">
        <v>2279</v>
      </c>
      <c r="Y317" s="252" t="s">
        <v>3890</v>
      </c>
      <c r="AA317" s="266" t="s">
        <v>4197</v>
      </c>
      <c r="AB317" s="266" t="s">
        <v>4263</v>
      </c>
      <c r="AD317" s="266" t="s">
        <v>4269</v>
      </c>
      <c r="AE317" s="266" t="s">
        <v>4197</v>
      </c>
      <c r="AF317" s="266" t="s">
        <v>2298</v>
      </c>
      <c r="AG317" s="266" t="s">
        <v>3675</v>
      </c>
      <c r="AH317" s="266" t="s">
        <v>2298</v>
      </c>
      <c r="AI317" s="266" t="s">
        <v>2212</v>
      </c>
    </row>
    <row r="318" spans="1:35" x14ac:dyDescent="0.25">
      <c r="A318" s="264" t="str">
        <f>HLOOKUP(Overview!$P$8,$B$1:$AI$1500,318,FALSE)</f>
        <v xml:space="preserve">          20026451</v>
      </c>
      <c r="B318" s="252"/>
      <c r="C318" s="183">
        <v>10081820</v>
      </c>
      <c r="D318" s="287" t="s">
        <v>2324</v>
      </c>
      <c r="E318" s="264" t="s">
        <v>4292</v>
      </c>
      <c r="F318" s="264" t="s">
        <v>3679</v>
      </c>
      <c r="G318" s="264" t="s">
        <v>4310</v>
      </c>
      <c r="I318" s="264" t="s">
        <v>2298</v>
      </c>
      <c r="J318" s="264" t="s">
        <v>3675</v>
      </c>
      <c r="M318" s="264" t="s">
        <v>2298</v>
      </c>
      <c r="N318" s="264" t="s">
        <v>2179</v>
      </c>
      <c r="O318" s="264" t="s">
        <v>3690</v>
      </c>
      <c r="P318" s="264" t="s">
        <v>2348</v>
      </c>
      <c r="Q318" s="264" t="s">
        <v>2102</v>
      </c>
      <c r="R318" s="264" t="s">
        <v>3692</v>
      </c>
      <c r="V318" s="264" t="s">
        <v>3692</v>
      </c>
      <c r="W318" s="264" t="s">
        <v>2334</v>
      </c>
      <c r="X318" s="264" t="s">
        <v>2324</v>
      </c>
      <c r="Y318" s="264" t="s">
        <v>3871</v>
      </c>
      <c r="AA318" s="265" t="s">
        <v>4267</v>
      </c>
      <c r="AB318" s="265" t="s">
        <v>4271</v>
      </c>
      <c r="AD318" s="265" t="s">
        <v>4330</v>
      </c>
      <c r="AE318" s="265" t="s">
        <v>4267</v>
      </c>
      <c r="AF318" s="265" t="s">
        <v>2289</v>
      </c>
      <c r="AG318" s="265" t="s">
        <v>3676</v>
      </c>
      <c r="AH318" s="265" t="s">
        <v>2279</v>
      </c>
      <c r="AI318" s="265" t="s">
        <v>2257</v>
      </c>
    </row>
    <row r="319" spans="1:35" x14ac:dyDescent="0.25">
      <c r="A319" s="264" t="str">
        <f>HLOOKUP(Overview!$P$8,$B$1:$AI$1500,319,FALSE)</f>
        <v xml:space="preserve">          20026453</v>
      </c>
      <c r="B319" s="252"/>
      <c r="C319" s="183">
        <v>10000839</v>
      </c>
      <c r="D319" s="288" t="s">
        <v>2242</v>
      </c>
      <c r="E319" s="252" t="s">
        <v>4282</v>
      </c>
      <c r="F319" s="252" t="s">
        <v>3680</v>
      </c>
      <c r="G319" s="252" t="s">
        <v>4307</v>
      </c>
      <c r="I319" s="252" t="s">
        <v>2289</v>
      </c>
      <c r="J319" s="252" t="s">
        <v>3676</v>
      </c>
      <c r="M319" s="252" t="s">
        <v>2289</v>
      </c>
      <c r="N319" s="252" t="s">
        <v>2225</v>
      </c>
      <c r="O319" s="252" t="s">
        <v>3691</v>
      </c>
      <c r="P319" s="252" t="s">
        <v>2123</v>
      </c>
      <c r="Q319" s="252" t="s">
        <v>2270</v>
      </c>
      <c r="R319" s="252" t="s">
        <v>3693</v>
      </c>
      <c r="V319" s="252" t="s">
        <v>3693</v>
      </c>
      <c r="W319" s="252" t="s">
        <v>2221</v>
      </c>
      <c r="X319" s="252" t="s">
        <v>2242</v>
      </c>
      <c r="Y319" s="252" t="s">
        <v>3675</v>
      </c>
      <c r="AA319" s="266" t="s">
        <v>4199</v>
      </c>
      <c r="AB319" s="266" t="s">
        <v>4277</v>
      </c>
      <c r="AD319" s="266" t="s">
        <v>4260</v>
      </c>
      <c r="AE319" s="266" t="s">
        <v>4199</v>
      </c>
      <c r="AF319" s="266" t="s">
        <v>2336</v>
      </c>
      <c r="AG319" s="266" t="s">
        <v>3677</v>
      </c>
      <c r="AH319" s="266" t="s">
        <v>2288</v>
      </c>
      <c r="AI319" s="266" t="s">
        <v>2392</v>
      </c>
    </row>
    <row r="320" spans="1:35" x14ac:dyDescent="0.25">
      <c r="A320" s="264" t="str">
        <f>HLOOKUP(Overview!$P$8,$B$1:$AI$1500,320,FALSE)</f>
        <v xml:space="preserve">          10000032</v>
      </c>
      <c r="B320" s="252"/>
      <c r="C320" s="183">
        <v>10000909</v>
      </c>
      <c r="D320" s="287" t="s">
        <v>4504</v>
      </c>
      <c r="E320" s="264" t="s">
        <v>4232</v>
      </c>
      <c r="F320" s="264" t="s">
        <v>3875</v>
      </c>
      <c r="G320" s="264" t="s">
        <v>4308</v>
      </c>
      <c r="I320" s="264" t="s">
        <v>2336</v>
      </c>
      <c r="J320" s="264" t="s">
        <v>3677</v>
      </c>
      <c r="M320" s="264" t="s">
        <v>2336</v>
      </c>
      <c r="N320" s="264" t="s">
        <v>2298</v>
      </c>
      <c r="O320" s="264" t="s">
        <v>3598</v>
      </c>
      <c r="P320" s="264" t="s">
        <v>2223</v>
      </c>
      <c r="Q320" s="264" t="s">
        <v>2213</v>
      </c>
      <c r="R320" s="264" t="s">
        <v>3694</v>
      </c>
      <c r="V320" s="264" t="s">
        <v>3694</v>
      </c>
      <c r="W320" s="264" t="s">
        <v>2313</v>
      </c>
      <c r="X320" s="264" t="s">
        <v>4353</v>
      </c>
      <c r="Y320" s="264" t="s">
        <v>3676</v>
      </c>
      <c r="AA320" s="265" t="s">
        <v>4269</v>
      </c>
      <c r="AB320" s="265" t="s">
        <v>4278</v>
      </c>
      <c r="AD320" s="265" t="s">
        <v>4261</v>
      </c>
      <c r="AE320" s="265" t="s">
        <v>4269</v>
      </c>
      <c r="AF320" s="265" t="s">
        <v>2279</v>
      </c>
      <c r="AG320" s="265" t="s">
        <v>3678</v>
      </c>
      <c r="AH320" s="265" t="s">
        <v>3686</v>
      </c>
      <c r="AI320" s="265" t="s">
        <v>2370</v>
      </c>
    </row>
    <row r="321" spans="1:35" x14ac:dyDescent="0.25">
      <c r="A321" s="264" t="str">
        <f>HLOOKUP(Overview!$P$8,$B$1:$AI$1500,321,FALSE)</f>
        <v xml:space="preserve">          10000051</v>
      </c>
      <c r="B321" s="252"/>
      <c r="C321" s="183">
        <v>10000842</v>
      </c>
      <c r="D321" s="288" t="s">
        <v>4505</v>
      </c>
      <c r="E321" s="252" t="s">
        <v>2364</v>
      </c>
      <c r="F321" s="252" t="s">
        <v>3874</v>
      </c>
      <c r="G321" s="252" t="s">
        <v>4327</v>
      </c>
      <c r="I321" s="252" t="s">
        <v>2375</v>
      </c>
      <c r="J321" s="252" t="s">
        <v>3678</v>
      </c>
      <c r="M321" s="252" t="s">
        <v>2279</v>
      </c>
      <c r="N321" s="252" t="s">
        <v>2289</v>
      </c>
      <c r="O321" s="252" t="s">
        <v>3596</v>
      </c>
      <c r="P321" s="252" t="s">
        <v>4354</v>
      </c>
      <c r="Q321" s="252" t="s">
        <v>2173</v>
      </c>
      <c r="R321" s="252" t="s">
        <v>3515</v>
      </c>
      <c r="V321" s="252" t="s">
        <v>3515</v>
      </c>
      <c r="W321" s="252" t="s">
        <v>4310</v>
      </c>
      <c r="X321" s="252" t="s">
        <v>2288</v>
      </c>
      <c r="Y321" s="252" t="s">
        <v>3677</v>
      </c>
      <c r="AA321" s="266" t="s">
        <v>4339</v>
      </c>
      <c r="AB321" s="266" t="s">
        <v>4315</v>
      </c>
      <c r="AD321" s="266" t="s">
        <v>4312</v>
      </c>
      <c r="AE321" s="266" t="s">
        <v>4260</v>
      </c>
      <c r="AF321" s="266" t="s">
        <v>2324</v>
      </c>
      <c r="AG321" s="266" t="s">
        <v>3679</v>
      </c>
      <c r="AH321" s="266" t="s">
        <v>3687</v>
      </c>
      <c r="AI321" s="266" t="s">
        <v>2276</v>
      </c>
    </row>
    <row r="322" spans="1:35" x14ac:dyDescent="0.25">
      <c r="A322" s="264" t="str">
        <f>HLOOKUP(Overview!$P$8,$B$1:$AI$1500,322,FALSE)</f>
        <v xml:space="preserve">          10000104</v>
      </c>
      <c r="B322" s="252"/>
      <c r="C322" s="183">
        <v>10002010</v>
      </c>
      <c r="D322" s="287" t="s">
        <v>4506</v>
      </c>
      <c r="E322" s="264" t="s">
        <v>2140</v>
      </c>
      <c r="F322" s="264" t="s">
        <v>3681</v>
      </c>
      <c r="G322" s="264" t="s">
        <v>4195</v>
      </c>
      <c r="I322" s="264" t="s">
        <v>2350</v>
      </c>
      <c r="J322" s="264" t="s">
        <v>3870</v>
      </c>
      <c r="M322" s="264" t="s">
        <v>2288</v>
      </c>
      <c r="N322" s="264" t="s">
        <v>3636</v>
      </c>
      <c r="O322" s="264" t="s">
        <v>3692</v>
      </c>
      <c r="P322" s="264" t="s">
        <v>2017</v>
      </c>
      <c r="Q322" s="264" t="s">
        <v>2212</v>
      </c>
      <c r="R322" s="264" t="s">
        <v>3423</v>
      </c>
      <c r="V322" s="264" t="s">
        <v>3516</v>
      </c>
      <c r="W322" s="264" t="s">
        <v>4307</v>
      </c>
      <c r="X322" s="264" t="s">
        <v>3686</v>
      </c>
      <c r="Y322" s="264" t="s">
        <v>3678</v>
      </c>
      <c r="AA322" s="265" t="s">
        <v>4330</v>
      </c>
      <c r="AB322" s="265" t="s">
        <v>4272</v>
      </c>
      <c r="AD322" s="265" t="s">
        <v>4262</v>
      </c>
      <c r="AE322" s="265" t="s">
        <v>4261</v>
      </c>
      <c r="AF322" s="265" t="s">
        <v>2242</v>
      </c>
      <c r="AG322" s="265" t="s">
        <v>3680</v>
      </c>
      <c r="AH322" s="265" t="s">
        <v>3688</v>
      </c>
      <c r="AI322" s="265" t="s">
        <v>2301</v>
      </c>
    </row>
    <row r="323" spans="1:35" x14ac:dyDescent="0.25">
      <c r="A323" s="264" t="str">
        <f>HLOOKUP(Overview!$P$8,$B$1:$AI$1500,323,FALSE)</f>
        <v xml:space="preserve">          10000184</v>
      </c>
      <c r="B323" s="252"/>
      <c r="C323" s="183">
        <v>10000848</v>
      </c>
      <c r="D323" s="288" t="s">
        <v>4507</v>
      </c>
      <c r="E323" s="252" t="s">
        <v>2086</v>
      </c>
      <c r="F323" s="252" t="s">
        <v>2254</v>
      </c>
      <c r="G323" s="252" t="s">
        <v>4268</v>
      </c>
      <c r="I323" s="252" t="s">
        <v>2279</v>
      </c>
      <c r="J323" s="252" t="s">
        <v>3679</v>
      </c>
      <c r="M323" s="252" t="s">
        <v>2358</v>
      </c>
      <c r="N323" s="252" t="s">
        <v>3637</v>
      </c>
      <c r="O323" s="252" t="s">
        <v>3693</v>
      </c>
      <c r="P323" s="252" t="s">
        <v>4275</v>
      </c>
      <c r="Q323" s="252" t="s">
        <v>2257</v>
      </c>
      <c r="R323" s="252" t="s">
        <v>3519</v>
      </c>
      <c r="V323" s="252" t="s">
        <v>3423</v>
      </c>
      <c r="W323" s="252" t="s">
        <v>4308</v>
      </c>
      <c r="X323" s="252" t="s">
        <v>3687</v>
      </c>
      <c r="Y323" s="252" t="s">
        <v>3679</v>
      </c>
      <c r="AA323" s="266" t="s">
        <v>4260</v>
      </c>
      <c r="AB323" s="266" t="s">
        <v>4280</v>
      </c>
      <c r="AD323" s="266" t="s">
        <v>4263</v>
      </c>
      <c r="AE323" s="266" t="s">
        <v>4312</v>
      </c>
      <c r="AF323" s="266" t="s">
        <v>2288</v>
      </c>
      <c r="AG323" s="266" t="s">
        <v>3874</v>
      </c>
      <c r="AH323" s="266" t="s">
        <v>3689</v>
      </c>
      <c r="AI323" s="266" t="s">
        <v>2179</v>
      </c>
    </row>
    <row r="324" spans="1:35" x14ac:dyDescent="0.25">
      <c r="A324" s="264" t="str">
        <f>HLOOKUP(Overview!$P$8,$B$1:$AI$1500,324,FALSE)</f>
        <v xml:space="preserve">          10000187</v>
      </c>
      <c r="B324" s="252"/>
      <c r="C324" s="183">
        <v>10000858</v>
      </c>
      <c r="D324" s="287" t="s">
        <v>1833</v>
      </c>
      <c r="E324" s="264" t="s">
        <v>2376</v>
      </c>
      <c r="F324" s="264" t="s">
        <v>2214</v>
      </c>
      <c r="G324" s="264" t="s">
        <v>4197</v>
      </c>
      <c r="I324" s="264" t="s">
        <v>2324</v>
      </c>
      <c r="J324" s="264" t="s">
        <v>3680</v>
      </c>
      <c r="M324" s="264" t="s">
        <v>3686</v>
      </c>
      <c r="N324" s="264" t="s">
        <v>2350</v>
      </c>
      <c r="O324" s="264" t="s">
        <v>3694</v>
      </c>
      <c r="P324" s="264" t="s">
        <v>4355</v>
      </c>
      <c r="Q324" s="264" t="s">
        <v>2276</v>
      </c>
      <c r="R324" s="264" t="s">
        <v>3415</v>
      </c>
      <c r="V324" s="264" t="s">
        <v>3518</v>
      </c>
      <c r="W324" s="264" t="s">
        <v>4327</v>
      </c>
      <c r="X324" s="264" t="s">
        <v>3688</v>
      </c>
      <c r="Y324" s="264" t="s">
        <v>3680</v>
      </c>
      <c r="AA324" s="265" t="s">
        <v>4261</v>
      </c>
      <c r="AB324" s="265" t="s">
        <v>4264</v>
      </c>
      <c r="AD324" s="265" t="s">
        <v>4271</v>
      </c>
      <c r="AE324" s="265" t="s">
        <v>4262</v>
      </c>
      <c r="AF324" s="265" t="s">
        <v>3686</v>
      </c>
      <c r="AG324" s="265" t="s">
        <v>3681</v>
      </c>
      <c r="AH324" s="265" t="s">
        <v>2354</v>
      </c>
      <c r="AI324" s="265" t="s">
        <v>2225</v>
      </c>
    </row>
    <row r="325" spans="1:35" x14ac:dyDescent="0.25">
      <c r="A325" s="264" t="str">
        <f>HLOOKUP(Overview!$P$8,$B$1:$AI$1500,325,FALSE)</f>
        <v xml:space="preserve">          10000225</v>
      </c>
      <c r="B325" s="252"/>
      <c r="C325" s="183">
        <v>10000910</v>
      </c>
      <c r="D325" s="288" t="s">
        <v>4508</v>
      </c>
      <c r="E325" s="252" t="s">
        <v>2346</v>
      </c>
      <c r="F325" s="252" t="s">
        <v>2234</v>
      </c>
      <c r="G325" s="252" t="s">
        <v>4267</v>
      </c>
      <c r="I325" s="252" t="s">
        <v>2242</v>
      </c>
      <c r="J325" s="252" t="s">
        <v>3875</v>
      </c>
      <c r="M325" s="252" t="s">
        <v>3687</v>
      </c>
      <c r="N325" s="252" t="s">
        <v>2279</v>
      </c>
      <c r="O325" s="252" t="s">
        <v>3515</v>
      </c>
      <c r="P325" s="252" t="s">
        <v>4317</v>
      </c>
      <c r="Q325" s="252" t="s">
        <v>2301</v>
      </c>
      <c r="R325" s="252" t="s">
        <v>3513</v>
      </c>
      <c r="V325" s="252" t="s">
        <v>3521</v>
      </c>
      <c r="W325" s="252" t="s">
        <v>4195</v>
      </c>
      <c r="X325" s="252" t="s">
        <v>3689</v>
      </c>
      <c r="Y325" s="252" t="s">
        <v>3875</v>
      </c>
      <c r="AA325" s="266" t="s">
        <v>4312</v>
      </c>
      <c r="AB325" s="266" t="s">
        <v>4274</v>
      </c>
      <c r="AD325" s="266" t="s">
        <v>4336</v>
      </c>
      <c r="AE325" s="266" t="s">
        <v>4263</v>
      </c>
      <c r="AF325" s="266" t="s">
        <v>3687</v>
      </c>
      <c r="AG325" s="266" t="s">
        <v>2254</v>
      </c>
      <c r="AH325" s="266" t="s">
        <v>2356</v>
      </c>
      <c r="AI325" s="266" t="s">
        <v>2298</v>
      </c>
    </row>
    <row r="326" spans="1:35" x14ac:dyDescent="0.25">
      <c r="A326" s="264" t="str">
        <f>HLOOKUP(Overview!$P$8,$B$1:$AI$1500,326,FALSE)</f>
        <v xml:space="preserve">          10000226</v>
      </c>
      <c r="B326" s="252"/>
      <c r="C326" s="183">
        <v>10000850</v>
      </c>
      <c r="D326" s="287" t="s">
        <v>4509</v>
      </c>
      <c r="E326" s="264" t="s">
        <v>2177</v>
      </c>
      <c r="F326" s="264" t="s">
        <v>2334</v>
      </c>
      <c r="G326" s="264" t="s">
        <v>4199</v>
      </c>
      <c r="I326" s="264" t="s">
        <v>2288</v>
      </c>
      <c r="J326" s="264" t="s">
        <v>3874</v>
      </c>
      <c r="M326" s="264" t="s">
        <v>3688</v>
      </c>
      <c r="N326" s="264" t="s">
        <v>3638</v>
      </c>
      <c r="O326" s="264" t="s">
        <v>3516</v>
      </c>
      <c r="P326" s="264" t="s">
        <v>4318</v>
      </c>
      <c r="Q326" s="264" t="s">
        <v>2179</v>
      </c>
      <c r="R326" s="264" t="s">
        <v>3419</v>
      </c>
      <c r="V326" s="264" t="s">
        <v>3519</v>
      </c>
      <c r="W326" s="264" t="s">
        <v>4268</v>
      </c>
      <c r="X326" s="264" t="s">
        <v>2354</v>
      </c>
      <c r="Y326" s="264" t="s">
        <v>3874</v>
      </c>
      <c r="AA326" s="265" t="s">
        <v>4262</v>
      </c>
      <c r="AB326" s="265" t="s">
        <v>4314</v>
      </c>
      <c r="AD326" s="265" t="s">
        <v>4277</v>
      </c>
      <c r="AE326" s="265" t="s">
        <v>4271</v>
      </c>
      <c r="AF326" s="265" t="s">
        <v>3688</v>
      </c>
      <c r="AG326" s="265" t="s">
        <v>2214</v>
      </c>
      <c r="AH326" s="265" t="s">
        <v>2344</v>
      </c>
      <c r="AI326" s="265" t="s">
        <v>2289</v>
      </c>
    </row>
    <row r="327" spans="1:35" x14ac:dyDescent="0.25">
      <c r="A327" s="264" t="str">
        <f>HLOOKUP(Overview!$P$8,$B$1:$AI$1500,327,FALSE)</f>
        <v xml:space="preserve">          10000227</v>
      </c>
      <c r="B327" s="252"/>
      <c r="C327" s="263">
        <v>10000368</v>
      </c>
      <c r="D327" s="288" t="s">
        <v>4510</v>
      </c>
      <c r="E327" s="252" t="s">
        <v>2256</v>
      </c>
      <c r="F327" s="252" t="s">
        <v>2221</v>
      </c>
      <c r="G327" s="252" t="s">
        <v>4269</v>
      </c>
      <c r="I327" s="252" t="s">
        <v>3686</v>
      </c>
      <c r="J327" s="252" t="s">
        <v>3681</v>
      </c>
      <c r="M327" s="252" t="s">
        <v>3689</v>
      </c>
      <c r="N327" s="252" t="s">
        <v>3639</v>
      </c>
      <c r="O327" s="252" t="s">
        <v>3423</v>
      </c>
      <c r="P327" s="252" t="s">
        <v>4320</v>
      </c>
      <c r="Q327" s="252" t="s">
        <v>2225</v>
      </c>
      <c r="V327" s="252" t="s">
        <v>3415</v>
      </c>
      <c r="W327" s="252" t="s">
        <v>4197</v>
      </c>
      <c r="X327" s="252" t="s">
        <v>2356</v>
      </c>
      <c r="Y327" s="252" t="s">
        <v>3681</v>
      </c>
      <c r="AA327" s="266" t="s">
        <v>4263</v>
      </c>
      <c r="AB327" s="266" t="s">
        <v>3682</v>
      </c>
      <c r="AD327" s="266" t="s">
        <v>4278</v>
      </c>
      <c r="AE327" s="266" t="s">
        <v>4277</v>
      </c>
      <c r="AF327" s="266" t="s">
        <v>3689</v>
      </c>
      <c r="AG327" s="266" t="s">
        <v>2234</v>
      </c>
      <c r="AH327" s="266" t="s">
        <v>3512</v>
      </c>
      <c r="AI327" s="266" t="s">
        <v>2336</v>
      </c>
    </row>
    <row r="328" spans="1:35" x14ac:dyDescent="0.25">
      <c r="A328" s="264" t="str">
        <f>HLOOKUP(Overview!$P$8,$B$1:$AI$1500,328,FALSE)</f>
        <v xml:space="preserve">          10000228</v>
      </c>
      <c r="B328" s="252"/>
      <c r="C328" s="183">
        <v>10000368</v>
      </c>
      <c r="D328" s="287" t="s">
        <v>4511</v>
      </c>
      <c r="E328" s="264" t="s">
        <v>2285</v>
      </c>
      <c r="F328" s="264" t="s">
        <v>2313</v>
      </c>
      <c r="G328" s="264" t="s">
        <v>4339</v>
      </c>
      <c r="I328" s="264" t="s">
        <v>3687</v>
      </c>
      <c r="J328" s="264" t="s">
        <v>2254</v>
      </c>
      <c r="M328" s="264" t="s">
        <v>2354</v>
      </c>
      <c r="N328" s="264" t="s">
        <v>3686</v>
      </c>
      <c r="O328" s="264" t="s">
        <v>3518</v>
      </c>
      <c r="P328" s="264" t="s">
        <v>4321</v>
      </c>
      <c r="Q328" s="264" t="s">
        <v>2298</v>
      </c>
      <c r="V328" s="264" t="s">
        <v>3513</v>
      </c>
      <c r="W328" s="264" t="s">
        <v>4267</v>
      </c>
      <c r="X328" s="264" t="s">
        <v>2344</v>
      </c>
      <c r="Y328" s="264" t="s">
        <v>2254</v>
      </c>
      <c r="AA328" s="265" t="s">
        <v>4271</v>
      </c>
      <c r="AB328" s="265" t="s">
        <v>3683</v>
      </c>
      <c r="AD328" s="265" t="s">
        <v>4315</v>
      </c>
      <c r="AE328" s="265" t="s">
        <v>4278</v>
      </c>
      <c r="AF328" s="265" t="s">
        <v>2354</v>
      </c>
      <c r="AG328" s="265" t="s">
        <v>2334</v>
      </c>
      <c r="AH328" s="265" t="s">
        <v>3421</v>
      </c>
      <c r="AI328" s="265" t="s">
        <v>2375</v>
      </c>
    </row>
    <row r="329" spans="1:35" x14ac:dyDescent="0.25">
      <c r="A329" s="264" t="str">
        <f>HLOOKUP(Overview!$P$8,$B$1:$AI$1500,329,FALSE)</f>
        <v xml:space="preserve">          10000829</v>
      </c>
      <c r="B329" s="252"/>
      <c r="C329" s="183">
        <v>10000360</v>
      </c>
      <c r="D329" s="288" t="s">
        <v>1811</v>
      </c>
      <c r="E329" s="252" t="s">
        <v>2416</v>
      </c>
      <c r="F329" s="252" t="s">
        <v>4310</v>
      </c>
      <c r="G329" s="252" t="s">
        <v>4330</v>
      </c>
      <c r="I329" s="252" t="s">
        <v>3688</v>
      </c>
      <c r="J329" s="252" t="s">
        <v>2214</v>
      </c>
      <c r="M329" s="252" t="s">
        <v>2356</v>
      </c>
      <c r="N329" s="252" t="s">
        <v>3687</v>
      </c>
      <c r="O329" s="252" t="s">
        <v>3519</v>
      </c>
      <c r="P329" s="252" t="s">
        <v>4322</v>
      </c>
      <c r="Q329" s="252" t="s">
        <v>2289</v>
      </c>
      <c r="V329" s="252" t="s">
        <v>3419</v>
      </c>
      <c r="W329" s="252" t="s">
        <v>4199</v>
      </c>
      <c r="X329" s="252" t="s">
        <v>2394</v>
      </c>
      <c r="Y329" s="252" t="s">
        <v>2214</v>
      </c>
      <c r="AA329" s="266" t="s">
        <v>4277</v>
      </c>
      <c r="AB329" s="266" t="s">
        <v>3684</v>
      </c>
      <c r="AD329" s="266" t="s">
        <v>4272</v>
      </c>
      <c r="AE329" s="266" t="s">
        <v>4315</v>
      </c>
      <c r="AF329" s="266" t="s">
        <v>2356</v>
      </c>
      <c r="AG329" s="266" t="s">
        <v>2221</v>
      </c>
      <c r="AH329" s="266" t="s">
        <v>3417</v>
      </c>
      <c r="AI329" s="266" t="s">
        <v>2350</v>
      </c>
    </row>
    <row r="330" spans="1:35" x14ac:dyDescent="0.25">
      <c r="A330" s="264" t="str">
        <f>HLOOKUP(Overview!$P$8,$B$1:$AI$1500,330,FALSE)</f>
        <v xml:space="preserve">          10000830</v>
      </c>
      <c r="B330" s="252"/>
      <c r="C330" s="183">
        <v>10000360</v>
      </c>
      <c r="D330" s="287" t="s">
        <v>1819</v>
      </c>
      <c r="E330" s="264" t="s">
        <v>3626</v>
      </c>
      <c r="F330" s="264" t="s">
        <v>4307</v>
      </c>
      <c r="G330" s="264" t="s">
        <v>4260</v>
      </c>
      <c r="I330" s="264" t="s">
        <v>3689</v>
      </c>
      <c r="J330" s="264" t="s">
        <v>2234</v>
      </c>
      <c r="M330" s="264" t="s">
        <v>2344</v>
      </c>
      <c r="N330" s="264" t="s">
        <v>3688</v>
      </c>
      <c r="O330" s="264" t="s">
        <v>3415</v>
      </c>
      <c r="P330" s="264" t="s">
        <v>4324</v>
      </c>
      <c r="Q330" s="264" t="s">
        <v>2350</v>
      </c>
      <c r="V330" s="264" t="s">
        <v>3695</v>
      </c>
      <c r="W330" s="264" t="s">
        <v>4269</v>
      </c>
      <c r="X330" s="264" t="s">
        <v>3512</v>
      </c>
      <c r="Y330" s="264" t="s">
        <v>2234</v>
      </c>
      <c r="AA330" s="265" t="s">
        <v>4278</v>
      </c>
      <c r="AB330" s="265" t="s">
        <v>3685</v>
      </c>
      <c r="AD330" s="265" t="s">
        <v>4280</v>
      </c>
      <c r="AE330" s="265" t="s">
        <v>4272</v>
      </c>
      <c r="AF330" s="265" t="s">
        <v>2344</v>
      </c>
      <c r="AG330" s="265" t="s">
        <v>2313</v>
      </c>
      <c r="AH330" s="265" t="s">
        <v>3510</v>
      </c>
      <c r="AI330" s="265" t="s">
        <v>2279</v>
      </c>
    </row>
    <row r="331" spans="1:35" x14ac:dyDescent="0.25">
      <c r="A331" s="264" t="str">
        <f>HLOOKUP(Overview!$P$8,$B$1:$AI$1500,331,FALSE)</f>
        <v xml:space="preserve">          10000831</v>
      </c>
      <c r="B331" s="252"/>
      <c r="C331" s="183">
        <v>10000877</v>
      </c>
      <c r="D331" s="288" t="s">
        <v>1847</v>
      </c>
      <c r="E331" s="252" t="s">
        <v>1908</v>
      </c>
      <c r="F331" s="252" t="s">
        <v>4308</v>
      </c>
      <c r="G331" s="252" t="s">
        <v>4261</v>
      </c>
      <c r="I331" s="252" t="s">
        <v>2354</v>
      </c>
      <c r="J331" s="252" t="s">
        <v>2334</v>
      </c>
      <c r="M331" s="252" t="s">
        <v>3512</v>
      </c>
      <c r="N331" s="252" t="s">
        <v>3689</v>
      </c>
      <c r="O331" s="252" t="s">
        <v>3513</v>
      </c>
      <c r="P331" s="252" t="s">
        <v>4325</v>
      </c>
      <c r="Q331" s="252" t="s">
        <v>2279</v>
      </c>
      <c r="W331" s="252" t="s">
        <v>4339</v>
      </c>
      <c r="X331" s="252" t="s">
        <v>3421</v>
      </c>
      <c r="Y331" s="252" t="s">
        <v>2334</v>
      </c>
      <c r="AA331" s="266" t="s">
        <v>4315</v>
      </c>
      <c r="AB331" s="266" t="s">
        <v>4338</v>
      </c>
      <c r="AD331" s="266" t="s">
        <v>4264</v>
      </c>
      <c r="AE331" s="266" t="s">
        <v>4280</v>
      </c>
      <c r="AF331" s="266" t="s">
        <v>2394</v>
      </c>
      <c r="AG331" s="266" t="s">
        <v>4310</v>
      </c>
      <c r="AH331" s="266" t="s">
        <v>3887</v>
      </c>
      <c r="AI331" s="266" t="s">
        <v>2324</v>
      </c>
    </row>
    <row r="332" spans="1:35" x14ac:dyDescent="0.25">
      <c r="A332" s="264" t="str">
        <f>HLOOKUP(Overview!$P$8,$B$1:$AI$1500,332,FALSE)</f>
        <v xml:space="preserve">          10000832</v>
      </c>
      <c r="B332" s="252"/>
      <c r="C332" s="183">
        <v>10000863</v>
      </c>
      <c r="D332" s="287" t="s">
        <v>1904</v>
      </c>
      <c r="E332" s="264" t="s">
        <v>2039</v>
      </c>
      <c r="F332" s="264" t="s">
        <v>4327</v>
      </c>
      <c r="G332" s="264" t="s">
        <v>4312</v>
      </c>
      <c r="I332" s="264" t="s">
        <v>2356</v>
      </c>
      <c r="J332" s="264" t="s">
        <v>2221</v>
      </c>
      <c r="M332" s="264" t="s">
        <v>3421</v>
      </c>
      <c r="N332" s="264" t="s">
        <v>2354</v>
      </c>
      <c r="O332" s="264" t="s">
        <v>3419</v>
      </c>
      <c r="P332" s="264" t="s">
        <v>2251</v>
      </c>
      <c r="Q332" s="264" t="s">
        <v>2288</v>
      </c>
      <c r="W332" s="264" t="s">
        <v>4330</v>
      </c>
      <c r="X332" s="264" t="s">
        <v>3417</v>
      </c>
      <c r="Y332" s="264" t="s">
        <v>2221</v>
      </c>
      <c r="AA332" s="265" t="s">
        <v>4272</v>
      </c>
      <c r="AB332" s="265" t="s">
        <v>4343</v>
      </c>
      <c r="AD332" s="265" t="s">
        <v>4274</v>
      </c>
      <c r="AE332" s="265" t="s">
        <v>4264</v>
      </c>
      <c r="AF332" s="265" t="s">
        <v>3512</v>
      </c>
      <c r="AG332" s="265" t="s">
        <v>4307</v>
      </c>
      <c r="AH332" s="265" t="s">
        <v>3878</v>
      </c>
      <c r="AI332" s="265" t="s">
        <v>2242</v>
      </c>
    </row>
    <row r="333" spans="1:35" x14ac:dyDescent="0.25">
      <c r="A333" s="264" t="str">
        <f>HLOOKUP(Overview!$P$8,$B$1:$AI$1500,333,FALSE)</f>
        <v xml:space="preserve">          10000833</v>
      </c>
      <c r="B333" s="252"/>
      <c r="C333" s="183">
        <v>10000841</v>
      </c>
      <c r="D333" s="288" t="s">
        <v>1875</v>
      </c>
      <c r="E333" s="252" t="s">
        <v>1890</v>
      </c>
      <c r="F333" s="252" t="s">
        <v>4195</v>
      </c>
      <c r="G333" s="252" t="s">
        <v>4262</v>
      </c>
      <c r="I333" s="252" t="s">
        <v>2344</v>
      </c>
      <c r="J333" s="252" t="s">
        <v>2313</v>
      </c>
      <c r="M333" s="252" t="s">
        <v>3417</v>
      </c>
      <c r="N333" s="252" t="s">
        <v>2356</v>
      </c>
      <c r="O333" s="252" t="s">
        <v>3897</v>
      </c>
      <c r="P333" s="252" t="s">
        <v>2352</v>
      </c>
      <c r="Q333" s="252" t="s">
        <v>3686</v>
      </c>
      <c r="W333" s="252" t="s">
        <v>4260</v>
      </c>
      <c r="X333" s="252" t="s">
        <v>3510</v>
      </c>
      <c r="Y333" s="252" t="s">
        <v>2313</v>
      </c>
      <c r="AA333" s="266" t="s">
        <v>4280</v>
      </c>
      <c r="AB333" s="266" t="s">
        <v>2159</v>
      </c>
      <c r="AD333" s="266" t="s">
        <v>4314</v>
      </c>
      <c r="AE333" s="266" t="s">
        <v>4274</v>
      </c>
      <c r="AF333" s="266" t="s">
        <v>3421</v>
      </c>
      <c r="AG333" s="266" t="s">
        <v>4308</v>
      </c>
      <c r="AH333" s="266" t="s">
        <v>3872</v>
      </c>
      <c r="AI333" s="266" t="s">
        <v>2288</v>
      </c>
    </row>
    <row r="334" spans="1:35" x14ac:dyDescent="0.25">
      <c r="A334" s="264" t="str">
        <f>HLOOKUP(Overview!$P$8,$B$1:$AI$1500,334,FALSE)</f>
        <v xml:space="preserve">          10000834</v>
      </c>
      <c r="B334" s="252"/>
      <c r="C334" s="183">
        <v>10002611</v>
      </c>
      <c r="D334" s="287" t="s">
        <v>1901</v>
      </c>
      <c r="E334" s="264" t="s">
        <v>1934</v>
      </c>
      <c r="F334" s="264" t="s">
        <v>4268</v>
      </c>
      <c r="G334" s="264" t="s">
        <v>4263</v>
      </c>
      <c r="I334" s="264" t="s">
        <v>2394</v>
      </c>
      <c r="J334" s="264" t="s">
        <v>4310</v>
      </c>
      <c r="M334" s="264" t="s">
        <v>3510</v>
      </c>
      <c r="N334" s="264" t="s">
        <v>2344</v>
      </c>
      <c r="P334" s="264" t="s">
        <v>2102</v>
      </c>
      <c r="Q334" s="264" t="s">
        <v>3688</v>
      </c>
      <c r="W334" s="264" t="s">
        <v>4261</v>
      </c>
      <c r="X334" s="264" t="s">
        <v>3891</v>
      </c>
      <c r="Y334" s="264" t="s">
        <v>4310</v>
      </c>
      <c r="AA334" s="265" t="s">
        <v>4264</v>
      </c>
      <c r="AB334" s="265" t="s">
        <v>2013</v>
      </c>
      <c r="AD334" s="265" t="s">
        <v>3682</v>
      </c>
      <c r="AE334" s="265" t="s">
        <v>4314</v>
      </c>
      <c r="AF334" s="265" t="s">
        <v>3417</v>
      </c>
      <c r="AG334" s="265" t="s">
        <v>4327</v>
      </c>
      <c r="AH334" s="265" t="s">
        <v>3690</v>
      </c>
      <c r="AI334" s="265" t="s">
        <v>2396</v>
      </c>
    </row>
    <row r="335" spans="1:35" x14ac:dyDescent="0.25">
      <c r="A335" s="264" t="str">
        <f>HLOOKUP(Overview!$P$8,$B$1:$AI$1500,335,FALSE)</f>
        <v xml:space="preserve">          10000838</v>
      </c>
      <c r="B335" s="252"/>
      <c r="C335" s="183">
        <v>10000815</v>
      </c>
      <c r="D335" s="288" t="s">
        <v>1859</v>
      </c>
      <c r="E335" s="252" t="s">
        <v>1984</v>
      </c>
      <c r="F335" s="252" t="s">
        <v>4197</v>
      </c>
      <c r="G335" s="252" t="s">
        <v>4271</v>
      </c>
      <c r="I335" s="252" t="s">
        <v>3512</v>
      </c>
      <c r="J335" s="252" t="s">
        <v>4307</v>
      </c>
      <c r="M335" s="252" t="s">
        <v>3891</v>
      </c>
      <c r="N335" s="252" t="s">
        <v>3512</v>
      </c>
      <c r="P335" s="252" t="s">
        <v>2270</v>
      </c>
      <c r="Q335" s="252" t="s">
        <v>3689</v>
      </c>
      <c r="W335" s="252" t="s">
        <v>4312</v>
      </c>
      <c r="X335" s="252" t="s">
        <v>3885</v>
      </c>
      <c r="Y335" s="252" t="s">
        <v>4307</v>
      </c>
      <c r="AA335" s="266" t="s">
        <v>4274</v>
      </c>
      <c r="AB335" s="266" t="s">
        <v>2111</v>
      </c>
      <c r="AD335" s="266" t="s">
        <v>3683</v>
      </c>
      <c r="AE335" s="266" t="s">
        <v>3682</v>
      </c>
      <c r="AF335" s="266" t="s">
        <v>3510</v>
      </c>
      <c r="AG335" s="266" t="s">
        <v>4195</v>
      </c>
      <c r="AH335" s="266" t="s">
        <v>3595</v>
      </c>
      <c r="AI335" s="266" t="s">
        <v>3686</v>
      </c>
    </row>
    <row r="336" spans="1:35" x14ac:dyDescent="0.25">
      <c r="A336" s="264" t="str">
        <f>HLOOKUP(Overview!$P$8,$B$1:$AI$1500,336,FALSE)</f>
        <v xml:space="preserve">          10000839</v>
      </c>
      <c r="B336" s="252"/>
      <c r="C336" s="183">
        <v>10032959</v>
      </c>
      <c r="D336" s="287" t="s">
        <v>4203</v>
      </c>
      <c r="E336" s="264" t="s">
        <v>2150</v>
      </c>
      <c r="F336" s="264" t="s">
        <v>4267</v>
      </c>
      <c r="G336" s="264" t="s">
        <v>4336</v>
      </c>
      <c r="I336" s="264" t="s">
        <v>3421</v>
      </c>
      <c r="J336" s="264" t="s">
        <v>4308</v>
      </c>
      <c r="M336" s="264" t="s">
        <v>3885</v>
      </c>
      <c r="N336" s="264" t="s">
        <v>3421</v>
      </c>
      <c r="P336" s="264" t="s">
        <v>2213</v>
      </c>
      <c r="Q336" s="264" t="s">
        <v>2354</v>
      </c>
      <c r="W336" s="264" t="s">
        <v>4262</v>
      </c>
      <c r="X336" s="264" t="s">
        <v>3886</v>
      </c>
      <c r="Y336" s="264" t="s">
        <v>4308</v>
      </c>
      <c r="AA336" s="265" t="s">
        <v>4314</v>
      </c>
      <c r="AB336" s="265" t="s">
        <v>2282</v>
      </c>
      <c r="AD336" s="265" t="s">
        <v>3684</v>
      </c>
      <c r="AE336" s="265" t="s">
        <v>3683</v>
      </c>
      <c r="AF336" s="265" t="s">
        <v>3891</v>
      </c>
      <c r="AG336" s="265" t="s">
        <v>4268</v>
      </c>
      <c r="AH336" s="265" t="s">
        <v>3598</v>
      </c>
      <c r="AI336" s="265" t="s">
        <v>3687</v>
      </c>
    </row>
    <row r="337" spans="1:35" x14ac:dyDescent="0.25">
      <c r="A337" s="264" t="str">
        <f>HLOOKUP(Overview!$P$8,$B$1:$AI$1500,337,FALSE)</f>
        <v xml:space="preserve">          10000842</v>
      </c>
      <c r="B337" s="252"/>
      <c r="C337" s="183">
        <v>10000855</v>
      </c>
      <c r="D337" s="288" t="s">
        <v>1895</v>
      </c>
      <c r="E337" s="252" t="s">
        <v>1971</v>
      </c>
      <c r="F337" s="252" t="s">
        <v>4199</v>
      </c>
      <c r="G337" s="252" t="s">
        <v>4277</v>
      </c>
      <c r="I337" s="252" t="s">
        <v>3417</v>
      </c>
      <c r="J337" s="252" t="s">
        <v>4327</v>
      </c>
      <c r="M337" s="252" t="s">
        <v>3886</v>
      </c>
      <c r="N337" s="252" t="s">
        <v>3417</v>
      </c>
      <c r="P337" s="252" t="s">
        <v>2173</v>
      </c>
      <c r="Q337" s="252" t="s">
        <v>2344</v>
      </c>
      <c r="W337" s="252" t="s">
        <v>4263</v>
      </c>
      <c r="X337" s="252" t="s">
        <v>3889</v>
      </c>
      <c r="Y337" s="252" t="s">
        <v>4327</v>
      </c>
      <c r="AA337" s="266" t="s">
        <v>3682</v>
      </c>
      <c r="AB337" s="266" t="s">
        <v>2348</v>
      </c>
      <c r="AD337" s="266" t="s">
        <v>3685</v>
      </c>
      <c r="AE337" s="266" t="s">
        <v>3684</v>
      </c>
      <c r="AF337" s="266" t="s">
        <v>3885</v>
      </c>
      <c r="AG337" s="266" t="s">
        <v>4197</v>
      </c>
      <c r="AH337" s="266" t="s">
        <v>3899</v>
      </c>
      <c r="AI337" s="266" t="s">
        <v>3688</v>
      </c>
    </row>
    <row r="338" spans="1:35" x14ac:dyDescent="0.25">
      <c r="A338" s="264" t="str">
        <f>HLOOKUP(Overview!$P$8,$B$1:$AI$1500,338,FALSE)</f>
        <v xml:space="preserve">          10000850</v>
      </c>
      <c r="B338" s="252"/>
      <c r="C338" s="183">
        <v>10000043</v>
      </c>
      <c r="D338" s="287" t="s">
        <v>1886</v>
      </c>
      <c r="E338" s="264" t="s">
        <v>2188</v>
      </c>
      <c r="F338" s="264" t="s">
        <v>4269</v>
      </c>
      <c r="G338" s="264" t="s">
        <v>4278</v>
      </c>
      <c r="I338" s="264" t="s">
        <v>3510</v>
      </c>
      <c r="J338" s="264" t="s">
        <v>4195</v>
      </c>
      <c r="M338" s="264" t="s">
        <v>3893</v>
      </c>
      <c r="N338" s="264" t="s">
        <v>3510</v>
      </c>
      <c r="P338" s="264" t="s">
        <v>2212</v>
      </c>
      <c r="Q338" s="264" t="s">
        <v>2394</v>
      </c>
      <c r="W338" s="264" t="s">
        <v>4271</v>
      </c>
      <c r="X338" s="264" t="s">
        <v>3892</v>
      </c>
      <c r="Y338" s="264" t="s">
        <v>4195</v>
      </c>
      <c r="AA338" s="265" t="s">
        <v>3683</v>
      </c>
      <c r="AB338" s="265" t="s">
        <v>2123</v>
      </c>
      <c r="AD338" s="265" t="s">
        <v>4338</v>
      </c>
      <c r="AE338" s="265" t="s">
        <v>3685</v>
      </c>
      <c r="AF338" s="265" t="s">
        <v>3886</v>
      </c>
      <c r="AG338" s="265" t="s">
        <v>4267</v>
      </c>
      <c r="AH338" s="265" t="s">
        <v>3894</v>
      </c>
      <c r="AI338" s="265" t="s">
        <v>3689</v>
      </c>
    </row>
    <row r="339" spans="1:35" x14ac:dyDescent="0.25">
      <c r="A339" s="264" t="str">
        <f>HLOOKUP(Overview!$P$8,$B$1:$AI$1500,339,FALSE)</f>
        <v xml:space="preserve">          10000852</v>
      </c>
      <c r="B339" s="252"/>
      <c r="C339" s="183">
        <v>10000032</v>
      </c>
      <c r="D339" s="288" t="s">
        <v>1809</v>
      </c>
      <c r="E339" s="252" t="s">
        <v>2411</v>
      </c>
      <c r="F339" s="252" t="s">
        <v>4339</v>
      </c>
      <c r="G339" s="252" t="s">
        <v>4315</v>
      </c>
      <c r="I339" s="252" t="s">
        <v>3891</v>
      </c>
      <c r="J339" s="252" t="s">
        <v>4268</v>
      </c>
      <c r="M339" s="252" t="s">
        <v>3690</v>
      </c>
      <c r="N339" s="252" t="s">
        <v>3886</v>
      </c>
      <c r="P339" s="252" t="s">
        <v>2257</v>
      </c>
      <c r="Q339" s="252" t="s">
        <v>3512</v>
      </c>
      <c r="W339" s="252" t="s">
        <v>4277</v>
      </c>
      <c r="X339" s="252" t="s">
        <v>3893</v>
      </c>
      <c r="Y339" s="252" t="s">
        <v>4268</v>
      </c>
      <c r="AA339" s="266" t="s">
        <v>3684</v>
      </c>
      <c r="AB339" s="266" t="s">
        <v>2223</v>
      </c>
      <c r="AD339" s="266" t="s">
        <v>2159</v>
      </c>
      <c r="AE339" s="266" t="s">
        <v>4341</v>
      </c>
      <c r="AF339" s="266" t="s">
        <v>3889</v>
      </c>
      <c r="AG339" s="266" t="s">
        <v>4199</v>
      </c>
      <c r="AH339" s="266" t="s">
        <v>3895</v>
      </c>
      <c r="AI339" s="266" t="s">
        <v>2354</v>
      </c>
    </row>
    <row r="340" spans="1:35" x14ac:dyDescent="0.25">
      <c r="A340" s="264" t="str">
        <f>HLOOKUP(Overview!$P$8,$B$1:$AI$1500,340,FALSE)</f>
        <v xml:space="preserve">          10000853</v>
      </c>
      <c r="B340" s="252"/>
      <c r="C340" s="183">
        <v>10000783</v>
      </c>
      <c r="D340" s="287" t="s">
        <v>1815</v>
      </c>
      <c r="E340" s="264" t="s">
        <v>2386</v>
      </c>
      <c r="F340" s="264" t="s">
        <v>4330</v>
      </c>
      <c r="G340" s="264" t="s">
        <v>4272</v>
      </c>
      <c r="I340" s="264" t="s">
        <v>3885</v>
      </c>
      <c r="J340" s="264" t="s">
        <v>4197</v>
      </c>
      <c r="M340" s="264" t="s">
        <v>3598</v>
      </c>
      <c r="N340" s="264" t="s">
        <v>3892</v>
      </c>
      <c r="P340" s="264" t="s">
        <v>2392</v>
      </c>
      <c r="Q340" s="264" t="s">
        <v>3421</v>
      </c>
      <c r="W340" s="264" t="s">
        <v>4278</v>
      </c>
      <c r="X340" s="264" t="s">
        <v>3887</v>
      </c>
      <c r="Y340" s="264" t="s">
        <v>4197</v>
      </c>
      <c r="AA340" s="265" t="s">
        <v>3685</v>
      </c>
      <c r="AB340" s="265" t="s">
        <v>2017</v>
      </c>
      <c r="AD340" s="265" t="s">
        <v>2013</v>
      </c>
      <c r="AE340" s="265" t="s">
        <v>4342</v>
      </c>
      <c r="AF340" s="265" t="s">
        <v>3887</v>
      </c>
      <c r="AG340" s="265" t="s">
        <v>4269</v>
      </c>
      <c r="AH340" s="265" t="s">
        <v>3692</v>
      </c>
      <c r="AI340" s="265" t="s">
        <v>2356</v>
      </c>
    </row>
    <row r="341" spans="1:35" x14ac:dyDescent="0.25">
      <c r="A341" s="264" t="str">
        <f>HLOOKUP(Overview!$P$8,$B$1:$AI$1500,341,FALSE)</f>
        <v xml:space="preserve">          10000855</v>
      </c>
      <c r="B341" s="252"/>
      <c r="C341" s="183">
        <v>20029227</v>
      </c>
      <c r="D341" s="288" t="s">
        <v>1992</v>
      </c>
      <c r="E341" s="252" t="s">
        <v>2368</v>
      </c>
      <c r="F341" s="252" t="s">
        <v>4260</v>
      </c>
      <c r="G341" s="252" t="s">
        <v>4280</v>
      </c>
      <c r="I341" s="252" t="s">
        <v>3886</v>
      </c>
      <c r="J341" s="252" t="s">
        <v>4267</v>
      </c>
      <c r="M341" s="252" t="s">
        <v>3596</v>
      </c>
      <c r="N341" s="252" t="s">
        <v>3893</v>
      </c>
      <c r="P341" s="252" t="s">
        <v>2276</v>
      </c>
      <c r="Q341" s="252" t="s">
        <v>3417</v>
      </c>
      <c r="W341" s="252" t="s">
        <v>4315</v>
      </c>
      <c r="X341" s="252" t="s">
        <v>3878</v>
      </c>
      <c r="Y341" s="252" t="s">
        <v>4267</v>
      </c>
      <c r="AA341" s="266" t="s">
        <v>4342</v>
      </c>
      <c r="AB341" s="266" t="s">
        <v>2410</v>
      </c>
      <c r="AD341" s="266" t="s">
        <v>2111</v>
      </c>
      <c r="AE341" s="266" t="s">
        <v>4338</v>
      </c>
      <c r="AF341" s="266" t="s">
        <v>3878</v>
      </c>
      <c r="AG341" s="266" t="s">
        <v>4339</v>
      </c>
      <c r="AH341" s="266" t="s">
        <v>3693</v>
      </c>
      <c r="AI341" s="266" t="s">
        <v>2344</v>
      </c>
    </row>
    <row r="342" spans="1:35" x14ac:dyDescent="0.25">
      <c r="A342" s="264" t="str">
        <f>HLOOKUP(Overview!$P$8,$B$1:$AI$1500,342,FALSE)</f>
        <v xml:space="preserve">          10000862</v>
      </c>
      <c r="B342" s="252"/>
      <c r="C342" s="183">
        <v>20029229</v>
      </c>
      <c r="D342" s="287" t="s">
        <v>2053</v>
      </c>
      <c r="E342" s="264" t="s">
        <v>2414</v>
      </c>
      <c r="F342" s="264" t="s">
        <v>4261</v>
      </c>
      <c r="G342" s="264" t="s">
        <v>4264</v>
      </c>
      <c r="I342" s="264" t="s">
        <v>3889</v>
      </c>
      <c r="J342" s="264" t="s">
        <v>4199</v>
      </c>
      <c r="M342" s="264" t="s">
        <v>3692</v>
      </c>
      <c r="N342" s="264" t="s">
        <v>3878</v>
      </c>
      <c r="P342" s="264" t="s">
        <v>2377</v>
      </c>
      <c r="Q342" s="264" t="s">
        <v>3510</v>
      </c>
      <c r="W342" s="264" t="s">
        <v>4272</v>
      </c>
      <c r="X342" s="264" t="s">
        <v>3872</v>
      </c>
      <c r="Y342" s="264" t="s">
        <v>4199</v>
      </c>
      <c r="AA342" s="265" t="s">
        <v>4338</v>
      </c>
      <c r="AB342" s="265" t="s">
        <v>2251</v>
      </c>
      <c r="AD342" s="265" t="s">
        <v>2282</v>
      </c>
      <c r="AE342" s="265" t="s">
        <v>4344</v>
      </c>
      <c r="AF342" s="265" t="s">
        <v>3872</v>
      </c>
      <c r="AG342" s="265" t="s">
        <v>4330</v>
      </c>
      <c r="AH342" s="265" t="s">
        <v>3694</v>
      </c>
      <c r="AI342" s="265" t="s">
        <v>2394</v>
      </c>
    </row>
    <row r="343" spans="1:35" x14ac:dyDescent="0.25">
      <c r="A343" s="264" t="str">
        <f>HLOOKUP(Overview!$P$8,$B$1:$AI$1500,343,FALSE)</f>
        <v xml:space="preserve">          10000863</v>
      </c>
      <c r="B343" s="252"/>
      <c r="C343" s="183">
        <v>20029228</v>
      </c>
      <c r="D343" s="288" t="s">
        <v>1845</v>
      </c>
      <c r="E343" s="252" t="s">
        <v>2402</v>
      </c>
      <c r="F343" s="252" t="s">
        <v>4312</v>
      </c>
      <c r="G343" s="252" t="s">
        <v>4274</v>
      </c>
      <c r="I343" s="252" t="s">
        <v>3892</v>
      </c>
      <c r="J343" s="252" t="s">
        <v>4269</v>
      </c>
      <c r="M343" s="252" t="s">
        <v>3693</v>
      </c>
      <c r="N343" s="252" t="s">
        <v>3690</v>
      </c>
      <c r="P343" s="252" t="s">
        <v>2225</v>
      </c>
      <c r="Q343" s="252" t="s">
        <v>3886</v>
      </c>
      <c r="W343" s="252" t="s">
        <v>4280</v>
      </c>
      <c r="X343" s="252" t="s">
        <v>3690</v>
      </c>
      <c r="Y343" s="252" t="s">
        <v>4269</v>
      </c>
      <c r="AA343" s="266" t="s">
        <v>4343</v>
      </c>
      <c r="AB343" s="266" t="s">
        <v>2352</v>
      </c>
      <c r="AD343" s="266" t="s">
        <v>2348</v>
      </c>
      <c r="AE343" s="266" t="s">
        <v>2401</v>
      </c>
      <c r="AF343" s="266" t="s">
        <v>3690</v>
      </c>
      <c r="AG343" s="266" t="s">
        <v>4260</v>
      </c>
      <c r="AH343" s="266" t="s">
        <v>3515</v>
      </c>
      <c r="AI343" s="266" t="s">
        <v>3512</v>
      </c>
    </row>
    <row r="344" spans="1:35" x14ac:dyDescent="0.25">
      <c r="A344" s="264" t="str">
        <f>HLOOKUP(Overview!$P$8,$B$1:$AI$1500,344,FALSE)</f>
        <v xml:space="preserve">          10000865</v>
      </c>
      <c r="B344" s="252"/>
      <c r="C344" s="183">
        <v>10000851</v>
      </c>
      <c r="D344" s="287" t="s">
        <v>1823</v>
      </c>
      <c r="E344" s="264" t="s">
        <v>2311</v>
      </c>
      <c r="F344" s="264" t="s">
        <v>4262</v>
      </c>
      <c r="G344" s="264" t="s">
        <v>4314</v>
      </c>
      <c r="I344" s="264" t="s">
        <v>3893</v>
      </c>
      <c r="J344" s="264" t="s">
        <v>4339</v>
      </c>
      <c r="M344" s="264" t="s">
        <v>3694</v>
      </c>
      <c r="N344" s="264" t="s">
        <v>3595</v>
      </c>
      <c r="P344" s="264" t="s">
        <v>2279</v>
      </c>
      <c r="Q344" s="264" t="s">
        <v>3889</v>
      </c>
      <c r="W344" s="264" t="s">
        <v>4264</v>
      </c>
      <c r="X344" s="264" t="s">
        <v>3898</v>
      </c>
      <c r="Y344" s="264" t="s">
        <v>4339</v>
      </c>
      <c r="AA344" s="265" t="s">
        <v>2413</v>
      </c>
      <c r="AB344" s="265" t="s">
        <v>2102</v>
      </c>
      <c r="AD344" s="265" t="s">
        <v>2123</v>
      </c>
      <c r="AE344" s="265" t="s">
        <v>2159</v>
      </c>
      <c r="AF344" s="265" t="s">
        <v>3898</v>
      </c>
      <c r="AG344" s="265" t="s">
        <v>4261</v>
      </c>
      <c r="AH344" s="265" t="s">
        <v>3516</v>
      </c>
      <c r="AI344" s="265" t="s">
        <v>3421</v>
      </c>
    </row>
    <row r="345" spans="1:35" x14ac:dyDescent="0.25">
      <c r="A345" s="264" t="str">
        <f>HLOOKUP(Overview!$P$8,$B$1:$AI$1500,345,FALSE)</f>
        <v xml:space="preserve">          10000880</v>
      </c>
      <c r="B345" s="252"/>
      <c r="C345" s="183">
        <v>10087191</v>
      </c>
      <c r="D345" s="288" t="s">
        <v>4512</v>
      </c>
      <c r="E345" s="252" t="s">
        <v>2267</v>
      </c>
      <c r="F345" s="252" t="s">
        <v>4263</v>
      </c>
      <c r="G345" s="252" t="s">
        <v>4345</v>
      </c>
      <c r="I345" s="252" t="s">
        <v>3878</v>
      </c>
      <c r="J345" s="252" t="s">
        <v>4330</v>
      </c>
      <c r="M345" s="252" t="s">
        <v>3515</v>
      </c>
      <c r="N345" s="252" t="s">
        <v>3596</v>
      </c>
      <c r="P345" s="252" t="s">
        <v>2288</v>
      </c>
      <c r="Q345" s="252" t="s">
        <v>3892</v>
      </c>
      <c r="W345" s="252" t="s">
        <v>4274</v>
      </c>
      <c r="X345" s="252" t="s">
        <v>3691</v>
      </c>
      <c r="Y345" s="252" t="s">
        <v>4330</v>
      </c>
      <c r="AA345" s="266" t="s">
        <v>2159</v>
      </c>
      <c r="AB345" s="266" t="s">
        <v>2270</v>
      </c>
      <c r="AD345" s="266" t="s">
        <v>2223</v>
      </c>
      <c r="AE345" s="266" t="s">
        <v>2013</v>
      </c>
      <c r="AF345" s="266" t="s">
        <v>3691</v>
      </c>
      <c r="AG345" s="266" t="s">
        <v>4312</v>
      </c>
      <c r="AH345" s="266" t="s">
        <v>3423</v>
      </c>
      <c r="AI345" s="266" t="s">
        <v>3417</v>
      </c>
    </row>
    <row r="346" spans="1:35" x14ac:dyDescent="0.25">
      <c r="A346" s="264" t="str">
        <f>HLOOKUP(Overview!$P$8,$B$1:$AI$1500,346,FALSE)</f>
        <v xml:space="preserve">          10000904</v>
      </c>
      <c r="B346" s="252"/>
      <c r="C346" s="183">
        <v>10087196</v>
      </c>
      <c r="D346" s="287" t="s">
        <v>1817</v>
      </c>
      <c r="E346" s="264" t="s">
        <v>2388</v>
      </c>
      <c r="F346" s="264" t="s">
        <v>4271</v>
      </c>
      <c r="G346" s="264" t="s">
        <v>3682</v>
      </c>
      <c r="I346" s="264" t="s">
        <v>3872</v>
      </c>
      <c r="J346" s="264" t="s">
        <v>3873</v>
      </c>
      <c r="M346" s="264" t="s">
        <v>3516</v>
      </c>
      <c r="N346" s="264" t="s">
        <v>3894</v>
      </c>
      <c r="P346" s="264" t="s">
        <v>3686</v>
      </c>
      <c r="Q346" s="264" t="s">
        <v>3893</v>
      </c>
      <c r="W346" s="264" t="s">
        <v>4314</v>
      </c>
      <c r="X346" s="264" t="s">
        <v>3595</v>
      </c>
      <c r="Y346" s="264" t="s">
        <v>4260</v>
      </c>
      <c r="AA346" s="265" t="s">
        <v>2013</v>
      </c>
      <c r="AB346" s="265" t="s">
        <v>2213</v>
      </c>
      <c r="AD346" s="265" t="s">
        <v>2017</v>
      </c>
      <c r="AE346" s="265" t="s">
        <v>2111</v>
      </c>
      <c r="AF346" s="265" t="s">
        <v>3595</v>
      </c>
      <c r="AG346" s="265" t="s">
        <v>4262</v>
      </c>
      <c r="AH346" s="265" t="s">
        <v>3415</v>
      </c>
      <c r="AI346" s="265" t="s">
        <v>3510</v>
      </c>
    </row>
    <row r="347" spans="1:35" x14ac:dyDescent="0.25">
      <c r="A347" s="264" t="str">
        <f>HLOOKUP(Overview!$P$8,$B$1:$AI$1500,347,FALSE)</f>
        <v xml:space="preserve">          10000905</v>
      </c>
      <c r="B347" s="252"/>
      <c r="C347" s="183">
        <v>10087193</v>
      </c>
      <c r="D347" s="288" t="s">
        <v>1851</v>
      </c>
      <c r="E347" s="252" t="s">
        <v>2220</v>
      </c>
      <c r="F347" s="252" t="s">
        <v>4336</v>
      </c>
      <c r="G347" s="252" t="s">
        <v>3683</v>
      </c>
      <c r="I347" s="252" t="s">
        <v>3690</v>
      </c>
      <c r="J347" s="252" t="s">
        <v>4260</v>
      </c>
      <c r="M347" s="252" t="s">
        <v>3423</v>
      </c>
      <c r="N347" s="252" t="s">
        <v>3895</v>
      </c>
      <c r="P347" s="252" t="s">
        <v>3687</v>
      </c>
      <c r="Q347" s="252" t="s">
        <v>3690</v>
      </c>
      <c r="W347" s="252" t="s">
        <v>4345</v>
      </c>
      <c r="X347" s="252" t="s">
        <v>3598</v>
      </c>
      <c r="Y347" s="252" t="s">
        <v>4261</v>
      </c>
      <c r="AA347" s="266" t="s">
        <v>2111</v>
      </c>
      <c r="AB347" s="266" t="s">
        <v>2173</v>
      </c>
      <c r="AD347" s="266" t="s">
        <v>2251</v>
      </c>
      <c r="AE347" s="266" t="s">
        <v>2282</v>
      </c>
      <c r="AF347" s="266" t="s">
        <v>3598</v>
      </c>
      <c r="AG347" s="266" t="s">
        <v>4263</v>
      </c>
      <c r="AH347" s="266" t="s">
        <v>3513</v>
      </c>
      <c r="AI347" s="266" t="s">
        <v>3891</v>
      </c>
    </row>
    <row r="348" spans="1:35" x14ac:dyDescent="0.25">
      <c r="A348" s="264" t="str">
        <f>HLOOKUP(Overview!$P$8,$B$1:$AI$1500,348,FALSE)</f>
        <v xml:space="preserve">          10001071</v>
      </c>
      <c r="B348" s="252"/>
      <c r="C348" s="183">
        <v>10002242</v>
      </c>
      <c r="D348" s="287" t="s">
        <v>4513</v>
      </c>
      <c r="E348" s="264" t="s">
        <v>2291</v>
      </c>
      <c r="F348" s="264" t="s">
        <v>4277</v>
      </c>
      <c r="G348" s="264" t="s">
        <v>3684</v>
      </c>
      <c r="I348" s="264" t="s">
        <v>3691</v>
      </c>
      <c r="J348" s="264" t="s">
        <v>4261</v>
      </c>
      <c r="M348" s="264" t="s">
        <v>3518</v>
      </c>
      <c r="N348" s="264" t="s">
        <v>3692</v>
      </c>
      <c r="P348" s="264" t="s">
        <v>3689</v>
      </c>
      <c r="Q348" s="264" t="s">
        <v>3691</v>
      </c>
      <c r="W348" s="264" t="s">
        <v>3682</v>
      </c>
      <c r="X348" s="264" t="s">
        <v>3596</v>
      </c>
      <c r="Y348" s="264" t="s">
        <v>4312</v>
      </c>
      <c r="AA348" s="265" t="s">
        <v>2282</v>
      </c>
      <c r="AB348" s="265" t="s">
        <v>2331</v>
      </c>
      <c r="AD348" s="265" t="s">
        <v>2102</v>
      </c>
      <c r="AE348" s="265" t="s">
        <v>2348</v>
      </c>
      <c r="AF348" s="265" t="s">
        <v>3899</v>
      </c>
      <c r="AG348" s="265" t="s">
        <v>4271</v>
      </c>
      <c r="AH348" s="265" t="s">
        <v>3897</v>
      </c>
      <c r="AI348" s="265" t="s">
        <v>3885</v>
      </c>
    </row>
    <row r="349" spans="1:35" x14ac:dyDescent="0.25">
      <c r="A349" s="264" t="str">
        <f>HLOOKUP(Overview!$P$8,$B$1:$AI$1500,349,FALSE)</f>
        <v xml:space="preserve">          10001699</v>
      </c>
      <c r="B349" s="252"/>
      <c r="C349" s="183">
        <v>10002243</v>
      </c>
      <c r="D349" s="288" t="s">
        <v>1967</v>
      </c>
      <c r="E349" s="252" t="s">
        <v>2319</v>
      </c>
      <c r="F349" s="252" t="s">
        <v>4278</v>
      </c>
      <c r="G349" s="252" t="s">
        <v>3685</v>
      </c>
      <c r="I349" s="252" t="s">
        <v>3595</v>
      </c>
      <c r="J349" s="252" t="s">
        <v>4312</v>
      </c>
      <c r="M349" s="252" t="s">
        <v>3521</v>
      </c>
      <c r="N349" s="252" t="s">
        <v>3693</v>
      </c>
      <c r="P349" s="252" t="s">
        <v>2354</v>
      </c>
      <c r="Q349" s="252" t="s">
        <v>3596</v>
      </c>
      <c r="W349" s="252" t="s">
        <v>3683</v>
      </c>
      <c r="X349" s="252" t="s">
        <v>3899</v>
      </c>
      <c r="Y349" s="252" t="s">
        <v>4262</v>
      </c>
      <c r="AA349" s="266" t="s">
        <v>2348</v>
      </c>
      <c r="AB349" s="266" t="s">
        <v>2212</v>
      </c>
      <c r="AD349" s="266" t="s">
        <v>2270</v>
      </c>
      <c r="AE349" s="266" t="s">
        <v>2123</v>
      </c>
      <c r="AF349" s="266" t="s">
        <v>3894</v>
      </c>
      <c r="AG349" s="266" t="s">
        <v>4277</v>
      </c>
      <c r="AI349" s="266" t="s">
        <v>3886</v>
      </c>
    </row>
    <row r="350" spans="1:35" x14ac:dyDescent="0.25">
      <c r="A350" s="264" t="str">
        <f>HLOOKUP(Overview!$P$8,$B$1:$AI$1500,350,FALSE)</f>
        <v xml:space="preserve">          10001700</v>
      </c>
      <c r="B350" s="252"/>
      <c r="C350" s="183">
        <v>10000180</v>
      </c>
      <c r="D350" s="287" t="s">
        <v>1945</v>
      </c>
      <c r="E350" s="264" t="s">
        <v>2273</v>
      </c>
      <c r="F350" s="264" t="s">
        <v>4315</v>
      </c>
      <c r="G350" s="264" t="s">
        <v>4341</v>
      </c>
      <c r="I350" s="264" t="s">
        <v>3598</v>
      </c>
      <c r="J350" s="264" t="s">
        <v>4262</v>
      </c>
      <c r="M350" s="264" t="s">
        <v>3519</v>
      </c>
      <c r="N350" s="264" t="s">
        <v>3694</v>
      </c>
      <c r="P350" s="264" t="s">
        <v>2356</v>
      </c>
      <c r="Q350" s="264" t="s">
        <v>3895</v>
      </c>
      <c r="W350" s="264" t="s">
        <v>3684</v>
      </c>
      <c r="X350" s="264" t="s">
        <v>3894</v>
      </c>
      <c r="Y350" s="264" t="s">
        <v>4263</v>
      </c>
      <c r="AA350" s="265" t="s">
        <v>2123</v>
      </c>
      <c r="AB350" s="265" t="s">
        <v>2257</v>
      </c>
      <c r="AD350" s="265" t="s">
        <v>2213</v>
      </c>
      <c r="AE350" s="265" t="s">
        <v>2223</v>
      </c>
      <c r="AF350" s="265" t="s">
        <v>3895</v>
      </c>
      <c r="AG350" s="265" t="s">
        <v>4278</v>
      </c>
      <c r="AI350" s="265" t="s">
        <v>3889</v>
      </c>
    </row>
    <row r="351" spans="1:35" x14ac:dyDescent="0.25">
      <c r="A351" s="264" t="str">
        <f>HLOOKUP(Overview!$P$8,$B$1:$AI$1500,351,FALSE)</f>
        <v xml:space="preserve">          10001994</v>
      </c>
      <c r="B351" s="252"/>
      <c r="C351" s="183">
        <v>10001390</v>
      </c>
      <c r="D351" s="288" t="s">
        <v>2171</v>
      </c>
      <c r="E351" s="252" t="s">
        <v>2338</v>
      </c>
      <c r="F351" s="252" t="s">
        <v>4272</v>
      </c>
      <c r="G351" s="252" t="s">
        <v>4342</v>
      </c>
      <c r="I351" s="252" t="s">
        <v>3596</v>
      </c>
      <c r="J351" s="252" t="s">
        <v>4263</v>
      </c>
      <c r="M351" s="252" t="s">
        <v>3415</v>
      </c>
      <c r="N351" s="252" t="s">
        <v>3515</v>
      </c>
      <c r="P351" s="252" t="s">
        <v>2344</v>
      </c>
      <c r="Q351" s="252" t="s">
        <v>3692</v>
      </c>
      <c r="W351" s="252" t="s">
        <v>3685</v>
      </c>
      <c r="X351" s="252" t="s">
        <v>3895</v>
      </c>
      <c r="Y351" s="252" t="s">
        <v>4271</v>
      </c>
      <c r="AA351" s="266" t="s">
        <v>2223</v>
      </c>
      <c r="AB351" s="266" t="s">
        <v>2392</v>
      </c>
      <c r="AD351" s="266" t="s">
        <v>2173</v>
      </c>
      <c r="AE351" s="266" t="s">
        <v>2017</v>
      </c>
      <c r="AF351" s="266" t="s">
        <v>3692</v>
      </c>
      <c r="AG351" s="266" t="s">
        <v>4315</v>
      </c>
      <c r="AI351" s="266" t="s">
        <v>3892</v>
      </c>
    </row>
    <row r="352" spans="1:35" x14ac:dyDescent="0.25">
      <c r="A352" s="264" t="str">
        <f>HLOOKUP(Overview!$P$8,$B$1:$AI$1500,352,FALSE)</f>
        <v xml:space="preserve">          10027353</v>
      </c>
      <c r="B352" s="252"/>
      <c r="C352" s="263">
        <v>10006322</v>
      </c>
      <c r="D352" s="287" t="s">
        <v>4266</v>
      </c>
      <c r="E352" s="264" t="s">
        <v>4299</v>
      </c>
      <c r="F352" s="264" t="s">
        <v>4280</v>
      </c>
      <c r="G352" s="264" t="s">
        <v>4338</v>
      </c>
      <c r="I352" s="264" t="s">
        <v>3899</v>
      </c>
      <c r="J352" s="264" t="s">
        <v>4271</v>
      </c>
      <c r="M352" s="264" t="s">
        <v>3513</v>
      </c>
      <c r="N352" s="264" t="s">
        <v>3516</v>
      </c>
      <c r="P352" s="264" t="s">
        <v>2394</v>
      </c>
      <c r="Q352" s="264" t="s">
        <v>3693</v>
      </c>
      <c r="W352" s="264" t="s">
        <v>4341</v>
      </c>
      <c r="X352" s="264" t="s">
        <v>3692</v>
      </c>
      <c r="Y352" s="264" t="s">
        <v>4277</v>
      </c>
      <c r="AA352" s="265" t="s">
        <v>2017</v>
      </c>
      <c r="AB352" s="265" t="s">
        <v>2276</v>
      </c>
      <c r="AD352" s="265" t="s">
        <v>2212</v>
      </c>
      <c r="AE352" s="265" t="s">
        <v>2251</v>
      </c>
      <c r="AF352" s="265" t="s">
        <v>3693</v>
      </c>
      <c r="AG352" s="265" t="s">
        <v>4272</v>
      </c>
      <c r="AI352" s="265" t="s">
        <v>3893</v>
      </c>
    </row>
    <row r="353" spans="1:35" x14ac:dyDescent="0.25">
      <c r="A353" s="264" t="str">
        <f>HLOOKUP(Overview!$P$8,$B$1:$AI$1500,353,FALSE)</f>
        <v xml:space="preserve">          10036798</v>
      </c>
      <c r="B353" s="252"/>
      <c r="C353" s="183">
        <v>10081819</v>
      </c>
      <c r="D353" s="288" t="s">
        <v>4514</v>
      </c>
      <c r="E353" s="252" t="s">
        <v>2160</v>
      </c>
      <c r="F353" s="252" t="s">
        <v>4264</v>
      </c>
      <c r="G353" s="252" t="s">
        <v>4344</v>
      </c>
      <c r="I353" s="252" t="s">
        <v>3894</v>
      </c>
      <c r="J353" s="252" t="s">
        <v>4335</v>
      </c>
      <c r="M353" s="252" t="s">
        <v>3419</v>
      </c>
      <c r="N353" s="252" t="s">
        <v>3423</v>
      </c>
      <c r="P353" s="252" t="s">
        <v>3512</v>
      </c>
      <c r="Q353" s="252" t="s">
        <v>3694</v>
      </c>
      <c r="W353" s="252" t="s">
        <v>4342</v>
      </c>
      <c r="X353" s="252" t="s">
        <v>3693</v>
      </c>
      <c r="Y353" s="252" t="s">
        <v>4278</v>
      </c>
      <c r="AA353" s="266" t="s">
        <v>2410</v>
      </c>
      <c r="AB353" s="266" t="s">
        <v>2377</v>
      </c>
      <c r="AD353" s="266" t="s">
        <v>2257</v>
      </c>
      <c r="AE353" s="266" t="s">
        <v>2102</v>
      </c>
      <c r="AF353" s="266" t="s">
        <v>3694</v>
      </c>
      <c r="AG353" s="266" t="s">
        <v>4280</v>
      </c>
      <c r="AI353" s="266" t="s">
        <v>3887</v>
      </c>
    </row>
    <row r="354" spans="1:35" x14ac:dyDescent="0.25">
      <c r="A354" s="264" t="str">
        <f>HLOOKUP(Overview!$P$8,$B$1:$AI$1500,354,FALSE)</f>
        <v xml:space="preserve">          10074442</v>
      </c>
      <c r="B354" s="252"/>
      <c r="C354" s="183">
        <v>10000838</v>
      </c>
      <c r="D354" s="287" t="s">
        <v>4273</v>
      </c>
      <c r="E354" s="264" t="s">
        <v>2078</v>
      </c>
      <c r="F354" s="264" t="s">
        <v>4274</v>
      </c>
      <c r="G354" s="264" t="s">
        <v>4343</v>
      </c>
      <c r="I354" s="264" t="s">
        <v>3895</v>
      </c>
      <c r="J354" s="264" t="s">
        <v>4336</v>
      </c>
      <c r="M354" s="264" t="s">
        <v>3695</v>
      </c>
      <c r="N354" s="264" t="s">
        <v>3518</v>
      </c>
      <c r="P354" s="264" t="s">
        <v>3421</v>
      </c>
      <c r="Q354" s="264" t="s">
        <v>3515</v>
      </c>
      <c r="W354" s="264" t="s">
        <v>4338</v>
      </c>
      <c r="X354" s="264" t="s">
        <v>3694</v>
      </c>
      <c r="Y354" s="264" t="s">
        <v>4315</v>
      </c>
      <c r="AA354" s="265" t="s">
        <v>2251</v>
      </c>
      <c r="AB354" s="265" t="s">
        <v>2301</v>
      </c>
      <c r="AD354" s="265" t="s">
        <v>2276</v>
      </c>
      <c r="AE354" s="265" t="s">
        <v>2270</v>
      </c>
      <c r="AF354" s="265" t="s">
        <v>3515</v>
      </c>
      <c r="AG354" s="265" t="s">
        <v>4264</v>
      </c>
      <c r="AI354" s="265" t="s">
        <v>3878</v>
      </c>
    </row>
    <row r="355" spans="1:35" x14ac:dyDescent="0.25">
      <c r="A355" s="264" t="str">
        <f>HLOOKUP(Overview!$P$8,$B$1:$AI$1500,355,FALSE)</f>
        <v xml:space="preserve">          10087790</v>
      </c>
      <c r="B355" s="252"/>
      <c r="C355" s="183">
        <v>10033033</v>
      </c>
      <c r="D355" s="288" t="s">
        <v>2078</v>
      </c>
      <c r="E355" s="252" t="s">
        <v>4237</v>
      </c>
      <c r="F355" s="252" t="s">
        <v>4314</v>
      </c>
      <c r="G355" s="252" t="s">
        <v>2159</v>
      </c>
      <c r="I355" s="252" t="s">
        <v>3692</v>
      </c>
      <c r="J355" s="252" t="s">
        <v>4277</v>
      </c>
      <c r="N355" s="252" t="s">
        <v>3521</v>
      </c>
      <c r="P355" s="252" t="s">
        <v>3417</v>
      </c>
      <c r="Q355" s="252" t="s">
        <v>3516</v>
      </c>
      <c r="W355" s="252" t="s">
        <v>4343</v>
      </c>
      <c r="X355" s="252" t="s">
        <v>3515</v>
      </c>
      <c r="Y355" s="252" t="s">
        <v>4272</v>
      </c>
      <c r="AA355" s="266" t="s">
        <v>2352</v>
      </c>
      <c r="AB355" s="266" t="s">
        <v>2179</v>
      </c>
      <c r="AD355" s="266" t="s">
        <v>2301</v>
      </c>
      <c r="AE355" s="266" t="s">
        <v>2213</v>
      </c>
      <c r="AF355" s="266" t="s">
        <v>3516</v>
      </c>
      <c r="AG355" s="266" t="s">
        <v>4274</v>
      </c>
      <c r="AI355" s="266" t="s">
        <v>3872</v>
      </c>
    </row>
    <row r="356" spans="1:35" x14ac:dyDescent="0.25">
      <c r="A356" s="264" t="str">
        <f>HLOOKUP(Overview!$P$8,$B$1:$AI$1500,356,FALSE)</f>
        <v xml:space="preserve">          10097659</v>
      </c>
      <c r="B356" s="252"/>
      <c r="C356" s="183">
        <v>10001039</v>
      </c>
      <c r="D356" s="287" t="s">
        <v>4515</v>
      </c>
      <c r="E356" s="264" t="s">
        <v>2181</v>
      </c>
      <c r="F356" s="264" t="s">
        <v>4345</v>
      </c>
      <c r="G356" s="264" t="s">
        <v>2013</v>
      </c>
      <c r="I356" s="264" t="s">
        <v>3693</v>
      </c>
      <c r="J356" s="264" t="s">
        <v>4278</v>
      </c>
      <c r="N356" s="264" t="s">
        <v>3519</v>
      </c>
      <c r="P356" s="264" t="s">
        <v>3510</v>
      </c>
      <c r="Q356" s="264" t="s">
        <v>3423</v>
      </c>
      <c r="W356" s="264" t="s">
        <v>2159</v>
      </c>
      <c r="X356" s="264" t="s">
        <v>3516</v>
      </c>
      <c r="Y356" s="264" t="s">
        <v>4280</v>
      </c>
      <c r="AA356" s="265" t="s">
        <v>2102</v>
      </c>
      <c r="AB356" s="265" t="s">
        <v>2225</v>
      </c>
      <c r="AD356" s="265" t="s">
        <v>2179</v>
      </c>
      <c r="AE356" s="265" t="s">
        <v>2173</v>
      </c>
      <c r="AF356" s="265" t="s">
        <v>3423</v>
      </c>
      <c r="AG356" s="265" t="s">
        <v>4314</v>
      </c>
      <c r="AI356" s="265" t="s">
        <v>3690</v>
      </c>
    </row>
    <row r="357" spans="1:35" x14ac:dyDescent="0.25">
      <c r="A357" s="264" t="str">
        <f>HLOOKUP(Overview!$P$8,$B$1:$AI$1500,357,FALSE)</f>
        <v xml:space="preserve">          10099689</v>
      </c>
      <c r="B357" s="252"/>
      <c r="C357" s="183">
        <v>10000225</v>
      </c>
      <c r="D357" s="288" t="s">
        <v>2063</v>
      </c>
      <c r="E357" s="252" t="s">
        <v>4235</v>
      </c>
      <c r="F357" s="252" t="s">
        <v>3682</v>
      </c>
      <c r="G357" s="252" t="s">
        <v>2111</v>
      </c>
      <c r="I357" s="252" t="s">
        <v>3694</v>
      </c>
      <c r="J357" s="252" t="s">
        <v>4315</v>
      </c>
      <c r="N357" s="252" t="s">
        <v>3415</v>
      </c>
      <c r="P357" s="252" t="s">
        <v>3891</v>
      </c>
      <c r="Q357" s="252" t="s">
        <v>3518</v>
      </c>
      <c r="W357" s="252" t="s">
        <v>2013</v>
      </c>
      <c r="X357" s="252" t="s">
        <v>3423</v>
      </c>
      <c r="Y357" s="252" t="s">
        <v>4264</v>
      </c>
      <c r="AA357" s="266" t="s">
        <v>2270</v>
      </c>
      <c r="AB357" s="266" t="s">
        <v>2298</v>
      </c>
      <c r="AD357" s="266" t="s">
        <v>2225</v>
      </c>
      <c r="AE357" s="266" t="s">
        <v>2331</v>
      </c>
      <c r="AF357" s="266" t="s">
        <v>3518</v>
      </c>
      <c r="AG357" s="266" t="s">
        <v>4345</v>
      </c>
      <c r="AI357" s="266" t="s">
        <v>3898</v>
      </c>
    </row>
    <row r="358" spans="1:35" x14ac:dyDescent="0.25">
      <c r="A358" s="264" t="str">
        <f>HLOOKUP(Overview!$P$8,$B$1:$AI$1500,358,FALSE)</f>
        <v xml:space="preserve">          10099690</v>
      </c>
      <c r="B358" s="252"/>
      <c r="C358" s="183">
        <v>10000766</v>
      </c>
      <c r="D358" s="287" t="s">
        <v>2094</v>
      </c>
      <c r="E358" s="264" t="s">
        <v>4296</v>
      </c>
      <c r="F358" s="264" t="s">
        <v>3683</v>
      </c>
      <c r="G358" s="264" t="s">
        <v>2282</v>
      </c>
      <c r="I358" s="264" t="s">
        <v>3515</v>
      </c>
      <c r="J358" s="264" t="s">
        <v>4272</v>
      </c>
      <c r="N358" s="264" t="s">
        <v>3513</v>
      </c>
      <c r="P358" s="264" t="s">
        <v>3885</v>
      </c>
      <c r="Q358" s="264" t="s">
        <v>3521</v>
      </c>
      <c r="W358" s="264" t="s">
        <v>2111</v>
      </c>
      <c r="X358" s="264" t="s">
        <v>3518</v>
      </c>
      <c r="Y358" s="264" t="s">
        <v>4274</v>
      </c>
      <c r="AA358" s="265" t="s">
        <v>2213</v>
      </c>
      <c r="AB358" s="265" t="s">
        <v>2289</v>
      </c>
      <c r="AD358" s="265" t="s">
        <v>2298</v>
      </c>
      <c r="AE358" s="265" t="s">
        <v>2212</v>
      </c>
      <c r="AF358" s="265" t="s">
        <v>3521</v>
      </c>
      <c r="AG358" s="265" t="s">
        <v>3682</v>
      </c>
      <c r="AI358" s="265" t="s">
        <v>3691</v>
      </c>
    </row>
    <row r="359" spans="1:35" x14ac:dyDescent="0.25">
      <c r="A359" s="264" t="str">
        <f>HLOOKUP(Overview!$P$8,$B$1:$AI$1500,359,FALSE)</f>
        <v xml:space="preserve">          10099692</v>
      </c>
      <c r="B359" s="252"/>
      <c r="C359" s="183">
        <v>10000008</v>
      </c>
      <c r="D359" s="288" t="s">
        <v>2128</v>
      </c>
      <c r="E359" s="252" t="s">
        <v>3627</v>
      </c>
      <c r="F359" s="252" t="s">
        <v>3684</v>
      </c>
      <c r="G359" s="252" t="s">
        <v>2348</v>
      </c>
      <c r="I359" s="252" t="s">
        <v>3516</v>
      </c>
      <c r="J359" s="252" t="s">
        <v>4280</v>
      </c>
      <c r="N359" s="252" t="s">
        <v>3419</v>
      </c>
      <c r="P359" s="252" t="s">
        <v>3889</v>
      </c>
      <c r="Q359" s="252" t="s">
        <v>3415</v>
      </c>
      <c r="W359" s="252" t="s">
        <v>2282</v>
      </c>
      <c r="X359" s="252" t="s">
        <v>3521</v>
      </c>
      <c r="Y359" s="252" t="s">
        <v>4314</v>
      </c>
      <c r="AA359" s="266" t="s">
        <v>2173</v>
      </c>
      <c r="AB359" s="266" t="s">
        <v>2336</v>
      </c>
      <c r="AD359" s="266" t="s">
        <v>2289</v>
      </c>
      <c r="AE359" s="266" t="s">
        <v>2257</v>
      </c>
      <c r="AF359" s="266" t="s">
        <v>3519</v>
      </c>
      <c r="AG359" s="266" t="s">
        <v>3683</v>
      </c>
      <c r="AI359" s="266" t="s">
        <v>3595</v>
      </c>
    </row>
    <row r="360" spans="1:35" x14ac:dyDescent="0.25">
      <c r="A360" s="264" t="str">
        <f>HLOOKUP(Overview!$P$8,$B$1:$AI$1500,360,FALSE)</f>
        <v xml:space="preserve">          10099694</v>
      </c>
      <c r="B360" s="252"/>
      <c r="C360" s="183">
        <v>10000860</v>
      </c>
      <c r="D360" s="287" t="s">
        <v>2134</v>
      </c>
      <c r="E360" s="264" t="s">
        <v>2096</v>
      </c>
      <c r="F360" s="264" t="s">
        <v>3685</v>
      </c>
      <c r="G360" s="264" t="s">
        <v>2123</v>
      </c>
      <c r="I360" s="264" t="s">
        <v>3423</v>
      </c>
      <c r="J360" s="264" t="s">
        <v>4264</v>
      </c>
      <c r="N360" s="264" t="s">
        <v>3695</v>
      </c>
      <c r="P360" s="264" t="s">
        <v>3887</v>
      </c>
      <c r="Q360" s="264" t="s">
        <v>3513</v>
      </c>
      <c r="W360" s="264" t="s">
        <v>2348</v>
      </c>
      <c r="X360" s="264" t="s">
        <v>3519</v>
      </c>
      <c r="Y360" s="264" t="s">
        <v>4345</v>
      </c>
      <c r="AA360" s="265" t="s">
        <v>2212</v>
      </c>
      <c r="AB360" s="265" t="s">
        <v>2375</v>
      </c>
      <c r="AD360" s="265" t="s">
        <v>2336</v>
      </c>
      <c r="AE360" s="265" t="s">
        <v>2276</v>
      </c>
      <c r="AF360" s="265" t="s">
        <v>3415</v>
      </c>
      <c r="AG360" s="265" t="s">
        <v>3684</v>
      </c>
      <c r="AI360" s="265" t="s">
        <v>3598</v>
      </c>
    </row>
    <row r="361" spans="1:35" x14ac:dyDescent="0.25">
      <c r="A361" s="264" t="str">
        <f>HLOOKUP(Overview!$P$8,$B$1:$AI$1500,361,FALSE)</f>
        <v xml:space="preserve">          10105905</v>
      </c>
      <c r="B361" s="252"/>
      <c r="C361" s="183">
        <v>20028106</v>
      </c>
      <c r="D361" s="288" t="s">
        <v>1938</v>
      </c>
      <c r="E361" s="252" t="s">
        <v>2378</v>
      </c>
      <c r="F361" s="252" t="s">
        <v>4341</v>
      </c>
      <c r="G361" s="252" t="s">
        <v>2223</v>
      </c>
      <c r="I361" s="252" t="s">
        <v>3518</v>
      </c>
      <c r="J361" s="252" t="s">
        <v>4274</v>
      </c>
      <c r="N361" s="252" t="s">
        <v>3897</v>
      </c>
      <c r="P361" s="252" t="s">
        <v>3878</v>
      </c>
      <c r="Q361" s="252" t="s">
        <v>3419</v>
      </c>
      <c r="W361" s="252" t="s">
        <v>2123</v>
      </c>
      <c r="X361" s="252" t="s">
        <v>3415</v>
      </c>
      <c r="Y361" s="252" t="s">
        <v>3682</v>
      </c>
      <c r="AA361" s="266" t="s">
        <v>2257</v>
      </c>
      <c r="AB361" s="266" t="s">
        <v>2279</v>
      </c>
      <c r="AD361" s="266" t="s">
        <v>2375</v>
      </c>
      <c r="AE361" s="266" t="s">
        <v>4356</v>
      </c>
      <c r="AF361" s="266" t="s">
        <v>3513</v>
      </c>
      <c r="AG361" s="266" t="s">
        <v>3685</v>
      </c>
      <c r="AI361" s="266" t="s">
        <v>3894</v>
      </c>
    </row>
    <row r="362" spans="1:35" x14ac:dyDescent="0.25">
      <c r="A362" s="264" t="str">
        <f>HLOOKUP(Overview!$P$8,$B$1:$AI$1500,362,FALSE)</f>
        <v xml:space="preserve">          10105908</v>
      </c>
      <c r="B362" s="252"/>
      <c r="C362" s="183">
        <v>20028105</v>
      </c>
      <c r="D362" s="287" t="s">
        <v>3665</v>
      </c>
      <c r="E362" s="264" t="s">
        <v>2406</v>
      </c>
      <c r="F362" s="264" t="s">
        <v>4342</v>
      </c>
      <c r="G362" s="264" t="s">
        <v>2017</v>
      </c>
      <c r="I362" s="264" t="s">
        <v>3521</v>
      </c>
      <c r="J362" s="264" t="s">
        <v>4314</v>
      </c>
      <c r="P362" s="264" t="s">
        <v>3872</v>
      </c>
      <c r="Q362" s="264" t="s">
        <v>3695</v>
      </c>
      <c r="W362" s="264" t="s">
        <v>2223</v>
      </c>
      <c r="X362" s="264" t="s">
        <v>3513</v>
      </c>
      <c r="Y362" s="264" t="s">
        <v>3683</v>
      </c>
      <c r="AA362" s="265" t="s">
        <v>2392</v>
      </c>
      <c r="AB362" s="265" t="s">
        <v>2324</v>
      </c>
      <c r="AD362" s="265" t="s">
        <v>2279</v>
      </c>
      <c r="AE362" s="265" t="s">
        <v>2301</v>
      </c>
      <c r="AF362" s="265" t="s">
        <v>3419</v>
      </c>
      <c r="AG362" s="265" t="s">
        <v>4341</v>
      </c>
      <c r="AI362" s="265" t="s">
        <v>3895</v>
      </c>
    </row>
    <row r="363" spans="1:35" x14ac:dyDescent="0.25">
      <c r="A363" s="264" t="str">
        <f>HLOOKUP(Overview!$P$8,$B$1:$AI$1500,363,FALSE)</f>
        <v xml:space="preserve">          10119253</v>
      </c>
      <c r="B363" s="252"/>
      <c r="C363" s="183">
        <v>20028108</v>
      </c>
      <c r="D363" s="288" t="s">
        <v>3668</v>
      </c>
      <c r="E363" s="252" t="s">
        <v>2384</v>
      </c>
      <c r="F363" s="252" t="s">
        <v>4338</v>
      </c>
      <c r="G363" s="252" t="s">
        <v>2410</v>
      </c>
      <c r="I363" s="252" t="s">
        <v>3519</v>
      </c>
      <c r="J363" s="252" t="s">
        <v>4345</v>
      </c>
      <c r="P363" s="252" t="s">
        <v>3690</v>
      </c>
      <c r="W363" s="252" t="s">
        <v>2017</v>
      </c>
      <c r="X363" s="252" t="s">
        <v>3419</v>
      </c>
      <c r="Y363" s="252" t="s">
        <v>3684</v>
      </c>
      <c r="AA363" s="266" t="s">
        <v>2276</v>
      </c>
      <c r="AB363" s="266" t="s">
        <v>2242</v>
      </c>
      <c r="AD363" s="266" t="s">
        <v>2324</v>
      </c>
      <c r="AE363" s="266" t="s">
        <v>2179</v>
      </c>
      <c r="AF363" s="266" t="s">
        <v>3695</v>
      </c>
      <c r="AG363" s="266" t="s">
        <v>4342</v>
      </c>
      <c r="AI363" s="266" t="s">
        <v>3692</v>
      </c>
    </row>
    <row r="364" spans="1:35" x14ac:dyDescent="0.25">
      <c r="A364" s="264" t="str">
        <f>HLOOKUP(Overview!$P$8,$B$1:$AI$1500,364,FALSE)</f>
        <v xml:space="preserve">          10120690</v>
      </c>
      <c r="B364" s="252"/>
      <c r="C364" s="183">
        <v>20028107</v>
      </c>
      <c r="D364" s="287" t="s">
        <v>3677</v>
      </c>
      <c r="E364" s="264" t="s">
        <v>2382</v>
      </c>
      <c r="F364" s="264" t="s">
        <v>4344</v>
      </c>
      <c r="G364" s="264" t="s">
        <v>2251</v>
      </c>
      <c r="I364" s="264" t="s">
        <v>3415</v>
      </c>
      <c r="J364" s="264" t="s">
        <v>3682</v>
      </c>
      <c r="P364" s="264" t="s">
        <v>3596</v>
      </c>
      <c r="W364" s="264" t="s">
        <v>4275</v>
      </c>
      <c r="X364" s="264" t="s">
        <v>3695</v>
      </c>
      <c r="Y364" s="264" t="s">
        <v>3685</v>
      </c>
      <c r="AA364" s="265" t="s">
        <v>2377</v>
      </c>
      <c r="AB364" s="265" t="s">
        <v>2288</v>
      </c>
      <c r="AD364" s="265" t="s">
        <v>2242</v>
      </c>
      <c r="AE364" s="265" t="s">
        <v>2225</v>
      </c>
      <c r="AF364" s="265" t="s">
        <v>3897</v>
      </c>
      <c r="AG364" s="265" t="s">
        <v>4338</v>
      </c>
      <c r="AI364" s="265" t="s">
        <v>3693</v>
      </c>
    </row>
    <row r="365" spans="1:35" x14ac:dyDescent="0.25">
      <c r="A365" s="264" t="str">
        <f>HLOOKUP(Overview!$P$8,$B$1:$AI$1500,365,FALSE)</f>
        <v xml:space="preserve">          10126463</v>
      </c>
      <c r="B365" s="252"/>
      <c r="C365" s="183">
        <v>20028116</v>
      </c>
      <c r="D365" s="288" t="s">
        <v>4516</v>
      </c>
      <c r="E365" s="252" t="s">
        <v>3628</v>
      </c>
      <c r="F365" s="252" t="s">
        <v>2401</v>
      </c>
      <c r="G365" s="252" t="s">
        <v>4357</v>
      </c>
      <c r="I365" s="252" t="s">
        <v>3513</v>
      </c>
      <c r="J365" s="252" t="s">
        <v>3683</v>
      </c>
      <c r="P365" s="252" t="s">
        <v>3692</v>
      </c>
      <c r="W365" s="252" t="s">
        <v>2410</v>
      </c>
      <c r="X365" s="252" t="s">
        <v>3897</v>
      </c>
      <c r="Y365" s="252" t="s">
        <v>4341</v>
      </c>
      <c r="AA365" s="266" t="s">
        <v>2301</v>
      </c>
      <c r="AB365" s="266" t="s">
        <v>4358</v>
      </c>
      <c r="AD365" s="266" t="s">
        <v>2288</v>
      </c>
      <c r="AE365" s="266" t="s">
        <v>2298</v>
      </c>
      <c r="AG365" s="266" t="s">
        <v>2159</v>
      </c>
      <c r="AI365" s="266" t="s">
        <v>3694</v>
      </c>
    </row>
    <row r="366" spans="1:35" x14ac:dyDescent="0.25">
      <c r="A366" s="264" t="str">
        <f>HLOOKUP(Overview!$P$8,$B$1:$AI$1500,366,FALSE)</f>
        <v xml:space="preserve">          10126465</v>
      </c>
      <c r="B366" s="252"/>
      <c r="C366" s="183">
        <v>20028109</v>
      </c>
      <c r="D366" s="287" t="s">
        <v>4517</v>
      </c>
      <c r="E366" s="264" t="s">
        <v>2124</v>
      </c>
      <c r="F366" s="264" t="s">
        <v>2159</v>
      </c>
      <c r="G366" s="264" t="s">
        <v>2352</v>
      </c>
      <c r="I366" s="264" t="s">
        <v>3419</v>
      </c>
      <c r="J366" s="264" t="s">
        <v>3684</v>
      </c>
      <c r="P366" s="264" t="s">
        <v>3693</v>
      </c>
      <c r="W366" s="264" t="s">
        <v>2251</v>
      </c>
      <c r="Y366" s="264" t="s">
        <v>4342</v>
      </c>
      <c r="AA366" s="265" t="s">
        <v>2179</v>
      </c>
      <c r="AB366" s="265" t="s">
        <v>3686</v>
      </c>
      <c r="AD366" s="265" t="s">
        <v>3686</v>
      </c>
      <c r="AE366" s="265" t="s">
        <v>2289</v>
      </c>
      <c r="AG366" s="265" t="s">
        <v>2013</v>
      </c>
      <c r="AI366" s="265" t="s">
        <v>3515</v>
      </c>
    </row>
    <row r="367" spans="1:35" x14ac:dyDescent="0.25">
      <c r="A367" s="264" t="str">
        <f>HLOOKUP(Overview!$P$8,$B$1:$AI$1500,367,FALSE)</f>
        <v xml:space="preserve">          10127617</v>
      </c>
      <c r="B367" s="252"/>
      <c r="C367" s="183">
        <v>10000856</v>
      </c>
      <c r="D367" s="288" t="s">
        <v>4518</v>
      </c>
      <c r="E367" s="252" t="s">
        <v>2070</v>
      </c>
      <c r="F367" s="252" t="s">
        <v>2013</v>
      </c>
      <c r="G367" s="252" t="s">
        <v>2102</v>
      </c>
      <c r="I367" s="252" t="s">
        <v>3695</v>
      </c>
      <c r="J367" s="252" t="s">
        <v>3685</v>
      </c>
      <c r="P367" s="252" t="s">
        <v>3694</v>
      </c>
      <c r="W367" s="252" t="s">
        <v>2102</v>
      </c>
      <c r="Y367" s="252" t="s">
        <v>4338</v>
      </c>
      <c r="AA367" s="266" t="s">
        <v>2225</v>
      </c>
      <c r="AB367" s="266" t="s">
        <v>3687</v>
      </c>
      <c r="AD367" s="266" t="s">
        <v>3687</v>
      </c>
      <c r="AE367" s="266" t="s">
        <v>2336</v>
      </c>
      <c r="AG367" s="266" t="s">
        <v>2111</v>
      </c>
      <c r="AI367" s="266" t="s">
        <v>3516</v>
      </c>
    </row>
    <row r="368" spans="1:35" x14ac:dyDescent="0.25">
      <c r="A368" s="264" t="str">
        <f>HLOOKUP(Overview!$P$8,$B$1:$AI$1500,368,FALSE)</f>
        <v xml:space="preserve">          10127619</v>
      </c>
      <c r="B368" s="252"/>
      <c r="C368" s="183">
        <v>10000187</v>
      </c>
      <c r="D368" s="287" t="s">
        <v>4519</v>
      </c>
      <c r="E368" s="264" t="s">
        <v>4313</v>
      </c>
      <c r="F368" s="264" t="s">
        <v>2111</v>
      </c>
      <c r="G368" s="264" t="s">
        <v>2270</v>
      </c>
      <c r="I368" s="264" t="s">
        <v>3897</v>
      </c>
      <c r="J368" s="264" t="s">
        <v>4341</v>
      </c>
      <c r="P368" s="264" t="s">
        <v>3515</v>
      </c>
      <c r="W368" s="264" t="s">
        <v>2270</v>
      </c>
      <c r="Y368" s="264" t="s">
        <v>4344</v>
      </c>
      <c r="AA368" s="265" t="s">
        <v>2298</v>
      </c>
      <c r="AB368" s="265" t="s">
        <v>3688</v>
      </c>
      <c r="AD368" s="265" t="s">
        <v>3688</v>
      </c>
      <c r="AE368" s="265" t="s">
        <v>2350</v>
      </c>
      <c r="AG368" s="265" t="s">
        <v>2282</v>
      </c>
      <c r="AI368" s="265" t="s">
        <v>3423</v>
      </c>
    </row>
    <row r="369" spans="1:35" x14ac:dyDescent="0.25">
      <c r="A369" s="264" t="str">
        <f>HLOOKUP(Overview!$P$8,$B$1:$AI$1500,369,FALSE)</f>
        <v xml:space="preserve">          10132995</v>
      </c>
      <c r="B369" s="252"/>
      <c r="C369" s="183">
        <v>10117325</v>
      </c>
      <c r="D369" s="288" t="s">
        <v>4520</v>
      </c>
      <c r="E369" s="252" t="s">
        <v>2418</v>
      </c>
      <c r="F369" s="252" t="s">
        <v>2282</v>
      </c>
      <c r="G369" s="252" t="s">
        <v>2213</v>
      </c>
      <c r="J369" s="252" t="s">
        <v>4342</v>
      </c>
      <c r="P369" s="252" t="s">
        <v>3516</v>
      </c>
      <c r="W369" s="252" t="s">
        <v>2213</v>
      </c>
      <c r="Y369" s="252" t="s">
        <v>4343</v>
      </c>
      <c r="AA369" s="266" t="s">
        <v>2289</v>
      </c>
      <c r="AB369" s="266" t="s">
        <v>3689</v>
      </c>
      <c r="AD369" s="266" t="s">
        <v>3689</v>
      </c>
      <c r="AE369" s="266" t="s">
        <v>2279</v>
      </c>
      <c r="AG369" s="266" t="s">
        <v>2348</v>
      </c>
      <c r="AI369" s="266" t="s">
        <v>3518</v>
      </c>
    </row>
    <row r="370" spans="1:35" x14ac:dyDescent="0.25">
      <c r="A370" s="264" t="str">
        <f>HLOOKUP(Overview!$P$8,$B$1:$AI$1500,370,FALSE)</f>
        <v xml:space="preserve">          10133986</v>
      </c>
      <c r="B370" s="252"/>
      <c r="C370" s="183">
        <v>10001043</v>
      </c>
      <c r="D370" s="287" t="s">
        <v>4521</v>
      </c>
      <c r="E370" s="264" t="s">
        <v>4281</v>
      </c>
      <c r="F370" s="264" t="s">
        <v>2348</v>
      </c>
      <c r="G370" s="264" t="s">
        <v>2173</v>
      </c>
      <c r="J370" s="264" t="s">
        <v>4338</v>
      </c>
      <c r="P370" s="264" t="s">
        <v>3423</v>
      </c>
      <c r="W370" s="264" t="s">
        <v>2173</v>
      </c>
      <c r="Y370" s="264" t="s">
        <v>2159</v>
      </c>
      <c r="AA370" s="265" t="s">
        <v>2336</v>
      </c>
      <c r="AB370" s="265" t="s">
        <v>2354</v>
      </c>
      <c r="AD370" s="265" t="s">
        <v>2354</v>
      </c>
      <c r="AE370" s="265" t="s">
        <v>2324</v>
      </c>
      <c r="AG370" s="265" t="s">
        <v>2123</v>
      </c>
      <c r="AI370" s="265" t="s">
        <v>3519</v>
      </c>
    </row>
    <row r="371" spans="1:35" x14ac:dyDescent="0.25">
      <c r="A371" s="264" t="str">
        <f>HLOOKUP(Overview!$P$8,$B$1:$AI$1500,371,FALSE)</f>
        <v xml:space="preserve">          20027687</v>
      </c>
      <c r="B371" s="252"/>
      <c r="C371" s="183">
        <v>10000051</v>
      </c>
      <c r="D371" s="288" t="s">
        <v>3686</v>
      </c>
      <c r="E371" s="252" t="s">
        <v>4286</v>
      </c>
      <c r="F371" s="252" t="s">
        <v>2123</v>
      </c>
      <c r="G371" s="252" t="s">
        <v>2212</v>
      </c>
      <c r="J371" s="252" t="s">
        <v>4344</v>
      </c>
      <c r="P371" s="252" t="s">
        <v>3521</v>
      </c>
      <c r="W371" s="252" t="s">
        <v>2212</v>
      </c>
      <c r="Y371" s="252" t="s">
        <v>2013</v>
      </c>
      <c r="AA371" s="266" t="s">
        <v>2375</v>
      </c>
      <c r="AB371" s="266" t="s">
        <v>2356</v>
      </c>
      <c r="AD371" s="266" t="s">
        <v>2356</v>
      </c>
      <c r="AE371" s="266" t="s">
        <v>2242</v>
      </c>
      <c r="AG371" s="266" t="s">
        <v>2223</v>
      </c>
      <c r="AI371" s="266" t="s">
        <v>3415</v>
      </c>
    </row>
    <row r="372" spans="1:35" x14ac:dyDescent="0.25">
      <c r="A372" s="264" t="str">
        <f>HLOOKUP(Overview!$P$8,$B$1:$AI$1500,372,FALSE)</f>
        <v xml:space="preserve">          20027688</v>
      </c>
      <c r="B372" s="252"/>
      <c r="C372" s="183">
        <v>10002746</v>
      </c>
      <c r="D372" s="287" t="s">
        <v>3687</v>
      </c>
      <c r="E372" s="264" t="s">
        <v>4295</v>
      </c>
      <c r="F372" s="264" t="s">
        <v>2223</v>
      </c>
      <c r="G372" s="264" t="s">
        <v>2257</v>
      </c>
      <c r="J372" s="264" t="s">
        <v>4343</v>
      </c>
      <c r="P372" s="264" t="s">
        <v>3415</v>
      </c>
      <c r="W372" s="264" t="s">
        <v>2257</v>
      </c>
      <c r="Y372" s="264" t="s">
        <v>2111</v>
      </c>
      <c r="AA372" s="265" t="s">
        <v>2350</v>
      </c>
      <c r="AB372" s="265" t="s">
        <v>2344</v>
      </c>
      <c r="AD372" s="265" t="s">
        <v>2344</v>
      </c>
      <c r="AE372" s="265" t="s">
        <v>2288</v>
      </c>
      <c r="AG372" s="265" t="s">
        <v>2017</v>
      </c>
      <c r="AI372" s="265" t="s">
        <v>3513</v>
      </c>
    </row>
    <row r="373" spans="1:35" x14ac:dyDescent="0.25">
      <c r="A373" s="264" t="str">
        <f>HLOOKUP(Overview!$P$8,$B$1:$AI$1500,373,FALSE)</f>
        <v xml:space="preserve">          20027689</v>
      </c>
      <c r="B373" s="252"/>
      <c r="C373" s="183">
        <v>10000777</v>
      </c>
      <c r="D373" s="288" t="s">
        <v>3688</v>
      </c>
      <c r="E373" s="252" t="s">
        <v>4287</v>
      </c>
      <c r="F373" s="252" t="s">
        <v>2017</v>
      </c>
      <c r="G373" s="252" t="s">
        <v>2392</v>
      </c>
      <c r="J373" s="252" t="s">
        <v>2159</v>
      </c>
      <c r="P373" s="252" t="s">
        <v>3513</v>
      </c>
      <c r="W373" s="252" t="s">
        <v>2370</v>
      </c>
      <c r="Y373" s="252" t="s">
        <v>2282</v>
      </c>
      <c r="AA373" s="266" t="s">
        <v>2279</v>
      </c>
      <c r="AB373" s="266" t="s">
        <v>2394</v>
      </c>
      <c r="AD373" s="266" t="s">
        <v>2394</v>
      </c>
      <c r="AE373" s="266" t="s">
        <v>3686</v>
      </c>
      <c r="AG373" s="266" t="s">
        <v>2251</v>
      </c>
      <c r="AI373" s="266" t="s">
        <v>3419</v>
      </c>
    </row>
    <row r="374" spans="1:35" x14ac:dyDescent="0.25">
      <c r="A374" s="264" t="str">
        <f>HLOOKUP(Overview!$P$8,$B$1:$AI$1500,374,FALSE)</f>
        <v xml:space="preserve">          20027690</v>
      </c>
      <c r="B374" s="252"/>
      <c r="C374" s="183">
        <v>10028020</v>
      </c>
      <c r="D374" s="287" t="s">
        <v>3689</v>
      </c>
      <c r="E374" s="264" t="s">
        <v>4288</v>
      </c>
      <c r="F374" s="264" t="s">
        <v>2410</v>
      </c>
      <c r="G374" s="264" t="s">
        <v>2370</v>
      </c>
      <c r="J374" s="264" t="s">
        <v>2013</v>
      </c>
      <c r="P374" s="264" t="s">
        <v>3419</v>
      </c>
      <c r="W374" s="264" t="s">
        <v>2327</v>
      </c>
      <c r="Y374" s="264" t="s">
        <v>2348</v>
      </c>
      <c r="AA374" s="265" t="s">
        <v>2324</v>
      </c>
      <c r="AB374" s="265" t="s">
        <v>3512</v>
      </c>
      <c r="AD374" s="265" t="s">
        <v>3512</v>
      </c>
      <c r="AE374" s="265" t="s">
        <v>3687</v>
      </c>
      <c r="AG374" s="265" t="s">
        <v>2102</v>
      </c>
      <c r="AI374" s="265" t="s">
        <v>3695</v>
      </c>
    </row>
    <row r="375" spans="1:35" x14ac:dyDescent="0.25">
      <c r="A375" s="264" t="str">
        <f>HLOOKUP(Overview!$P$8,$B$1:$AI$1500,375,FALSE)</f>
        <v xml:space="preserve">          20028108</v>
      </c>
      <c r="B375" s="252"/>
      <c r="C375" s="183">
        <v>10087170</v>
      </c>
      <c r="D375" s="288" t="s">
        <v>3889</v>
      </c>
      <c r="E375" s="252" t="s">
        <v>2178</v>
      </c>
      <c r="F375" s="252" t="s">
        <v>2251</v>
      </c>
      <c r="G375" s="252" t="s">
        <v>2327</v>
      </c>
      <c r="J375" s="252" t="s">
        <v>2111</v>
      </c>
      <c r="P375" s="252" t="s">
        <v>3695</v>
      </c>
      <c r="W375" s="252" t="s">
        <v>2315</v>
      </c>
      <c r="Y375" s="252" t="s">
        <v>2123</v>
      </c>
      <c r="AA375" s="266" t="s">
        <v>2242</v>
      </c>
      <c r="AB375" s="266" t="s">
        <v>3421</v>
      </c>
      <c r="AD375" s="266" t="s">
        <v>3421</v>
      </c>
      <c r="AE375" s="266" t="s">
        <v>3688</v>
      </c>
      <c r="AG375" s="266" t="s">
        <v>2270</v>
      </c>
      <c r="AI375" s="266" t="s">
        <v>3897</v>
      </c>
    </row>
    <row r="376" spans="1:35" x14ac:dyDescent="0.25">
      <c r="A376" s="264" t="str">
        <f>HLOOKUP(Overview!$P$8,$B$1:$AI$1500,376,FALSE)</f>
        <v xml:space="preserve">          20028269</v>
      </c>
      <c r="B376" s="252"/>
      <c r="C376" s="183">
        <v>10087170</v>
      </c>
      <c r="D376" s="287" t="s">
        <v>3692</v>
      </c>
      <c r="E376" s="264" t="s">
        <v>2325</v>
      </c>
      <c r="F376" s="264" t="s">
        <v>2102</v>
      </c>
      <c r="G376" s="264" t="s">
        <v>2315</v>
      </c>
      <c r="J376" s="264" t="s">
        <v>2282</v>
      </c>
      <c r="P376" s="264" t="s">
        <v>3897</v>
      </c>
      <c r="W376" s="264" t="s">
        <v>2420</v>
      </c>
      <c r="Y376" s="264" t="s">
        <v>2223</v>
      </c>
      <c r="AA376" s="265" t="s">
        <v>2288</v>
      </c>
      <c r="AB376" s="265" t="s">
        <v>3417</v>
      </c>
      <c r="AD376" s="265" t="s">
        <v>3417</v>
      </c>
      <c r="AE376" s="265" t="s">
        <v>3689</v>
      </c>
      <c r="AG376" s="265" t="s">
        <v>2213</v>
      </c>
    </row>
    <row r="377" spans="1:35" x14ac:dyDescent="0.25">
      <c r="A377" s="264" t="str">
        <f>HLOOKUP(Overview!$P$8,$B$1:$AI$1500,377,FALSE)</f>
        <v xml:space="preserve">          20028270</v>
      </c>
      <c r="B377" s="252"/>
      <c r="C377" s="183">
        <v>10087166</v>
      </c>
      <c r="D377" s="288" t="s">
        <v>3693</v>
      </c>
      <c r="E377" s="252" t="s">
        <v>2380</v>
      </c>
      <c r="F377" s="252" t="s">
        <v>2270</v>
      </c>
      <c r="G377" s="252" t="s">
        <v>2276</v>
      </c>
      <c r="J377" s="252" t="s">
        <v>2123</v>
      </c>
      <c r="W377" s="252" t="s">
        <v>2276</v>
      </c>
      <c r="Y377" s="252" t="s">
        <v>2017</v>
      </c>
      <c r="AA377" s="266" t="s">
        <v>3686</v>
      </c>
      <c r="AB377" s="266" t="s">
        <v>3510</v>
      </c>
      <c r="AD377" s="266" t="s">
        <v>3510</v>
      </c>
      <c r="AE377" s="266" t="s">
        <v>2354</v>
      </c>
      <c r="AG377" s="266" t="s">
        <v>2173</v>
      </c>
    </row>
    <row r="378" spans="1:35" x14ac:dyDescent="0.25">
      <c r="A378" s="264" t="str">
        <f>HLOOKUP(Overview!$P$8,$B$1:$AI$1500,378,FALSE)</f>
        <v xml:space="preserve">          20028271</v>
      </c>
      <c r="B378" s="252"/>
      <c r="C378" s="183">
        <v>10087166</v>
      </c>
      <c r="D378" s="287" t="s">
        <v>3694</v>
      </c>
      <c r="E378" s="264" t="s">
        <v>2156</v>
      </c>
      <c r="F378" s="264" t="s">
        <v>2213</v>
      </c>
      <c r="G378" s="264" t="s">
        <v>2377</v>
      </c>
      <c r="J378" s="264" t="s">
        <v>2223</v>
      </c>
      <c r="W378" s="264" t="s">
        <v>2301</v>
      </c>
      <c r="Y378" s="264" t="s">
        <v>2410</v>
      </c>
      <c r="AA378" s="265" t="s">
        <v>3687</v>
      </c>
      <c r="AB378" s="265" t="s">
        <v>3891</v>
      </c>
      <c r="AD378" s="265" t="s">
        <v>3891</v>
      </c>
      <c r="AE378" s="265" t="s">
        <v>2356</v>
      </c>
      <c r="AG378" s="265" t="s">
        <v>2212</v>
      </c>
    </row>
    <row r="379" spans="1:35" x14ac:dyDescent="0.25">
      <c r="A379" s="264" t="str">
        <f>HLOOKUP(Overview!$P$8,$B$1:$AI$1500,379,FALSE)</f>
        <v xml:space="preserve">          20028256</v>
      </c>
      <c r="B379" s="252"/>
      <c r="C379" s="183">
        <v>10087167</v>
      </c>
      <c r="D379" s="288" t="s">
        <v>3899</v>
      </c>
      <c r="E379" s="252" t="s">
        <v>2266</v>
      </c>
      <c r="F379" s="252" t="s">
        <v>2173</v>
      </c>
      <c r="G379" s="252" t="s">
        <v>2301</v>
      </c>
      <c r="J379" s="252" t="s">
        <v>2017</v>
      </c>
      <c r="W379" s="252" t="s">
        <v>2179</v>
      </c>
      <c r="Y379" s="252" t="s">
        <v>2251</v>
      </c>
      <c r="AA379" s="266" t="s">
        <v>3688</v>
      </c>
      <c r="AB379" s="266" t="s">
        <v>3885</v>
      </c>
      <c r="AD379" s="266" t="s">
        <v>3885</v>
      </c>
      <c r="AE379" s="266" t="s">
        <v>2344</v>
      </c>
      <c r="AG379" s="266" t="s">
        <v>2257</v>
      </c>
    </row>
    <row r="380" spans="1:35" x14ac:dyDescent="0.25">
      <c r="A380" s="264" t="str">
        <f>HLOOKUP(Overview!$P$8,$B$1:$AI$1500,380,FALSE)</f>
        <v xml:space="preserve">          20028257</v>
      </c>
      <c r="B380" s="252"/>
      <c r="C380" s="263">
        <v>10087167</v>
      </c>
      <c r="D380" s="287" t="s">
        <v>3894</v>
      </c>
      <c r="E380" s="264" t="s">
        <v>2239</v>
      </c>
      <c r="F380" s="264" t="s">
        <v>2212</v>
      </c>
      <c r="G380" s="264" t="s">
        <v>2179</v>
      </c>
      <c r="J380" s="264" t="s">
        <v>4318</v>
      </c>
      <c r="W380" s="264" t="s">
        <v>2225</v>
      </c>
      <c r="Y380" s="264" t="s">
        <v>2102</v>
      </c>
      <c r="AA380" s="265" t="s">
        <v>3689</v>
      </c>
      <c r="AB380" s="265" t="s">
        <v>3886</v>
      </c>
      <c r="AD380" s="265" t="s">
        <v>3886</v>
      </c>
      <c r="AE380" s="265" t="s">
        <v>2394</v>
      </c>
      <c r="AG380" s="265" t="s">
        <v>2370</v>
      </c>
    </row>
    <row r="381" spans="1:35" x14ac:dyDescent="0.25">
      <c r="A381" s="264" t="str">
        <f>HLOOKUP(Overview!$P$8,$B$1:$AI$1500,381,FALSE)</f>
        <v xml:space="preserve">          20028258</v>
      </c>
      <c r="B381" s="252"/>
      <c r="C381" s="183">
        <v>10087164</v>
      </c>
      <c r="D381" s="288" t="s">
        <v>3895</v>
      </c>
      <c r="E381" s="252" t="s">
        <v>1931</v>
      </c>
      <c r="F381" s="252" t="s">
        <v>2257</v>
      </c>
      <c r="G381" s="252" t="s">
        <v>2225</v>
      </c>
      <c r="J381" s="252" t="s">
        <v>4320</v>
      </c>
      <c r="W381" s="252" t="s">
        <v>2298</v>
      </c>
      <c r="Y381" s="252" t="s">
        <v>2270</v>
      </c>
      <c r="AA381" s="266" t="s">
        <v>2354</v>
      </c>
      <c r="AB381" s="266" t="s">
        <v>3889</v>
      </c>
      <c r="AD381" s="266" t="s">
        <v>3889</v>
      </c>
      <c r="AE381" s="266" t="s">
        <v>3512</v>
      </c>
      <c r="AG381" s="266" t="s">
        <v>2327</v>
      </c>
    </row>
    <row r="382" spans="1:35" x14ac:dyDescent="0.25">
      <c r="A382" s="264" t="str">
        <f>HLOOKUP(Overview!$P$8,$B$1:$AI$1500,382,FALSE)</f>
        <v xml:space="preserve">          10109982</v>
      </c>
      <c r="B382" s="252"/>
      <c r="C382" s="183">
        <v>10087164</v>
      </c>
      <c r="D382" s="287" t="s">
        <v>2153</v>
      </c>
      <c r="E382" s="264" t="s">
        <v>1925</v>
      </c>
      <c r="F382" s="264" t="s">
        <v>2392</v>
      </c>
      <c r="G382" s="264" t="s">
        <v>2298</v>
      </c>
      <c r="J382" s="264" t="s">
        <v>4321</v>
      </c>
      <c r="W382" s="264" t="s">
        <v>2289</v>
      </c>
      <c r="Y382" s="264" t="s">
        <v>2213</v>
      </c>
      <c r="AA382" s="265" t="s">
        <v>2356</v>
      </c>
      <c r="AB382" s="265" t="s">
        <v>3892</v>
      </c>
      <c r="AD382" s="265" t="s">
        <v>3892</v>
      </c>
      <c r="AE382" s="265" t="s">
        <v>3421</v>
      </c>
      <c r="AG382" s="265" t="s">
        <v>2315</v>
      </c>
    </row>
    <row r="383" spans="1:35" x14ac:dyDescent="0.25">
      <c r="A383" s="264" t="str">
        <f>HLOOKUP(Overview!$P$8,$B$1:$AI$1500,383,FALSE)</f>
        <v xml:space="preserve">          10109984</v>
      </c>
      <c r="B383" s="252"/>
      <c r="C383" s="263">
        <v>10087168</v>
      </c>
      <c r="D383" s="288" t="s">
        <v>2064</v>
      </c>
      <c r="E383" s="252" t="s">
        <v>2055</v>
      </c>
      <c r="F383" s="252" t="s">
        <v>2327</v>
      </c>
      <c r="G383" s="252" t="s">
        <v>2289</v>
      </c>
      <c r="J383" s="252" t="s">
        <v>4322</v>
      </c>
      <c r="W383" s="252" t="s">
        <v>2336</v>
      </c>
      <c r="Y383" s="252" t="s">
        <v>2173</v>
      </c>
      <c r="AA383" s="266" t="s">
        <v>2344</v>
      </c>
      <c r="AB383" s="266" t="s">
        <v>3893</v>
      </c>
      <c r="AD383" s="266" t="s">
        <v>3893</v>
      </c>
      <c r="AE383" s="266" t="s">
        <v>3417</v>
      </c>
      <c r="AG383" s="266" t="s">
        <v>2420</v>
      </c>
    </row>
    <row r="384" spans="1:35" x14ac:dyDescent="0.25">
      <c r="A384" s="264" t="str">
        <f>HLOOKUP(Overview!$P$8,$B$1:$AI$1500,384,FALSE)</f>
        <v xml:space="preserve">          10110005</v>
      </c>
      <c r="B384" s="252"/>
      <c r="C384" s="263">
        <v>10087168</v>
      </c>
      <c r="D384" s="287" t="s">
        <v>2127</v>
      </c>
      <c r="E384" s="264" t="s">
        <v>1983</v>
      </c>
      <c r="F384" s="264" t="s">
        <v>2315</v>
      </c>
      <c r="G384" s="264" t="s">
        <v>2336</v>
      </c>
      <c r="J384" s="264" t="s">
        <v>4324</v>
      </c>
      <c r="W384" s="264" t="s">
        <v>2375</v>
      </c>
      <c r="Y384" s="264" t="s">
        <v>2212</v>
      </c>
      <c r="AA384" s="265" t="s">
        <v>2394</v>
      </c>
      <c r="AB384" s="265" t="s">
        <v>3887</v>
      </c>
      <c r="AD384" s="265" t="s">
        <v>3887</v>
      </c>
      <c r="AE384" s="265" t="s">
        <v>3510</v>
      </c>
      <c r="AG384" s="265" t="s">
        <v>2276</v>
      </c>
    </row>
    <row r="385" spans="1:33" x14ac:dyDescent="0.25">
      <c r="A385" s="264" t="str">
        <f>HLOOKUP(Overview!$P$8,$B$1:$AI$1500,385,FALSE)</f>
        <v xml:space="preserve">          10110021</v>
      </c>
      <c r="B385" s="252"/>
      <c r="C385" s="263">
        <v>10087169</v>
      </c>
      <c r="D385" s="288" t="s">
        <v>2236</v>
      </c>
      <c r="E385" s="252" t="s">
        <v>4301</v>
      </c>
      <c r="F385" s="252" t="s">
        <v>2276</v>
      </c>
      <c r="G385" s="252" t="s">
        <v>2375</v>
      </c>
      <c r="J385" s="252" t="s">
        <v>4325</v>
      </c>
      <c r="W385" s="252" t="s">
        <v>2350</v>
      </c>
      <c r="Y385" s="252" t="s">
        <v>2257</v>
      </c>
      <c r="AA385" s="266" t="s">
        <v>3512</v>
      </c>
      <c r="AB385" s="266" t="s">
        <v>3878</v>
      </c>
      <c r="AD385" s="266" t="s">
        <v>3872</v>
      </c>
      <c r="AE385" s="266" t="s">
        <v>3891</v>
      </c>
      <c r="AG385" s="266" t="s">
        <v>2301</v>
      </c>
    </row>
    <row r="386" spans="1:33" x14ac:dyDescent="0.25">
      <c r="A386" s="264" t="str">
        <f>HLOOKUP(Overview!$P$8,$B$1:$AI$1500,386,FALSE)</f>
        <v xml:space="preserve">          10110028</v>
      </c>
      <c r="B386" s="252"/>
      <c r="C386" s="183">
        <v>10087169</v>
      </c>
      <c r="D386" s="287" t="s">
        <v>2194</v>
      </c>
      <c r="E386" s="264" t="s">
        <v>2292</v>
      </c>
      <c r="F386" s="264" t="s">
        <v>2362</v>
      </c>
      <c r="G386" s="264" t="s">
        <v>2350</v>
      </c>
      <c r="J386" s="264" t="s">
        <v>2410</v>
      </c>
      <c r="W386" s="264" t="s">
        <v>2279</v>
      </c>
      <c r="Y386" s="264" t="s">
        <v>2370</v>
      </c>
      <c r="AA386" s="265" t="s">
        <v>3421</v>
      </c>
      <c r="AB386" s="265" t="s">
        <v>3872</v>
      </c>
      <c r="AD386" s="265" t="s">
        <v>3690</v>
      </c>
      <c r="AE386" s="265" t="s">
        <v>3885</v>
      </c>
      <c r="AG386" s="265" t="s">
        <v>2179</v>
      </c>
    </row>
    <row r="387" spans="1:33" x14ac:dyDescent="0.25">
      <c r="A387" s="264" t="str">
        <f>HLOOKUP(Overview!$P$8,$B$1:$AI$1500,387,FALSE)</f>
        <v xml:space="preserve">          10110042</v>
      </c>
      <c r="B387" s="252"/>
      <c r="C387" s="183">
        <v>10087163</v>
      </c>
      <c r="D387" s="288" t="s">
        <v>2166</v>
      </c>
      <c r="E387" s="252" t="s">
        <v>2032</v>
      </c>
      <c r="F387" s="252" t="s">
        <v>2301</v>
      </c>
      <c r="G387" s="252" t="s">
        <v>2279</v>
      </c>
      <c r="J387" s="252" t="s">
        <v>2251</v>
      </c>
      <c r="W387" s="252" t="s">
        <v>2324</v>
      </c>
      <c r="Y387" s="252" t="s">
        <v>2327</v>
      </c>
      <c r="AA387" s="266" t="s">
        <v>3417</v>
      </c>
      <c r="AB387" s="266" t="s">
        <v>3690</v>
      </c>
      <c r="AD387" s="266" t="s">
        <v>3898</v>
      </c>
      <c r="AE387" s="266" t="s">
        <v>3886</v>
      </c>
      <c r="AG387" s="266" t="s">
        <v>2225</v>
      </c>
    </row>
    <row r="388" spans="1:33" x14ac:dyDescent="0.25">
      <c r="A388" s="264" t="str">
        <f>HLOOKUP(Overview!$P$8,$B$1:$AI$1500,388,FALSE)</f>
        <v xml:space="preserve">          10110062</v>
      </c>
      <c r="B388" s="252"/>
      <c r="C388" s="263">
        <v>10087163</v>
      </c>
      <c r="D388" s="287" t="s">
        <v>2240</v>
      </c>
      <c r="E388" s="264" t="s">
        <v>3571</v>
      </c>
      <c r="F388" s="264" t="s">
        <v>2179</v>
      </c>
      <c r="G388" s="264" t="s">
        <v>2324</v>
      </c>
      <c r="J388" s="264" t="s">
        <v>2102</v>
      </c>
      <c r="W388" s="264" t="s">
        <v>2242</v>
      </c>
      <c r="Y388" s="264" t="s">
        <v>2276</v>
      </c>
      <c r="AA388" s="265" t="s">
        <v>3510</v>
      </c>
      <c r="AB388" s="265" t="s">
        <v>3691</v>
      </c>
      <c r="AD388" s="265" t="s">
        <v>3595</v>
      </c>
      <c r="AE388" s="265" t="s">
        <v>3889</v>
      </c>
      <c r="AG388" s="265" t="s">
        <v>2298</v>
      </c>
    </row>
    <row r="389" spans="1:33" x14ac:dyDescent="0.25">
      <c r="A389" s="264" t="str">
        <f>HLOOKUP(Overview!$P$8,$B$1:$AI$1500,389,FALSE)</f>
        <v xml:space="preserve">          10112794</v>
      </c>
      <c r="B389" s="252"/>
      <c r="C389" s="183">
        <v>10087165</v>
      </c>
      <c r="D389" s="288" t="s">
        <v>2295</v>
      </c>
      <c r="E389" s="252" t="s">
        <v>2084</v>
      </c>
      <c r="F389" s="252" t="s">
        <v>2225</v>
      </c>
      <c r="G389" s="252" t="s">
        <v>2242</v>
      </c>
      <c r="J389" s="252" t="s">
        <v>2270</v>
      </c>
      <c r="W389" s="252" t="s">
        <v>2288</v>
      </c>
      <c r="Y389" s="252" t="s">
        <v>2301</v>
      </c>
      <c r="AA389" s="266" t="s">
        <v>3891</v>
      </c>
      <c r="AB389" s="266" t="s">
        <v>3595</v>
      </c>
      <c r="AD389" s="266" t="s">
        <v>3598</v>
      </c>
      <c r="AE389" s="266" t="s">
        <v>3892</v>
      </c>
      <c r="AG389" s="266" t="s">
        <v>2289</v>
      </c>
    </row>
    <row r="390" spans="1:33" x14ac:dyDescent="0.25">
      <c r="A390" s="264" t="str">
        <f>HLOOKUP(Overview!$P$8,$B$1:$AI$1500,390,FALSE)</f>
        <v xml:space="preserve">          10112795</v>
      </c>
      <c r="B390" s="252"/>
      <c r="C390" s="183">
        <v>10087165</v>
      </c>
      <c r="D390" s="287" t="s">
        <v>2321</v>
      </c>
      <c r="E390" s="264" t="s">
        <v>2238</v>
      </c>
      <c r="F390" s="264" t="s">
        <v>2298</v>
      </c>
      <c r="G390" s="264" t="s">
        <v>2288</v>
      </c>
      <c r="J390" s="264" t="s">
        <v>2213</v>
      </c>
      <c r="W390" s="264" t="s">
        <v>3586</v>
      </c>
      <c r="Y390" s="264" t="s">
        <v>2179</v>
      </c>
      <c r="AA390" s="265" t="s">
        <v>3885</v>
      </c>
      <c r="AB390" s="265" t="s">
        <v>3894</v>
      </c>
      <c r="AD390" s="265" t="s">
        <v>3899</v>
      </c>
      <c r="AE390" s="265" t="s">
        <v>3893</v>
      </c>
      <c r="AG390" s="265" t="s">
        <v>2336</v>
      </c>
    </row>
    <row r="391" spans="1:33" x14ac:dyDescent="0.25">
      <c r="A391" s="264" t="str">
        <f>HLOOKUP(Overview!$P$8,$B$1:$AI$1500,391,FALSE)</f>
        <v xml:space="preserve">          10112796</v>
      </c>
      <c r="B391" s="252"/>
      <c r="C391" s="183">
        <v>10000874</v>
      </c>
      <c r="D391" s="288" t="s">
        <v>2333</v>
      </c>
      <c r="E391" s="252" t="s">
        <v>4300</v>
      </c>
      <c r="F391" s="252" t="s">
        <v>2289</v>
      </c>
      <c r="G391" s="252" t="s">
        <v>3686</v>
      </c>
      <c r="J391" s="252" t="s">
        <v>2173</v>
      </c>
      <c r="W391" s="252" t="s">
        <v>3686</v>
      </c>
      <c r="Y391" s="252" t="s">
        <v>2225</v>
      </c>
      <c r="AA391" s="266" t="s">
        <v>3886</v>
      </c>
      <c r="AB391" s="266" t="s">
        <v>3895</v>
      </c>
      <c r="AD391" s="266" t="s">
        <v>3894</v>
      </c>
      <c r="AE391" s="266" t="s">
        <v>3872</v>
      </c>
      <c r="AG391" s="266" t="s">
        <v>2375</v>
      </c>
    </row>
    <row r="392" spans="1:33" x14ac:dyDescent="0.25">
      <c r="A392" s="264" t="str">
        <f>HLOOKUP(Overview!$P$8,$B$1:$AI$1500,392,FALSE)</f>
        <v xml:space="preserve">          20028332</v>
      </c>
      <c r="B392" s="252"/>
      <c r="C392" s="183">
        <v>10001049</v>
      </c>
      <c r="D392" s="287" t="s">
        <v>3518</v>
      </c>
      <c r="E392" s="264" t="s">
        <v>2063</v>
      </c>
      <c r="F392" s="264" t="s">
        <v>2336</v>
      </c>
      <c r="G392" s="264" t="s">
        <v>3687</v>
      </c>
      <c r="J392" s="264" t="s">
        <v>2212</v>
      </c>
      <c r="W392" s="264" t="s">
        <v>3687</v>
      </c>
      <c r="Y392" s="264" t="s">
        <v>2298</v>
      </c>
      <c r="AA392" s="265" t="s">
        <v>3889</v>
      </c>
      <c r="AB392" s="265" t="s">
        <v>3692</v>
      </c>
      <c r="AD392" s="265" t="s">
        <v>3895</v>
      </c>
      <c r="AE392" s="265" t="s">
        <v>3690</v>
      </c>
      <c r="AG392" s="265" t="s">
        <v>2350</v>
      </c>
    </row>
    <row r="393" spans="1:33" x14ac:dyDescent="0.25">
      <c r="A393" s="264" t="str">
        <f>HLOOKUP(Overview!$P$8,$B$1:$AI$1500,393,FALSE)</f>
        <v xml:space="preserve">          20028333</v>
      </c>
      <c r="B393" s="252"/>
      <c r="C393" s="183">
        <v>10001389</v>
      </c>
      <c r="D393" s="288" t="s">
        <v>3521</v>
      </c>
      <c r="E393" s="252" t="s">
        <v>2094</v>
      </c>
      <c r="F393" s="252" t="s">
        <v>2375</v>
      </c>
      <c r="G393" s="252" t="s">
        <v>3688</v>
      </c>
      <c r="J393" s="252" t="s">
        <v>2257</v>
      </c>
      <c r="W393" s="252" t="s">
        <v>3688</v>
      </c>
      <c r="Y393" s="252" t="s">
        <v>2289</v>
      </c>
      <c r="AA393" s="266" t="s">
        <v>3892</v>
      </c>
      <c r="AB393" s="266" t="s">
        <v>3693</v>
      </c>
      <c r="AD393" s="266" t="s">
        <v>3692</v>
      </c>
      <c r="AE393" s="266" t="s">
        <v>3898</v>
      </c>
      <c r="AG393" s="266" t="s">
        <v>2279</v>
      </c>
    </row>
    <row r="394" spans="1:33" x14ac:dyDescent="0.25">
      <c r="A394" s="264" t="str">
        <f>HLOOKUP(Overview!$P$8,$B$1:$AI$1500,394,FALSE)</f>
        <v xml:space="preserve">          20000453</v>
      </c>
      <c r="B394" s="252"/>
      <c r="C394" s="183">
        <v>10000857</v>
      </c>
      <c r="D394" s="287" t="s">
        <v>2401</v>
      </c>
      <c r="E394" s="264" t="s">
        <v>2232</v>
      </c>
      <c r="F394" s="264" t="s">
        <v>2350</v>
      </c>
      <c r="G394" s="264" t="s">
        <v>3689</v>
      </c>
      <c r="J394" s="264" t="s">
        <v>2276</v>
      </c>
      <c r="W394" s="264" t="s">
        <v>3689</v>
      </c>
      <c r="Y394" s="264" t="s">
        <v>2336</v>
      </c>
      <c r="AA394" s="265" t="s">
        <v>3893</v>
      </c>
      <c r="AB394" s="265" t="s">
        <v>3694</v>
      </c>
      <c r="AD394" s="265" t="s">
        <v>3693</v>
      </c>
      <c r="AE394" s="265" t="s">
        <v>3691</v>
      </c>
      <c r="AG394" s="265" t="s">
        <v>2324</v>
      </c>
    </row>
    <row r="395" spans="1:33" x14ac:dyDescent="0.25">
      <c r="A395" s="264" t="str">
        <f>HLOOKUP(Overview!$P$8,$B$1:$AI$1500,395,FALSE)</f>
        <v xml:space="preserve">          20028021</v>
      </c>
      <c r="B395" s="252"/>
      <c r="C395" s="183">
        <v>10001699</v>
      </c>
      <c r="D395" s="288" t="s">
        <v>4522</v>
      </c>
      <c r="E395" s="252" t="s">
        <v>2128</v>
      </c>
      <c r="F395" s="252" t="s">
        <v>2279</v>
      </c>
      <c r="G395" s="252" t="s">
        <v>2354</v>
      </c>
      <c r="J395" s="252" t="s">
        <v>2301</v>
      </c>
      <c r="W395" s="252" t="s">
        <v>2354</v>
      </c>
      <c r="Y395" s="252" t="s">
        <v>2375</v>
      </c>
      <c r="AA395" s="266" t="s">
        <v>3887</v>
      </c>
      <c r="AB395" s="266" t="s">
        <v>3515</v>
      </c>
      <c r="AD395" s="266" t="s">
        <v>3694</v>
      </c>
      <c r="AE395" s="266" t="s">
        <v>3595</v>
      </c>
      <c r="AG395" s="266" t="s">
        <v>2242</v>
      </c>
    </row>
    <row r="396" spans="1:33" x14ac:dyDescent="0.25">
      <c r="A396" s="264" t="str">
        <f>HLOOKUP(Overview!$P$8,$B$1:$AI$1500,396,FALSE)</f>
        <v xml:space="preserve">          10114954</v>
      </c>
      <c r="B396" s="252"/>
      <c r="C396" s="183">
        <v>10087790</v>
      </c>
      <c r="D396" s="287" t="s">
        <v>3540</v>
      </c>
      <c r="E396" s="264" t="s">
        <v>2247</v>
      </c>
      <c r="F396" s="264" t="s">
        <v>2324</v>
      </c>
      <c r="G396" s="264" t="s">
        <v>2356</v>
      </c>
      <c r="J396" s="264" t="s">
        <v>2179</v>
      </c>
      <c r="W396" s="264" t="s">
        <v>2356</v>
      </c>
      <c r="Y396" s="264" t="s">
        <v>2350</v>
      </c>
      <c r="AA396" s="265" t="s">
        <v>3878</v>
      </c>
      <c r="AB396" s="265" t="s">
        <v>3516</v>
      </c>
      <c r="AD396" s="265" t="s">
        <v>3515</v>
      </c>
      <c r="AE396" s="265" t="s">
        <v>3598</v>
      </c>
      <c r="AG396" s="265" t="s">
        <v>2288</v>
      </c>
    </row>
    <row r="397" spans="1:33" x14ac:dyDescent="0.25">
      <c r="A397" s="264" t="str">
        <f>HLOOKUP(Overview!$P$8,$B$1:$AI$1500,397,FALSE)</f>
        <v xml:space="preserve">          10114955</v>
      </c>
      <c r="B397" s="252"/>
      <c r="C397" s="183">
        <v>10087780</v>
      </c>
      <c r="D397" s="288" t="s">
        <v>2163</v>
      </c>
      <c r="E397" s="252" t="s">
        <v>2134</v>
      </c>
      <c r="F397" s="252" t="s">
        <v>2242</v>
      </c>
      <c r="G397" s="252" t="s">
        <v>2344</v>
      </c>
      <c r="J397" s="252" t="s">
        <v>2225</v>
      </c>
      <c r="W397" s="252" t="s">
        <v>2344</v>
      </c>
      <c r="Y397" s="252" t="s">
        <v>2279</v>
      </c>
      <c r="AA397" s="266" t="s">
        <v>3872</v>
      </c>
      <c r="AB397" s="266" t="s">
        <v>3423</v>
      </c>
      <c r="AD397" s="266" t="s">
        <v>3516</v>
      </c>
      <c r="AE397" s="266" t="s">
        <v>3692</v>
      </c>
      <c r="AG397" s="266" t="s">
        <v>3686</v>
      </c>
    </row>
    <row r="398" spans="1:33" x14ac:dyDescent="0.25">
      <c r="A398" s="264" t="str">
        <f>HLOOKUP(Overview!$P$8,$B$1:$AI$1500,398,FALSE)</f>
        <v xml:space="preserve">          10114958</v>
      </c>
      <c r="B398" s="252"/>
      <c r="C398" s="183">
        <v>10000865</v>
      </c>
      <c r="D398" s="287" t="s">
        <v>2144</v>
      </c>
      <c r="E398" s="264" t="s">
        <v>3629</v>
      </c>
      <c r="F398" s="264" t="s">
        <v>2288</v>
      </c>
      <c r="G398" s="264" t="s">
        <v>2394</v>
      </c>
      <c r="J398" s="264" t="s">
        <v>2298</v>
      </c>
      <c r="W398" s="264" t="s">
        <v>2394</v>
      </c>
      <c r="Y398" s="264" t="s">
        <v>2324</v>
      </c>
      <c r="AA398" s="265" t="s">
        <v>3690</v>
      </c>
      <c r="AB398" s="265" t="s">
        <v>3518</v>
      </c>
      <c r="AD398" s="265" t="s">
        <v>3423</v>
      </c>
      <c r="AE398" s="265" t="s">
        <v>3693</v>
      </c>
      <c r="AG398" s="265" t="s">
        <v>3687</v>
      </c>
    </row>
    <row r="399" spans="1:33" x14ac:dyDescent="0.25">
      <c r="A399" s="264" t="str">
        <f>HLOOKUP(Overview!$P$8,$B$1:$AI$1500,399,FALSE)</f>
        <v xml:space="preserve">          20028334</v>
      </c>
      <c r="B399" s="252"/>
      <c r="C399" s="183">
        <v>10120635</v>
      </c>
      <c r="D399" s="288" t="s">
        <v>3519</v>
      </c>
      <c r="E399" s="252" t="s">
        <v>4328</v>
      </c>
      <c r="F399" s="252" t="s">
        <v>3686</v>
      </c>
      <c r="G399" s="252" t="s">
        <v>3512</v>
      </c>
      <c r="J399" s="252" t="s">
        <v>2289</v>
      </c>
      <c r="W399" s="252" t="s">
        <v>3512</v>
      </c>
      <c r="Y399" s="252" t="s">
        <v>2242</v>
      </c>
      <c r="AA399" s="266" t="s">
        <v>3898</v>
      </c>
      <c r="AB399" s="266" t="s">
        <v>3521</v>
      </c>
      <c r="AD399" s="266" t="s">
        <v>3518</v>
      </c>
      <c r="AE399" s="266" t="s">
        <v>3694</v>
      </c>
      <c r="AG399" s="266" t="s">
        <v>3688</v>
      </c>
    </row>
    <row r="400" spans="1:33" x14ac:dyDescent="0.25">
      <c r="A400" s="264">
        <f>HLOOKUP(Overview!$P$8,$B$1:$AI$1500,400,FALSE)</f>
        <v>0</v>
      </c>
      <c r="B400" s="252"/>
      <c r="C400" s="183">
        <v>10002012</v>
      </c>
      <c r="E400" s="264" t="s">
        <v>4329</v>
      </c>
      <c r="F400" s="264" t="s">
        <v>3687</v>
      </c>
      <c r="G400" s="264" t="s">
        <v>3421</v>
      </c>
      <c r="J400" s="264" t="s">
        <v>2336</v>
      </c>
      <c r="W400" s="264" t="s">
        <v>3421</v>
      </c>
      <c r="Y400" s="264" t="s">
        <v>2288</v>
      </c>
      <c r="AA400" s="265" t="s">
        <v>3691</v>
      </c>
      <c r="AB400" s="265" t="s">
        <v>3519</v>
      </c>
      <c r="AD400" s="265" t="s">
        <v>3521</v>
      </c>
      <c r="AE400" s="265" t="s">
        <v>3515</v>
      </c>
      <c r="AG400" s="265" t="s">
        <v>3689</v>
      </c>
    </row>
    <row r="401" spans="1:33" x14ac:dyDescent="0.25">
      <c r="A401" s="264">
        <f>HLOOKUP(Overview!$P$8,$B$1:$AI$1500,401,FALSE)</f>
        <v>0</v>
      </c>
      <c r="B401" s="252"/>
      <c r="C401" s="183">
        <v>10002457</v>
      </c>
      <c r="E401" s="252" t="s">
        <v>4331</v>
      </c>
      <c r="F401" s="252" t="s">
        <v>3688</v>
      </c>
      <c r="G401" s="252" t="s">
        <v>3417</v>
      </c>
      <c r="J401" s="252" t="s">
        <v>2350</v>
      </c>
      <c r="W401" s="252" t="s">
        <v>3417</v>
      </c>
      <c r="Y401" s="252" t="s">
        <v>3686</v>
      </c>
      <c r="AA401" s="266" t="s">
        <v>3595</v>
      </c>
      <c r="AB401" s="266" t="s">
        <v>3415</v>
      </c>
      <c r="AD401" s="266" t="s">
        <v>3519</v>
      </c>
      <c r="AE401" s="266" t="s">
        <v>3516</v>
      </c>
      <c r="AG401" s="266" t="s">
        <v>2354</v>
      </c>
    </row>
    <row r="402" spans="1:33" x14ac:dyDescent="0.25">
      <c r="A402" s="264">
        <f>HLOOKUP(Overview!$P$8,$B$1:$AI$1500,402,FALSE)</f>
        <v>0</v>
      </c>
      <c r="B402" s="252"/>
      <c r="C402" s="183">
        <v>10001048</v>
      </c>
      <c r="E402" s="264" t="s">
        <v>4332</v>
      </c>
      <c r="F402" s="264" t="s">
        <v>3689</v>
      </c>
      <c r="G402" s="264" t="s">
        <v>3510</v>
      </c>
      <c r="J402" s="264" t="s">
        <v>2279</v>
      </c>
      <c r="W402" s="264" t="s">
        <v>3510</v>
      </c>
      <c r="Y402" s="264" t="s">
        <v>3687</v>
      </c>
      <c r="AA402" s="265" t="s">
        <v>3598</v>
      </c>
      <c r="AB402" s="265" t="s">
        <v>3513</v>
      </c>
      <c r="AD402" s="265" t="s">
        <v>3415</v>
      </c>
      <c r="AE402" s="265" t="s">
        <v>3423</v>
      </c>
      <c r="AG402" s="265" t="s">
        <v>2356</v>
      </c>
    </row>
    <row r="403" spans="1:33" x14ac:dyDescent="0.25">
      <c r="A403" s="264">
        <f>HLOOKUP(Overview!$P$8,$B$1:$AI$1500,403,FALSE)</f>
        <v>0</v>
      </c>
      <c r="B403" s="252"/>
      <c r="C403" s="183">
        <v>10000228</v>
      </c>
      <c r="E403" s="252" t="s">
        <v>4333</v>
      </c>
      <c r="F403" s="252" t="s">
        <v>2354</v>
      </c>
      <c r="G403" s="252" t="s">
        <v>3891</v>
      </c>
      <c r="J403" s="252" t="s">
        <v>2288</v>
      </c>
      <c r="W403" s="252" t="s">
        <v>3891</v>
      </c>
      <c r="Y403" s="252" t="s">
        <v>3688</v>
      </c>
      <c r="AA403" s="266" t="s">
        <v>3596</v>
      </c>
      <c r="AB403" s="266" t="s">
        <v>3419</v>
      </c>
      <c r="AD403" s="266" t="s">
        <v>3513</v>
      </c>
      <c r="AE403" s="266" t="s">
        <v>3518</v>
      </c>
      <c r="AG403" s="266" t="s">
        <v>2344</v>
      </c>
    </row>
    <row r="404" spans="1:33" x14ac:dyDescent="0.25">
      <c r="A404" s="264">
        <f>HLOOKUP(Overview!$P$8,$B$1:$AI$1500,404,FALSE)</f>
        <v>0</v>
      </c>
      <c r="B404" s="252"/>
      <c r="C404" s="183">
        <v>10001617</v>
      </c>
      <c r="E404" s="264" t="s">
        <v>4334</v>
      </c>
      <c r="F404" s="264" t="s">
        <v>2356</v>
      </c>
      <c r="G404" s="264" t="s">
        <v>3885</v>
      </c>
      <c r="J404" s="264" t="s">
        <v>3686</v>
      </c>
      <c r="W404" s="264" t="s">
        <v>3885</v>
      </c>
      <c r="Y404" s="264" t="s">
        <v>3689</v>
      </c>
      <c r="AA404" s="265" t="s">
        <v>3894</v>
      </c>
      <c r="AB404" s="265" t="s">
        <v>3695</v>
      </c>
      <c r="AD404" s="265" t="s">
        <v>3419</v>
      </c>
      <c r="AE404" s="265" t="s">
        <v>3521</v>
      </c>
      <c r="AG404" s="265" t="s">
        <v>2394</v>
      </c>
    </row>
    <row r="405" spans="1:33" x14ac:dyDescent="0.25">
      <c r="A405" s="264">
        <f>HLOOKUP(Overview!$P$8,$B$1:$AI$1500,405,FALSE)</f>
        <v>0</v>
      </c>
      <c r="B405" s="252"/>
      <c r="C405" s="183">
        <v>10000790</v>
      </c>
      <c r="E405" s="252" t="s">
        <v>1938</v>
      </c>
      <c r="F405" s="252" t="s">
        <v>2344</v>
      </c>
      <c r="G405" s="252" t="s">
        <v>3886</v>
      </c>
      <c r="J405" s="252" t="s">
        <v>3687</v>
      </c>
      <c r="W405" s="252" t="s">
        <v>3886</v>
      </c>
      <c r="Y405" s="252" t="s">
        <v>2354</v>
      </c>
      <c r="AA405" s="266" t="s">
        <v>3895</v>
      </c>
      <c r="AD405" s="266" t="s">
        <v>3695</v>
      </c>
      <c r="AE405" s="266" t="s">
        <v>3519</v>
      </c>
      <c r="AG405" s="266" t="s">
        <v>3512</v>
      </c>
    </row>
    <row r="406" spans="1:33" x14ac:dyDescent="0.25">
      <c r="A406" s="264">
        <f>HLOOKUP(Overview!$P$8,$B$1:$AI$1500,406,FALSE)</f>
        <v>0</v>
      </c>
      <c r="B406" s="252"/>
      <c r="C406" s="183">
        <v>10000012</v>
      </c>
      <c r="E406" s="264" t="s">
        <v>2029</v>
      </c>
      <c r="F406" s="264" t="s">
        <v>2394</v>
      </c>
      <c r="G406" s="264" t="s">
        <v>3889</v>
      </c>
      <c r="J406" s="264" t="s">
        <v>3688</v>
      </c>
      <c r="W406" s="264" t="s">
        <v>3889</v>
      </c>
      <c r="Y406" s="264" t="s">
        <v>2356</v>
      </c>
      <c r="AA406" s="265" t="s">
        <v>3692</v>
      </c>
      <c r="AE406" s="265" t="s">
        <v>3415</v>
      </c>
      <c r="AG406" s="265" t="s">
        <v>3421</v>
      </c>
    </row>
    <row r="407" spans="1:33" x14ac:dyDescent="0.25">
      <c r="A407" s="264">
        <f>HLOOKUP(Overview!$P$8,$B$1:$AI$1500,407,FALSE)</f>
        <v>0</v>
      </c>
      <c r="B407" s="252"/>
      <c r="C407" s="183">
        <v>10002285</v>
      </c>
      <c r="E407" s="252" t="s">
        <v>3664</v>
      </c>
      <c r="F407" s="252" t="s">
        <v>3512</v>
      </c>
      <c r="G407" s="252" t="s">
        <v>3892</v>
      </c>
      <c r="J407" s="252" t="s">
        <v>3689</v>
      </c>
      <c r="W407" s="252" t="s">
        <v>3892</v>
      </c>
      <c r="Y407" s="252" t="s">
        <v>2344</v>
      </c>
      <c r="AA407" s="266" t="s">
        <v>3693</v>
      </c>
      <c r="AE407" s="266" t="s">
        <v>3513</v>
      </c>
      <c r="AG407" s="266" t="s">
        <v>3417</v>
      </c>
    </row>
    <row r="408" spans="1:33" x14ac:dyDescent="0.25">
      <c r="A408" s="264">
        <f>HLOOKUP(Overview!$P$8,$B$1:$AI$1500,408,FALSE)</f>
        <v>0</v>
      </c>
      <c r="B408" s="252"/>
      <c r="C408" s="183">
        <v>10002687</v>
      </c>
      <c r="E408" s="264" t="s">
        <v>3665</v>
      </c>
      <c r="F408" s="264" t="s">
        <v>3421</v>
      </c>
      <c r="G408" s="264" t="s">
        <v>3893</v>
      </c>
      <c r="J408" s="264" t="s">
        <v>2354</v>
      </c>
      <c r="W408" s="264" t="s">
        <v>3893</v>
      </c>
      <c r="Y408" s="264" t="s">
        <v>2394</v>
      </c>
      <c r="AA408" s="265" t="s">
        <v>3694</v>
      </c>
      <c r="AE408" s="265" t="s">
        <v>3419</v>
      </c>
      <c r="AG408" s="265" t="s">
        <v>3510</v>
      </c>
    </row>
    <row r="409" spans="1:33" x14ac:dyDescent="0.25">
      <c r="A409" s="264">
        <f>HLOOKUP(Overview!$P$8,$B$1:$AI$1500,409,FALSE)</f>
        <v>0</v>
      </c>
      <c r="B409" s="252"/>
      <c r="C409" s="183">
        <v>10087798</v>
      </c>
      <c r="E409" s="252" t="s">
        <v>2137</v>
      </c>
      <c r="F409" s="252" t="s">
        <v>3417</v>
      </c>
      <c r="G409" s="252" t="s">
        <v>3887</v>
      </c>
      <c r="J409" s="252" t="s">
        <v>2356</v>
      </c>
      <c r="W409" s="252" t="s">
        <v>3887</v>
      </c>
      <c r="Y409" s="252" t="s">
        <v>3512</v>
      </c>
      <c r="AA409" s="266" t="s">
        <v>3515</v>
      </c>
      <c r="AE409" s="266" t="s">
        <v>3695</v>
      </c>
      <c r="AG409" s="266" t="s">
        <v>3891</v>
      </c>
    </row>
    <row r="410" spans="1:33" x14ac:dyDescent="0.25">
      <c r="A410" s="264">
        <f>HLOOKUP(Overview!$P$8,$B$1:$AI$1500,410,FALSE)</f>
        <v>0</v>
      </c>
      <c r="B410" s="252"/>
      <c r="C410" s="183">
        <v>10001700</v>
      </c>
      <c r="E410" s="264" t="s">
        <v>3666</v>
      </c>
      <c r="F410" s="264" t="s">
        <v>3510</v>
      </c>
      <c r="G410" s="264" t="s">
        <v>3878</v>
      </c>
      <c r="J410" s="264" t="s">
        <v>2344</v>
      </c>
      <c r="W410" s="264" t="s">
        <v>3878</v>
      </c>
      <c r="Y410" s="264" t="s">
        <v>3421</v>
      </c>
      <c r="AA410" s="265" t="s">
        <v>3516</v>
      </c>
      <c r="AE410" s="265" t="s">
        <v>3897</v>
      </c>
      <c r="AG410" s="265" t="s">
        <v>3885</v>
      </c>
    </row>
    <row r="411" spans="1:33" x14ac:dyDescent="0.25">
      <c r="A411" s="264">
        <f>HLOOKUP(Overview!$P$8,$B$1:$AI$1500,411,FALSE)</f>
        <v>0</v>
      </c>
      <c r="B411" s="252"/>
      <c r="C411" s="183">
        <v>10120690</v>
      </c>
      <c r="E411" s="252" t="s">
        <v>2228</v>
      </c>
      <c r="F411" s="252" t="s">
        <v>3891</v>
      </c>
      <c r="G411" s="252" t="s">
        <v>3872</v>
      </c>
      <c r="J411" s="252" t="s">
        <v>2394</v>
      </c>
      <c r="W411" s="252" t="s">
        <v>3872</v>
      </c>
      <c r="Y411" s="252" t="s">
        <v>3417</v>
      </c>
      <c r="AA411" s="266" t="s">
        <v>3423</v>
      </c>
      <c r="AG411" s="266" t="s">
        <v>3886</v>
      </c>
    </row>
    <row r="412" spans="1:33" x14ac:dyDescent="0.25">
      <c r="A412" s="264">
        <f>HLOOKUP(Overview!$P$8,$B$1:$AI$1500,412,FALSE)</f>
        <v>0</v>
      </c>
      <c r="B412" s="252"/>
      <c r="C412" s="183">
        <v>10000878</v>
      </c>
      <c r="E412" s="264" t="s">
        <v>2200</v>
      </c>
      <c r="F412" s="264" t="s">
        <v>3885</v>
      </c>
      <c r="G412" s="264" t="s">
        <v>3690</v>
      </c>
      <c r="J412" s="264" t="s">
        <v>3512</v>
      </c>
      <c r="W412" s="264" t="s">
        <v>3690</v>
      </c>
      <c r="Y412" s="264" t="s">
        <v>3510</v>
      </c>
      <c r="AA412" s="265" t="s">
        <v>3518</v>
      </c>
      <c r="AG412" s="265" t="s">
        <v>3889</v>
      </c>
    </row>
    <row r="413" spans="1:33" x14ac:dyDescent="0.25">
      <c r="A413" s="264">
        <f>HLOOKUP(Overview!$P$8,$B$1:$AI$1500,413,FALSE)</f>
        <v>0</v>
      </c>
      <c r="B413" s="252"/>
      <c r="C413" s="183">
        <v>10023856</v>
      </c>
      <c r="E413" s="252" t="s">
        <v>2404</v>
      </c>
      <c r="F413" s="252" t="s">
        <v>3886</v>
      </c>
      <c r="G413" s="252" t="s">
        <v>3898</v>
      </c>
      <c r="J413" s="252" t="s">
        <v>3421</v>
      </c>
      <c r="W413" s="252" t="s">
        <v>3898</v>
      </c>
      <c r="Y413" s="252" t="s">
        <v>3891</v>
      </c>
      <c r="AA413" s="266" t="s">
        <v>3521</v>
      </c>
      <c r="AG413" s="266" t="s">
        <v>3892</v>
      </c>
    </row>
    <row r="414" spans="1:33" x14ac:dyDescent="0.25">
      <c r="A414" s="264">
        <f>HLOOKUP(Overview!$P$8,$B$1:$AI$1500,414,FALSE)</f>
        <v>0</v>
      </c>
      <c r="B414" s="252"/>
      <c r="C414" s="183">
        <v>10000840</v>
      </c>
      <c r="E414" s="264" t="s">
        <v>2252</v>
      </c>
      <c r="F414" s="264" t="s">
        <v>3889</v>
      </c>
      <c r="G414" s="264" t="s">
        <v>3691</v>
      </c>
      <c r="J414" s="264" t="s">
        <v>3417</v>
      </c>
      <c r="W414" s="264" t="s">
        <v>3691</v>
      </c>
      <c r="Y414" s="264" t="s">
        <v>3885</v>
      </c>
      <c r="AA414" s="265" t="s">
        <v>3519</v>
      </c>
      <c r="AG414" s="265" t="s">
        <v>3893</v>
      </c>
    </row>
    <row r="415" spans="1:33" x14ac:dyDescent="0.25">
      <c r="A415" s="264">
        <f>HLOOKUP(Overview!$P$8,$B$1:$AI$1500,415,FALSE)</f>
        <v>0</v>
      </c>
      <c r="B415" s="252"/>
      <c r="C415" s="183">
        <v>10002610</v>
      </c>
      <c r="E415" s="252" t="s">
        <v>2272</v>
      </c>
      <c r="F415" s="252" t="s">
        <v>3892</v>
      </c>
      <c r="G415" s="252" t="s">
        <v>3595</v>
      </c>
      <c r="J415" s="252" t="s">
        <v>3510</v>
      </c>
      <c r="W415" s="252" t="s">
        <v>3595</v>
      </c>
      <c r="Y415" s="252" t="s">
        <v>3886</v>
      </c>
      <c r="AA415" s="266" t="s">
        <v>3415</v>
      </c>
      <c r="AG415" s="266" t="s">
        <v>3887</v>
      </c>
    </row>
    <row r="416" spans="1:33" x14ac:dyDescent="0.25">
      <c r="A416" s="264">
        <f>HLOOKUP(Overview!$P$8,$B$1:$AI$1500,416,FALSE)</f>
        <v>0</v>
      </c>
      <c r="B416" s="252"/>
      <c r="C416" s="183">
        <v>10001719</v>
      </c>
      <c r="E416" s="264" t="s">
        <v>3591</v>
      </c>
      <c r="F416" s="264" t="s">
        <v>3893</v>
      </c>
      <c r="G416" s="264" t="s">
        <v>3598</v>
      </c>
      <c r="J416" s="264" t="s">
        <v>3891</v>
      </c>
      <c r="W416" s="264" t="s">
        <v>3598</v>
      </c>
      <c r="Y416" s="264" t="s">
        <v>3889</v>
      </c>
      <c r="AA416" s="265" t="s">
        <v>3513</v>
      </c>
      <c r="AG416" s="265" t="s">
        <v>3878</v>
      </c>
    </row>
    <row r="417" spans="1:33" x14ac:dyDescent="0.25">
      <c r="A417" s="264">
        <f>HLOOKUP(Overview!$P$8,$B$1:$AI$1500,417,FALSE)</f>
        <v>0</v>
      </c>
      <c r="B417" s="252"/>
      <c r="C417" s="183">
        <v>10000814</v>
      </c>
      <c r="E417" s="252" t="s">
        <v>4337</v>
      </c>
      <c r="F417" s="252" t="s">
        <v>3887</v>
      </c>
      <c r="G417" s="252" t="s">
        <v>3596</v>
      </c>
      <c r="J417" s="252" t="s">
        <v>3885</v>
      </c>
      <c r="W417" s="252" t="s">
        <v>3596</v>
      </c>
      <c r="Y417" s="252" t="s">
        <v>3892</v>
      </c>
      <c r="AA417" s="266" t="s">
        <v>3419</v>
      </c>
      <c r="AG417" s="266" t="s">
        <v>3872</v>
      </c>
    </row>
    <row r="418" spans="1:33" x14ac:dyDescent="0.25">
      <c r="A418" s="264">
        <f>HLOOKUP(Overview!$P$8,$B$1:$AI$1500,418,FALSE)</f>
        <v>0</v>
      </c>
      <c r="B418" s="252"/>
      <c r="C418" s="183">
        <v>10032958</v>
      </c>
      <c r="E418" s="264" t="s">
        <v>4306</v>
      </c>
      <c r="F418" s="264" t="s">
        <v>3878</v>
      </c>
      <c r="G418" s="264" t="s">
        <v>3894</v>
      </c>
      <c r="J418" s="264" t="s">
        <v>3886</v>
      </c>
      <c r="W418" s="264" t="s">
        <v>3894</v>
      </c>
      <c r="Y418" s="264" t="s">
        <v>3893</v>
      </c>
      <c r="AA418" s="265" t="s">
        <v>3695</v>
      </c>
      <c r="AG418" s="265" t="s">
        <v>3690</v>
      </c>
    </row>
    <row r="419" spans="1:33" x14ac:dyDescent="0.25">
      <c r="A419" s="264">
        <f>HLOOKUP(Overview!$P$8,$B$1:$AI$1500,419,FALSE)</f>
        <v>0</v>
      </c>
      <c r="B419" s="252"/>
      <c r="C419" s="183">
        <v>20027689</v>
      </c>
      <c r="E419" s="252" t="s">
        <v>2153</v>
      </c>
      <c r="F419" s="252" t="s">
        <v>3872</v>
      </c>
      <c r="G419" s="252" t="s">
        <v>3895</v>
      </c>
      <c r="J419" s="252" t="s">
        <v>3889</v>
      </c>
      <c r="W419" s="252" t="s">
        <v>3895</v>
      </c>
      <c r="Y419" s="252" t="s">
        <v>3887</v>
      </c>
      <c r="AG419" s="266" t="s">
        <v>3898</v>
      </c>
    </row>
    <row r="420" spans="1:33" x14ac:dyDescent="0.25">
      <c r="A420" s="264">
        <f>HLOOKUP(Overview!$P$8,$B$1:$AI$1500,420,FALSE)</f>
        <v>0</v>
      </c>
      <c r="B420" s="252"/>
      <c r="C420" s="263">
        <v>20027688</v>
      </c>
      <c r="D420" s="263"/>
      <c r="E420" s="264" t="s">
        <v>2064</v>
      </c>
      <c r="F420" s="264" t="s">
        <v>3690</v>
      </c>
      <c r="G420" s="264" t="s">
        <v>3692</v>
      </c>
      <c r="J420" s="264" t="s">
        <v>3892</v>
      </c>
      <c r="W420" s="264" t="s">
        <v>3692</v>
      </c>
      <c r="Y420" s="264" t="s">
        <v>3878</v>
      </c>
      <c r="AG420" s="265" t="s">
        <v>3691</v>
      </c>
    </row>
    <row r="421" spans="1:33" x14ac:dyDescent="0.25">
      <c r="A421" s="264">
        <f>HLOOKUP(Overview!$P$8,$B$1:$AI$1500,421,FALSE)</f>
        <v>0</v>
      </c>
      <c r="B421" s="252"/>
      <c r="C421" s="183">
        <v>20027690</v>
      </c>
      <c r="E421" s="252" t="s">
        <v>4298</v>
      </c>
      <c r="F421" s="252" t="s">
        <v>3898</v>
      </c>
      <c r="G421" s="252" t="s">
        <v>3693</v>
      </c>
      <c r="J421" s="252" t="s">
        <v>3893</v>
      </c>
      <c r="W421" s="252" t="s">
        <v>3693</v>
      </c>
      <c r="Y421" s="252" t="s">
        <v>3872</v>
      </c>
      <c r="AG421" s="266" t="s">
        <v>3595</v>
      </c>
    </row>
    <row r="422" spans="1:33" x14ac:dyDescent="0.25">
      <c r="A422" s="264">
        <f>HLOOKUP(Overview!$P$8,$B$1:$AI$1500,422,FALSE)</f>
        <v>0</v>
      </c>
      <c r="B422" s="252"/>
      <c r="C422" s="183">
        <v>20027687</v>
      </c>
      <c r="E422" s="264" t="s">
        <v>4309</v>
      </c>
      <c r="F422" s="264" t="s">
        <v>3691</v>
      </c>
      <c r="G422" s="264" t="s">
        <v>3694</v>
      </c>
      <c r="J422" s="264" t="s">
        <v>3887</v>
      </c>
      <c r="W422" s="264" t="s">
        <v>3694</v>
      </c>
      <c r="Y422" s="264" t="s">
        <v>3690</v>
      </c>
      <c r="AG422" s="265" t="s">
        <v>3598</v>
      </c>
    </row>
    <row r="423" spans="1:33" x14ac:dyDescent="0.25">
      <c r="A423" s="264">
        <f>HLOOKUP(Overview!$P$8,$B$1:$AI$1500,423,FALSE)</f>
        <v>0</v>
      </c>
      <c r="B423" s="252"/>
      <c r="C423" s="183">
        <v>10006325</v>
      </c>
      <c r="E423" s="252" t="s">
        <v>4340</v>
      </c>
      <c r="F423" s="252" t="s">
        <v>3595</v>
      </c>
      <c r="G423" s="252" t="s">
        <v>3515</v>
      </c>
      <c r="J423" s="252" t="s">
        <v>3878</v>
      </c>
      <c r="W423" s="252" t="s">
        <v>3515</v>
      </c>
      <c r="Y423" s="252" t="s">
        <v>3898</v>
      </c>
      <c r="AG423" s="266" t="s">
        <v>3596</v>
      </c>
    </row>
    <row r="424" spans="1:33" x14ac:dyDescent="0.25">
      <c r="A424" s="264">
        <f>HLOOKUP(Overview!$P$8,$B$1:$AI$1500,424,FALSE)</f>
        <v>0</v>
      </c>
      <c r="B424" s="252"/>
      <c r="C424" s="183">
        <v>20031238</v>
      </c>
      <c r="E424" s="264" t="s">
        <v>2127</v>
      </c>
      <c r="F424" s="264" t="s">
        <v>3598</v>
      </c>
      <c r="G424" s="264" t="s">
        <v>3516</v>
      </c>
      <c r="J424" s="264" t="s">
        <v>3872</v>
      </c>
      <c r="W424" s="264" t="s">
        <v>3516</v>
      </c>
      <c r="Y424" s="264" t="s">
        <v>3691</v>
      </c>
      <c r="AG424" s="265" t="s">
        <v>3899</v>
      </c>
    </row>
    <row r="425" spans="1:33" x14ac:dyDescent="0.25">
      <c r="A425" s="264">
        <f>HLOOKUP(Overview!$P$8,$B$1:$AI$1500,425,FALSE)</f>
        <v>0</v>
      </c>
      <c r="B425" s="252"/>
      <c r="C425" s="183">
        <v>20031237</v>
      </c>
      <c r="E425" s="252" t="s">
        <v>1977</v>
      </c>
      <c r="F425" s="252" t="s">
        <v>3596</v>
      </c>
      <c r="G425" s="252" t="s">
        <v>3423</v>
      </c>
      <c r="J425" s="252" t="s">
        <v>3690</v>
      </c>
      <c r="W425" s="252" t="s">
        <v>3423</v>
      </c>
      <c r="Y425" s="252" t="s">
        <v>3595</v>
      </c>
      <c r="AG425" s="266" t="s">
        <v>3894</v>
      </c>
    </row>
    <row r="426" spans="1:33" x14ac:dyDescent="0.25">
      <c r="A426" s="264">
        <f>HLOOKUP(Overview!$P$8,$B$1:$AI$1500,426,FALSE)</f>
        <v>0</v>
      </c>
      <c r="B426" s="252"/>
      <c r="C426" s="183">
        <v>20031235</v>
      </c>
      <c r="E426" s="264" t="s">
        <v>2157</v>
      </c>
      <c r="F426" s="264" t="s">
        <v>3899</v>
      </c>
      <c r="G426" s="264" t="s">
        <v>3518</v>
      </c>
      <c r="J426" s="264" t="s">
        <v>3898</v>
      </c>
      <c r="W426" s="264" t="s">
        <v>3518</v>
      </c>
      <c r="Y426" s="264" t="s">
        <v>3598</v>
      </c>
      <c r="AG426" s="265" t="s">
        <v>3895</v>
      </c>
    </row>
    <row r="427" spans="1:33" x14ac:dyDescent="0.25">
      <c r="A427" s="264">
        <f>HLOOKUP(Overview!$P$8,$B$1:$AI$1500,427,FALSE)</f>
        <v>0</v>
      </c>
      <c r="B427" s="252"/>
      <c r="C427" s="183">
        <v>20031236</v>
      </c>
      <c r="E427" s="252" t="s">
        <v>1926</v>
      </c>
      <c r="F427" s="252" t="s">
        <v>3894</v>
      </c>
      <c r="G427" s="252" t="s">
        <v>3521</v>
      </c>
      <c r="J427" s="252" t="s">
        <v>3691</v>
      </c>
      <c r="W427" s="252" t="s">
        <v>3521</v>
      </c>
      <c r="Y427" s="252" t="s">
        <v>3596</v>
      </c>
      <c r="AG427" s="266" t="s">
        <v>3692</v>
      </c>
    </row>
    <row r="428" spans="1:33" x14ac:dyDescent="0.25">
      <c r="A428" s="264">
        <f>HLOOKUP(Overview!$P$8,$B$1:$AI$1500,428,FALSE)</f>
        <v>0</v>
      </c>
      <c r="B428" s="252"/>
      <c r="C428" s="183">
        <v>20019291</v>
      </c>
      <c r="E428" s="264" t="s">
        <v>4305</v>
      </c>
      <c r="F428" s="264" t="s">
        <v>3895</v>
      </c>
      <c r="G428" s="264" t="s">
        <v>3519</v>
      </c>
      <c r="J428" s="264" t="s">
        <v>3595</v>
      </c>
      <c r="W428" s="264" t="s">
        <v>3519</v>
      </c>
      <c r="Y428" s="264" t="s">
        <v>3894</v>
      </c>
      <c r="AG428" s="265" t="s">
        <v>3693</v>
      </c>
    </row>
    <row r="429" spans="1:33" x14ac:dyDescent="0.25">
      <c r="A429" s="264">
        <f>HLOOKUP(Overview!$P$8,$B$1:$AI$1500,429,FALSE)</f>
        <v>0</v>
      </c>
      <c r="B429" s="252"/>
      <c r="C429" s="183">
        <v>20019290</v>
      </c>
      <c r="E429" s="252" t="s">
        <v>1873</v>
      </c>
      <c r="F429" s="252" t="s">
        <v>3692</v>
      </c>
      <c r="G429" s="252" t="s">
        <v>3415</v>
      </c>
      <c r="J429" s="252" t="s">
        <v>3598</v>
      </c>
      <c r="W429" s="252" t="s">
        <v>3415</v>
      </c>
      <c r="Y429" s="252" t="s">
        <v>3895</v>
      </c>
      <c r="AG429" s="266" t="s">
        <v>3694</v>
      </c>
    </row>
    <row r="430" spans="1:33" x14ac:dyDescent="0.25">
      <c r="A430" s="264">
        <f>HLOOKUP(Overview!$P$8,$B$1:$AI$1500,430,FALSE)</f>
        <v>0</v>
      </c>
      <c r="B430" s="252"/>
      <c r="C430" s="183">
        <v>20028806</v>
      </c>
      <c r="E430" s="264" t="s">
        <v>1940</v>
      </c>
      <c r="F430" s="264" t="s">
        <v>3693</v>
      </c>
      <c r="G430" s="264" t="s">
        <v>3513</v>
      </c>
      <c r="J430" s="264" t="s">
        <v>3596</v>
      </c>
      <c r="W430" s="264" t="s">
        <v>3513</v>
      </c>
      <c r="Y430" s="264" t="s">
        <v>3692</v>
      </c>
      <c r="AG430" s="265" t="s">
        <v>3515</v>
      </c>
    </row>
    <row r="431" spans="1:33" x14ac:dyDescent="0.25">
      <c r="A431" s="264">
        <f>HLOOKUP(Overview!$P$8,$B$1:$AI$1500,431,FALSE)</f>
        <v>0</v>
      </c>
      <c r="B431" s="252"/>
      <c r="C431" s="183">
        <v>20019292</v>
      </c>
      <c r="E431" s="252" t="s">
        <v>4302</v>
      </c>
      <c r="F431" s="252" t="s">
        <v>3694</v>
      </c>
      <c r="G431" s="252" t="s">
        <v>3419</v>
      </c>
      <c r="J431" s="252" t="s">
        <v>3899</v>
      </c>
      <c r="W431" s="252" t="s">
        <v>3419</v>
      </c>
      <c r="Y431" s="252" t="s">
        <v>3693</v>
      </c>
      <c r="AG431" s="266" t="s">
        <v>3516</v>
      </c>
    </row>
    <row r="432" spans="1:33" x14ac:dyDescent="0.25">
      <c r="A432" s="264">
        <f>HLOOKUP(Overview!$P$8,$B$1:$AI$1500,432,FALSE)</f>
        <v>0</v>
      </c>
      <c r="B432" s="252"/>
      <c r="C432" s="183">
        <v>20019289</v>
      </c>
      <c r="E432" s="264" t="s">
        <v>2236</v>
      </c>
      <c r="F432" s="264" t="s">
        <v>3515</v>
      </c>
      <c r="G432" s="264" t="s">
        <v>3695</v>
      </c>
      <c r="J432" s="264" t="s">
        <v>3894</v>
      </c>
      <c r="W432" s="264" t="s">
        <v>3695</v>
      </c>
      <c r="Y432" s="264" t="s">
        <v>3694</v>
      </c>
      <c r="AG432" s="265" t="s">
        <v>3423</v>
      </c>
    </row>
    <row r="433" spans="1:33" x14ac:dyDescent="0.25">
      <c r="A433" s="264">
        <f>HLOOKUP(Overview!$P$8,$B$1:$AI$1500,433,FALSE)</f>
        <v>0</v>
      </c>
      <c r="B433" s="252"/>
      <c r="C433" s="183">
        <v>20019288</v>
      </c>
      <c r="E433" s="252" t="s">
        <v>2037</v>
      </c>
      <c r="F433" s="252" t="s">
        <v>3516</v>
      </c>
      <c r="G433" s="252" t="s">
        <v>3897</v>
      </c>
      <c r="J433" s="252" t="s">
        <v>3895</v>
      </c>
      <c r="W433" s="252" t="s">
        <v>3897</v>
      </c>
      <c r="Y433" s="252" t="s">
        <v>3515</v>
      </c>
      <c r="AG433" s="266" t="s">
        <v>3518</v>
      </c>
    </row>
    <row r="434" spans="1:33" x14ac:dyDescent="0.25">
      <c r="A434" s="264">
        <f>HLOOKUP(Overview!$P$8,$B$1:$AI$1500,434,FALSE)</f>
        <v>0</v>
      </c>
      <c r="B434" s="252"/>
      <c r="C434" s="183">
        <v>20019287</v>
      </c>
      <c r="E434" s="264" t="s">
        <v>1960</v>
      </c>
      <c r="F434" s="264" t="s">
        <v>3423</v>
      </c>
      <c r="J434" s="264" t="s">
        <v>3692</v>
      </c>
      <c r="Y434" s="264" t="s">
        <v>3516</v>
      </c>
      <c r="AG434" s="265" t="s">
        <v>3521</v>
      </c>
    </row>
    <row r="435" spans="1:33" x14ac:dyDescent="0.25">
      <c r="A435" s="264">
        <f>HLOOKUP(Overview!$P$8,$B$1:$AI$1500,435,FALSE)</f>
        <v>0</v>
      </c>
      <c r="B435" s="252"/>
      <c r="C435" s="183">
        <v>20002035</v>
      </c>
      <c r="E435" s="252" t="s">
        <v>4311</v>
      </c>
      <c r="F435" s="252" t="s">
        <v>3518</v>
      </c>
      <c r="J435" s="252" t="s">
        <v>3693</v>
      </c>
      <c r="Y435" s="252" t="s">
        <v>3423</v>
      </c>
      <c r="AG435" s="266" t="s">
        <v>3519</v>
      </c>
    </row>
    <row r="436" spans="1:33" x14ac:dyDescent="0.25">
      <c r="A436" s="264">
        <f>HLOOKUP(Overview!$P$8,$B$1:$AI$1500,436,FALSE)</f>
        <v>0</v>
      </c>
      <c r="B436" s="252"/>
      <c r="C436" s="183">
        <v>20028280</v>
      </c>
      <c r="E436" s="264" t="s">
        <v>2194</v>
      </c>
      <c r="F436" s="264" t="s">
        <v>3521</v>
      </c>
      <c r="J436" s="264" t="s">
        <v>3694</v>
      </c>
      <c r="Y436" s="264" t="s">
        <v>3518</v>
      </c>
      <c r="AG436" s="265" t="s">
        <v>3415</v>
      </c>
    </row>
    <row r="437" spans="1:33" x14ac:dyDescent="0.25">
      <c r="A437" s="264">
        <f>HLOOKUP(Overview!$P$8,$B$1:$AI$1500,437,FALSE)</f>
        <v>0</v>
      </c>
      <c r="B437" s="252"/>
      <c r="C437" s="183">
        <v>20028278</v>
      </c>
      <c r="E437" s="252" t="s">
        <v>4316</v>
      </c>
      <c r="F437" s="252" t="s">
        <v>3519</v>
      </c>
      <c r="J437" s="252" t="s">
        <v>3515</v>
      </c>
      <c r="Y437" s="252" t="s">
        <v>3521</v>
      </c>
      <c r="AG437" s="266" t="s">
        <v>3513</v>
      </c>
    </row>
    <row r="438" spans="1:33" x14ac:dyDescent="0.25">
      <c r="A438" s="264">
        <f>HLOOKUP(Overview!$P$8,$B$1:$AI$1500,438,FALSE)</f>
        <v>0</v>
      </c>
      <c r="B438" s="252"/>
      <c r="C438" s="183" t="s">
        <v>1248</v>
      </c>
      <c r="E438" s="264" t="s">
        <v>4304</v>
      </c>
      <c r="F438" s="264" t="s">
        <v>3415</v>
      </c>
      <c r="J438" s="264" t="s">
        <v>3516</v>
      </c>
      <c r="Y438" s="264" t="s">
        <v>3519</v>
      </c>
      <c r="AG438" s="265" t="s">
        <v>3419</v>
      </c>
    </row>
    <row r="439" spans="1:33" x14ac:dyDescent="0.25">
      <c r="A439" s="264">
        <f>HLOOKUP(Overview!$P$8,$B$1:$AI$1500,439,FALSE)</f>
        <v>0</v>
      </c>
      <c r="B439" s="252"/>
      <c r="C439" s="183" t="s">
        <v>1248</v>
      </c>
      <c r="E439" s="252" t="s">
        <v>2105</v>
      </c>
      <c r="F439" s="252" t="s">
        <v>3513</v>
      </c>
      <c r="J439" s="252" t="s">
        <v>3423</v>
      </c>
      <c r="Y439" s="252" t="s">
        <v>3415</v>
      </c>
      <c r="AG439" s="266" t="s">
        <v>3695</v>
      </c>
    </row>
    <row r="440" spans="1:33" x14ac:dyDescent="0.25">
      <c r="A440" s="264">
        <f>HLOOKUP(Overview!$P$8,$B$1:$AI$1500,440,FALSE)</f>
        <v>0</v>
      </c>
      <c r="B440" s="252"/>
      <c r="C440" s="183">
        <v>20028279</v>
      </c>
      <c r="E440" s="264" t="s">
        <v>1953</v>
      </c>
      <c r="F440" s="264" t="s">
        <v>3419</v>
      </c>
      <c r="J440" s="264" t="s">
        <v>3518</v>
      </c>
      <c r="Y440" s="264" t="s">
        <v>3513</v>
      </c>
      <c r="AG440" s="265" t="s">
        <v>3897</v>
      </c>
    </row>
    <row r="441" spans="1:33" x14ac:dyDescent="0.25">
      <c r="A441" s="264">
        <f>HLOOKUP(Overview!$P$8,$B$1:$AI$1500,441,FALSE)</f>
        <v>0</v>
      </c>
      <c r="B441" s="252"/>
      <c r="C441" s="183">
        <v>10006323</v>
      </c>
      <c r="E441" s="252" t="s">
        <v>2109</v>
      </c>
      <c r="F441" s="252" t="s">
        <v>3695</v>
      </c>
      <c r="J441" s="252" t="s">
        <v>3521</v>
      </c>
      <c r="Y441" s="252" t="s">
        <v>3419</v>
      </c>
    </row>
    <row r="442" spans="1:33" x14ac:dyDescent="0.25">
      <c r="A442" s="264">
        <f>HLOOKUP(Overview!$P$8,$B$1:$AI$1500,442,FALSE)</f>
        <v>0</v>
      </c>
      <c r="B442" s="252"/>
      <c r="C442" s="183">
        <v>10123483</v>
      </c>
      <c r="E442" s="264" t="s">
        <v>2151</v>
      </c>
      <c r="F442" s="264" t="s">
        <v>3897</v>
      </c>
      <c r="J442" s="264" t="s">
        <v>3519</v>
      </c>
      <c r="Y442" s="264" t="s">
        <v>3695</v>
      </c>
    </row>
    <row r="443" spans="1:33" x14ac:dyDescent="0.25">
      <c r="A443" s="264">
        <f>HLOOKUP(Overview!$P$8,$B$1:$AI$1500,443,FALSE)</f>
        <v>0</v>
      </c>
      <c r="B443" s="252"/>
      <c r="C443" s="183">
        <v>10130149</v>
      </c>
      <c r="E443" s="252" t="s">
        <v>2166</v>
      </c>
      <c r="F443" s="252" t="s">
        <v>3879</v>
      </c>
      <c r="J443" s="252" t="s">
        <v>3415</v>
      </c>
      <c r="Y443" s="252" t="s">
        <v>3897</v>
      </c>
    </row>
    <row r="444" spans="1:33" x14ac:dyDescent="0.25">
      <c r="A444" s="264">
        <f>HLOOKUP(Overview!$P$8,$B$1:$AI$1500,444,FALSE)</f>
        <v>0</v>
      </c>
      <c r="B444" s="252"/>
      <c r="C444" s="263">
        <v>10130147</v>
      </c>
      <c r="D444" s="263"/>
      <c r="E444" s="264" t="s">
        <v>1999</v>
      </c>
      <c r="F444" s="264" t="s">
        <v>3882</v>
      </c>
      <c r="J444" s="264" t="s">
        <v>3513</v>
      </c>
    </row>
    <row r="445" spans="1:33" x14ac:dyDescent="0.25">
      <c r="A445" s="264">
        <f>HLOOKUP(Overview!$P$8,$B$1:$AI$1500,445,FALSE)</f>
        <v>0</v>
      </c>
      <c r="B445" s="252"/>
      <c r="C445" s="183">
        <v>10130150</v>
      </c>
      <c r="E445" s="252" t="s">
        <v>4319</v>
      </c>
      <c r="F445" s="252" t="s">
        <v>3876</v>
      </c>
      <c r="J445" s="252" t="s">
        <v>3419</v>
      </c>
    </row>
    <row r="446" spans="1:33" x14ac:dyDescent="0.25">
      <c r="A446" s="264">
        <f>HLOOKUP(Overview!$P$8,$B$1:$AI$1500,446,FALSE)</f>
        <v>0</v>
      </c>
      <c r="B446" s="252"/>
      <c r="C446" s="263">
        <v>10130146</v>
      </c>
      <c r="D446" s="263"/>
      <c r="E446" s="264" t="s">
        <v>2135</v>
      </c>
      <c r="F446" s="264" t="s">
        <v>3880</v>
      </c>
      <c r="J446" s="264" t="s">
        <v>3695</v>
      </c>
    </row>
    <row r="447" spans="1:33" x14ac:dyDescent="0.25">
      <c r="A447" s="264">
        <f>HLOOKUP(Overview!$P$8,$B$1:$AI$1500,447,FALSE)</f>
        <v>0</v>
      </c>
      <c r="B447" s="252"/>
      <c r="C447" s="263">
        <v>10130151</v>
      </c>
      <c r="D447" s="263"/>
      <c r="E447" s="252" t="s">
        <v>2057</v>
      </c>
      <c r="F447" s="252" t="s">
        <v>3881</v>
      </c>
      <c r="J447" s="252" t="s">
        <v>3897</v>
      </c>
    </row>
    <row r="448" spans="1:33" x14ac:dyDescent="0.25">
      <c r="A448" s="264">
        <f>HLOOKUP(Overview!$P$8,$B$1:$AI$1500,448,FALSE)</f>
        <v>0</v>
      </c>
      <c r="B448" s="252"/>
      <c r="C448" s="183">
        <v>10130148</v>
      </c>
      <c r="E448" s="264" t="s">
        <v>1961</v>
      </c>
      <c r="F448" s="264" t="s">
        <v>3877</v>
      </c>
    </row>
    <row r="449" spans="1:6" x14ac:dyDescent="0.25">
      <c r="A449" s="264">
        <f>HLOOKUP(Overview!$P$8,$B$1:$AI$1500,449,FALSE)</f>
        <v>0</v>
      </c>
      <c r="B449" s="252"/>
      <c r="C449" s="183">
        <v>10089301</v>
      </c>
      <c r="E449" s="252" t="s">
        <v>4323</v>
      </c>
      <c r="F449" s="252" t="s">
        <v>3884</v>
      </c>
    </row>
    <row r="450" spans="1:6" x14ac:dyDescent="0.25">
      <c r="A450" s="264">
        <f>HLOOKUP(Overview!$P$8,$B$1:$AI$1500,450,FALSE)</f>
        <v>0</v>
      </c>
      <c r="B450" s="252"/>
      <c r="C450" s="183">
        <v>20029376</v>
      </c>
      <c r="E450" s="264" t="s">
        <v>2240</v>
      </c>
      <c r="F450" s="264" t="s">
        <v>3883</v>
      </c>
    </row>
    <row r="451" spans="1:6" x14ac:dyDescent="0.25">
      <c r="A451" s="264">
        <f>HLOOKUP(Overview!$P$8,$B$1:$AI$1500,451,FALSE)</f>
        <v>0</v>
      </c>
      <c r="B451" s="252"/>
      <c r="C451" s="183">
        <v>20029374</v>
      </c>
      <c r="E451" s="252" t="s">
        <v>1927</v>
      </c>
    </row>
    <row r="452" spans="1:6" x14ac:dyDescent="0.25">
      <c r="A452" s="264">
        <f>HLOOKUP(Overview!$P$8,$B$1:$AI$1500,452,FALSE)</f>
        <v>0</v>
      </c>
      <c r="B452" s="252"/>
      <c r="C452" s="183">
        <v>20029371</v>
      </c>
      <c r="E452" s="264" t="s">
        <v>2146</v>
      </c>
    </row>
    <row r="453" spans="1:6" x14ac:dyDescent="0.25">
      <c r="A453" s="264">
        <f>HLOOKUP(Overview!$P$8,$B$1:$AI$1500,453,FALSE)</f>
        <v>0</v>
      </c>
      <c r="B453" s="252"/>
      <c r="C453" s="183">
        <v>20029375</v>
      </c>
      <c r="E453" s="252" t="s">
        <v>1963</v>
      </c>
    </row>
    <row r="454" spans="1:6" x14ac:dyDescent="0.25">
      <c r="A454" s="264">
        <f>HLOOKUP(Overview!$P$8,$B$1:$AI$1500,454,FALSE)</f>
        <v>0</v>
      </c>
      <c r="B454" s="252"/>
      <c r="C454" s="183">
        <v>20029377</v>
      </c>
      <c r="E454" s="264" t="s">
        <v>2085</v>
      </c>
    </row>
    <row r="455" spans="1:6" x14ac:dyDescent="0.25">
      <c r="A455" s="264">
        <f>HLOOKUP(Overview!$P$8,$B$1:$AI$1500,455,FALSE)</f>
        <v>0</v>
      </c>
      <c r="B455" s="252"/>
      <c r="C455" s="216">
        <v>20029370</v>
      </c>
      <c r="D455" s="216"/>
      <c r="E455" s="252" t="s">
        <v>2202</v>
      </c>
    </row>
    <row r="456" spans="1:6" x14ac:dyDescent="0.25">
      <c r="A456" s="264">
        <f>HLOOKUP(Overview!$P$8,$B$1:$AI$1500,456,FALSE)</f>
        <v>0</v>
      </c>
      <c r="B456" s="252"/>
      <c r="C456" s="263">
        <v>20029373</v>
      </c>
      <c r="D456" s="263"/>
      <c r="E456" s="264" t="s">
        <v>3630</v>
      </c>
    </row>
    <row r="457" spans="1:6" x14ac:dyDescent="0.25">
      <c r="A457" s="264">
        <f>HLOOKUP(Overview!$P$8,$B$1:$AI$1500,457,FALSE)</f>
        <v>0</v>
      </c>
      <c r="B457" s="252"/>
      <c r="C457" s="216">
        <v>20029372</v>
      </c>
      <c r="D457" s="216"/>
      <c r="E457" s="252" t="s">
        <v>2104</v>
      </c>
    </row>
    <row r="458" spans="1:6" x14ac:dyDescent="0.25">
      <c r="A458" s="264">
        <f>HLOOKUP(Overview!$P$8,$B$1:$AI$1500,458,FALSE)</f>
        <v>0</v>
      </c>
      <c r="B458" s="252"/>
      <c r="C458" s="183">
        <v>10089269</v>
      </c>
      <c r="E458" s="264" t="s">
        <v>1894</v>
      </c>
    </row>
    <row r="459" spans="1:6" x14ac:dyDescent="0.25">
      <c r="A459" s="264">
        <f>HLOOKUP(Overview!$P$8,$B$1:$AI$1500,459,FALSE)</f>
        <v>0</v>
      </c>
      <c r="B459" s="252"/>
      <c r="C459" s="216">
        <v>20004149</v>
      </c>
      <c r="D459" s="216"/>
      <c r="E459" s="252" t="s">
        <v>2295</v>
      </c>
    </row>
    <row r="460" spans="1:6" x14ac:dyDescent="0.25">
      <c r="A460" s="264">
        <f>HLOOKUP(Overview!$P$8,$B$1:$AI$1500,460,FALSE)</f>
        <v>0</v>
      </c>
      <c r="B460" s="252"/>
      <c r="C460" s="263">
        <v>20004151</v>
      </c>
      <c r="D460" s="263"/>
      <c r="E460" s="264" t="s">
        <v>2321</v>
      </c>
    </row>
    <row r="461" spans="1:6" x14ac:dyDescent="0.25">
      <c r="A461" s="264">
        <f>HLOOKUP(Overview!$P$8,$B$1:$AI$1500,461,FALSE)</f>
        <v>0</v>
      </c>
      <c r="B461" s="252"/>
      <c r="C461" s="216">
        <v>20026254</v>
      </c>
      <c r="D461" s="216"/>
      <c r="E461" s="252" t="s">
        <v>2333</v>
      </c>
    </row>
    <row r="462" spans="1:6" x14ac:dyDescent="0.25">
      <c r="A462" s="264">
        <f>HLOOKUP(Overview!$P$8,$B$1:$AI$1500,462,FALSE)</f>
        <v>0</v>
      </c>
      <c r="B462" s="252"/>
      <c r="C462" s="263">
        <v>20008087</v>
      </c>
      <c r="D462" s="263"/>
      <c r="E462" s="264" t="s">
        <v>3569</v>
      </c>
    </row>
    <row r="463" spans="1:6" x14ac:dyDescent="0.25">
      <c r="A463" s="264">
        <f>HLOOKUP(Overview!$P$8,$B$1:$AI$1500,463,FALSE)</f>
        <v>0</v>
      </c>
      <c r="B463" s="252"/>
      <c r="C463" s="216">
        <v>20004155</v>
      </c>
      <c r="D463" s="216"/>
      <c r="E463" s="252" t="s">
        <v>3568</v>
      </c>
    </row>
    <row r="464" spans="1:6" x14ac:dyDescent="0.25">
      <c r="A464" s="264">
        <f>HLOOKUP(Overview!$P$8,$B$1:$AI$1500,464,FALSE)</f>
        <v>0</v>
      </c>
      <c r="B464" s="252"/>
      <c r="C464" s="183">
        <v>10090161</v>
      </c>
      <c r="E464" s="264" t="s">
        <v>2077</v>
      </c>
    </row>
    <row r="465" spans="1:5" x14ac:dyDescent="0.25">
      <c r="A465" s="264">
        <f>HLOOKUP(Overview!$P$8,$B$1:$AI$1500,465,FALSE)</f>
        <v>0</v>
      </c>
      <c r="B465" s="252"/>
      <c r="C465" s="183">
        <v>10089257</v>
      </c>
      <c r="E465" s="252" t="s">
        <v>2162</v>
      </c>
    </row>
    <row r="466" spans="1:5" x14ac:dyDescent="0.25">
      <c r="A466" s="264">
        <f>HLOOKUP(Overview!$P$8,$B$1:$AI$1500,466,FALSE)</f>
        <v>0</v>
      </c>
      <c r="B466" s="252"/>
      <c r="C466" s="183">
        <v>10011917</v>
      </c>
      <c r="E466" s="264" t="s">
        <v>2361</v>
      </c>
    </row>
    <row r="467" spans="1:5" x14ac:dyDescent="0.25">
      <c r="A467" s="264">
        <f>HLOOKUP(Overview!$P$8,$B$1:$AI$1500,467,FALSE)</f>
        <v>0</v>
      </c>
      <c r="B467" s="252"/>
      <c r="C467" s="183">
        <v>10130565</v>
      </c>
      <c r="E467" s="252" t="s">
        <v>2300</v>
      </c>
    </row>
    <row r="468" spans="1:5" x14ac:dyDescent="0.25">
      <c r="A468" s="264">
        <f>HLOOKUP(Overview!$P$8,$B$1:$AI$1500,468,FALSE)</f>
        <v>0</v>
      </c>
      <c r="B468" s="252"/>
      <c r="C468" s="183">
        <v>10011916</v>
      </c>
      <c r="E468" s="264" t="s">
        <v>1986</v>
      </c>
    </row>
    <row r="469" spans="1:5" x14ac:dyDescent="0.25">
      <c r="A469" s="264">
        <f>HLOOKUP(Overview!$P$8,$B$1:$AI$1500,469,FALSE)</f>
        <v>0</v>
      </c>
      <c r="B469" s="252"/>
      <c r="C469" s="183">
        <v>10130568</v>
      </c>
      <c r="E469" s="252" t="s">
        <v>2308</v>
      </c>
    </row>
    <row r="470" spans="1:5" x14ac:dyDescent="0.25">
      <c r="A470" s="264">
        <f>HLOOKUP(Overview!$P$8,$B$1:$AI$1500,470,FALSE)</f>
        <v>0</v>
      </c>
      <c r="B470" s="252"/>
      <c r="C470" s="183">
        <v>10078678</v>
      </c>
      <c r="E470" s="264" t="s">
        <v>3631</v>
      </c>
    </row>
    <row r="471" spans="1:5" x14ac:dyDescent="0.25">
      <c r="A471" s="264">
        <f>HLOOKUP(Overview!$P$8,$B$1:$AI$1500,471,FALSE)</f>
        <v>0</v>
      </c>
      <c r="B471" s="252"/>
      <c r="C471" s="183">
        <v>10130567</v>
      </c>
      <c r="E471" s="252" t="s">
        <v>2265</v>
      </c>
    </row>
    <row r="472" spans="1:5" x14ac:dyDescent="0.25">
      <c r="A472" s="264">
        <f>HLOOKUP(Overview!$P$8,$B$1:$AI$1500,472,FALSE)</f>
        <v>0</v>
      </c>
      <c r="B472" s="252"/>
      <c r="C472" s="183">
        <v>10078568</v>
      </c>
      <c r="E472" s="264" t="s">
        <v>3540</v>
      </c>
    </row>
    <row r="473" spans="1:5" x14ac:dyDescent="0.25">
      <c r="A473" s="264">
        <f>HLOOKUP(Overview!$P$8,$B$1:$AI$1500,473,FALSE)</f>
        <v>0</v>
      </c>
      <c r="B473" s="252"/>
      <c r="C473" s="183">
        <v>10086157</v>
      </c>
      <c r="E473" s="252" t="s">
        <v>2163</v>
      </c>
    </row>
    <row r="474" spans="1:5" x14ac:dyDescent="0.25">
      <c r="A474" s="264">
        <f>HLOOKUP(Overview!$P$8,$B$1:$AI$1500,474,FALSE)</f>
        <v>0</v>
      </c>
      <c r="B474" s="252"/>
      <c r="C474" s="183">
        <v>10129364</v>
      </c>
      <c r="E474" s="264" t="s">
        <v>2144</v>
      </c>
    </row>
    <row r="475" spans="1:5" x14ac:dyDescent="0.25">
      <c r="A475" s="264">
        <f>HLOOKUP(Overview!$P$8,$B$1:$AI$1500,475,FALSE)</f>
        <v>0</v>
      </c>
      <c r="B475" s="252"/>
      <c r="C475" s="183">
        <v>10129363</v>
      </c>
      <c r="E475" s="252" t="s">
        <v>2168</v>
      </c>
    </row>
    <row r="476" spans="1:5" x14ac:dyDescent="0.25">
      <c r="A476" s="264">
        <f>HLOOKUP(Overview!$P$8,$B$1:$AI$1500,476,FALSE)</f>
        <v>0</v>
      </c>
      <c r="B476" s="252"/>
      <c r="C476" s="183">
        <v>10001689</v>
      </c>
      <c r="E476" s="264" t="s">
        <v>3583</v>
      </c>
    </row>
    <row r="477" spans="1:5" x14ac:dyDescent="0.25">
      <c r="A477" s="264">
        <f>HLOOKUP(Overview!$P$8,$B$1:$AI$1500,477,FALSE)</f>
        <v>0</v>
      </c>
      <c r="B477" s="252"/>
      <c r="C477" s="183">
        <v>10099499</v>
      </c>
      <c r="E477" s="252" t="s">
        <v>2026</v>
      </c>
    </row>
    <row r="478" spans="1:5" x14ac:dyDescent="0.25">
      <c r="A478" s="264">
        <f>HLOOKUP(Overview!$P$8,$B$1:$AI$1500,478,FALSE)</f>
        <v>0</v>
      </c>
      <c r="B478" s="252"/>
      <c r="C478" s="183">
        <v>10001805</v>
      </c>
      <c r="E478" s="264" t="s">
        <v>4326</v>
      </c>
    </row>
    <row r="479" spans="1:5" x14ac:dyDescent="0.25">
      <c r="A479" s="264">
        <f>HLOOKUP(Overview!$P$8,$B$1:$AI$1500,479,FALSE)</f>
        <v>0</v>
      </c>
      <c r="B479" s="252"/>
      <c r="C479" s="183">
        <v>10099502</v>
      </c>
      <c r="E479" s="252" t="s">
        <v>3668</v>
      </c>
    </row>
    <row r="480" spans="1:5" x14ac:dyDescent="0.25">
      <c r="A480" s="264">
        <f>HLOOKUP(Overview!$P$8,$B$1:$AI$1500,480,FALSE)</f>
        <v>0</v>
      </c>
      <c r="B480" s="252"/>
      <c r="C480" s="183">
        <v>10099497</v>
      </c>
      <c r="E480" s="264" t="s">
        <v>3669</v>
      </c>
    </row>
    <row r="481" spans="1:5" x14ac:dyDescent="0.25">
      <c r="A481" s="264">
        <f>HLOOKUP(Overview!$P$8,$B$1:$AI$1500,481,FALSE)</f>
        <v>0</v>
      </c>
      <c r="B481" s="252"/>
      <c r="C481" s="183">
        <v>10107874</v>
      </c>
      <c r="E481" s="252" t="s">
        <v>3670</v>
      </c>
    </row>
    <row r="482" spans="1:5" x14ac:dyDescent="0.25">
      <c r="A482" s="264">
        <f>HLOOKUP(Overview!$P$8,$B$1:$AI$1500,482,FALSE)</f>
        <v>0</v>
      </c>
      <c r="B482" s="252"/>
      <c r="C482" s="183">
        <v>10014800</v>
      </c>
      <c r="E482" s="264" t="s">
        <v>3671</v>
      </c>
    </row>
    <row r="483" spans="1:5" x14ac:dyDescent="0.25">
      <c r="A483" s="264">
        <f>HLOOKUP(Overview!$P$8,$B$1:$AI$1500,483,FALSE)</f>
        <v>0</v>
      </c>
      <c r="B483" s="252"/>
      <c r="C483" s="263">
        <v>10014798</v>
      </c>
      <c r="D483" s="263"/>
      <c r="E483" s="252" t="s">
        <v>3672</v>
      </c>
    </row>
    <row r="484" spans="1:5" x14ac:dyDescent="0.25">
      <c r="A484" s="264">
        <f>HLOOKUP(Overview!$P$8,$B$1:$AI$1500,484,FALSE)</f>
        <v>0</v>
      </c>
      <c r="B484" s="252"/>
      <c r="C484" s="183">
        <v>10099500</v>
      </c>
      <c r="E484" s="264" t="s">
        <v>3673</v>
      </c>
    </row>
    <row r="485" spans="1:5" x14ac:dyDescent="0.25">
      <c r="A485" s="264">
        <f>HLOOKUP(Overview!$P$8,$B$1:$AI$1500,485,FALSE)</f>
        <v>0</v>
      </c>
      <c r="B485" s="252"/>
      <c r="C485" s="263">
        <v>10099504</v>
      </c>
      <c r="D485" s="263"/>
      <c r="E485" s="252" t="s">
        <v>3674</v>
      </c>
    </row>
    <row r="486" spans="1:5" x14ac:dyDescent="0.25">
      <c r="A486" s="264">
        <f>HLOOKUP(Overview!$P$8,$B$1:$AI$1500,486,FALSE)</f>
        <v>0</v>
      </c>
      <c r="B486" s="252"/>
      <c r="C486" s="183">
        <v>10002864</v>
      </c>
      <c r="E486" s="264" t="s">
        <v>3509</v>
      </c>
    </row>
    <row r="487" spans="1:5" x14ac:dyDescent="0.25">
      <c r="A487" s="264">
        <f>HLOOKUP(Overview!$P$8,$B$1:$AI$1500,487,FALSE)</f>
        <v>0</v>
      </c>
      <c r="B487" s="252"/>
      <c r="C487" s="183">
        <v>10001690</v>
      </c>
      <c r="E487" s="252" t="s">
        <v>3890</v>
      </c>
    </row>
    <row r="488" spans="1:5" x14ac:dyDescent="0.25">
      <c r="A488" s="264">
        <f>HLOOKUP(Overview!$P$8,$B$1:$AI$1500,488,FALSE)</f>
        <v>0</v>
      </c>
      <c r="B488" s="252"/>
      <c r="C488" s="183">
        <v>10099498</v>
      </c>
      <c r="E488" s="264" t="s">
        <v>3871</v>
      </c>
    </row>
    <row r="489" spans="1:5" x14ac:dyDescent="0.25">
      <c r="A489" s="264">
        <f>HLOOKUP(Overview!$P$8,$B$1:$AI$1500,489,FALSE)</f>
        <v>0</v>
      </c>
      <c r="B489" s="252"/>
      <c r="C489" s="183">
        <v>10099503</v>
      </c>
      <c r="E489" s="252" t="s">
        <v>3675</v>
      </c>
    </row>
    <row r="490" spans="1:5" x14ac:dyDescent="0.25">
      <c r="A490" s="264">
        <f>HLOOKUP(Overview!$P$8,$B$1:$AI$1500,490,FALSE)</f>
        <v>0</v>
      </c>
      <c r="B490" s="252"/>
      <c r="C490" s="183">
        <v>10119503</v>
      </c>
      <c r="E490" s="264" t="s">
        <v>3676</v>
      </c>
    </row>
    <row r="491" spans="1:5" x14ac:dyDescent="0.25">
      <c r="A491" s="264">
        <f>HLOOKUP(Overview!$P$8,$B$1:$AI$1500,491,FALSE)</f>
        <v>0</v>
      </c>
      <c r="B491" s="252"/>
      <c r="C491" s="183">
        <v>10118821</v>
      </c>
      <c r="E491" s="252" t="s">
        <v>3677</v>
      </c>
    </row>
    <row r="492" spans="1:5" x14ac:dyDescent="0.25">
      <c r="A492" s="264">
        <f>HLOOKUP(Overview!$P$8,$B$1:$AI$1500,492,FALSE)</f>
        <v>0</v>
      </c>
      <c r="B492" s="252"/>
      <c r="C492" s="183">
        <v>10113788</v>
      </c>
      <c r="E492" s="264" t="s">
        <v>3678</v>
      </c>
    </row>
    <row r="493" spans="1:5" x14ac:dyDescent="0.25">
      <c r="A493" s="264">
        <f>HLOOKUP(Overview!$P$8,$B$1:$AI$1500,493,FALSE)</f>
        <v>0</v>
      </c>
      <c r="B493" s="252"/>
      <c r="C493" s="183">
        <v>10113787</v>
      </c>
      <c r="E493" s="252" t="s">
        <v>3870</v>
      </c>
    </row>
    <row r="494" spans="1:5" x14ac:dyDescent="0.25">
      <c r="A494" s="264">
        <f>HLOOKUP(Overview!$P$8,$B$1:$AI$1500,494,FALSE)</f>
        <v>0</v>
      </c>
      <c r="B494" s="252"/>
      <c r="C494" s="183">
        <v>10113786</v>
      </c>
      <c r="E494" s="264" t="s">
        <v>3679</v>
      </c>
    </row>
    <row r="495" spans="1:5" x14ac:dyDescent="0.25">
      <c r="A495" s="264">
        <f>HLOOKUP(Overview!$P$8,$B$1:$AI$1500,495,FALSE)</f>
        <v>0</v>
      </c>
      <c r="B495" s="252"/>
      <c r="C495" s="183">
        <v>10002859</v>
      </c>
      <c r="E495" s="252" t="s">
        <v>3680</v>
      </c>
    </row>
    <row r="496" spans="1:5" x14ac:dyDescent="0.25">
      <c r="A496" s="264">
        <f>HLOOKUP(Overview!$P$8,$B$1:$AI$1500,496,FALSE)</f>
        <v>0</v>
      </c>
      <c r="B496" s="252"/>
      <c r="C496" s="183">
        <v>10001682</v>
      </c>
      <c r="E496" s="264" t="s">
        <v>3875</v>
      </c>
    </row>
    <row r="497" spans="1:5" x14ac:dyDescent="0.25">
      <c r="A497" s="264">
        <f>HLOOKUP(Overview!$P$8,$B$1:$AI$1500,497,FALSE)</f>
        <v>0</v>
      </c>
      <c r="B497" s="252"/>
      <c r="C497" s="183">
        <v>10099496</v>
      </c>
      <c r="E497" s="252" t="s">
        <v>3874</v>
      </c>
    </row>
    <row r="498" spans="1:5" x14ac:dyDescent="0.25">
      <c r="A498" s="264">
        <f>HLOOKUP(Overview!$P$8,$B$1:$AI$1500,498,FALSE)</f>
        <v>0</v>
      </c>
      <c r="B498" s="252"/>
      <c r="C498" s="183">
        <v>10099505</v>
      </c>
      <c r="E498" s="264" t="s">
        <v>3681</v>
      </c>
    </row>
    <row r="499" spans="1:5" x14ac:dyDescent="0.25">
      <c r="A499" s="264">
        <f>HLOOKUP(Overview!$P$8,$B$1:$AI$1500,499,FALSE)</f>
        <v>0</v>
      </c>
      <c r="B499" s="252"/>
      <c r="C499" s="183">
        <v>10119509</v>
      </c>
      <c r="E499" s="252" t="s">
        <v>2254</v>
      </c>
    </row>
    <row r="500" spans="1:5" x14ac:dyDescent="0.25">
      <c r="A500" s="264">
        <f>HLOOKUP(Overview!$P$8,$B$1:$AI$1500,500,FALSE)</f>
        <v>0</v>
      </c>
      <c r="B500" s="252"/>
      <c r="C500" s="183">
        <v>10003295</v>
      </c>
      <c r="E500" s="264" t="s">
        <v>2214</v>
      </c>
    </row>
    <row r="501" spans="1:5" x14ac:dyDescent="0.25">
      <c r="A501" s="264">
        <f>HLOOKUP(Overview!$P$8,$B$1:$AI$1500,501,FALSE)</f>
        <v>0</v>
      </c>
      <c r="B501" s="252"/>
      <c r="C501" s="183">
        <v>10001688</v>
      </c>
      <c r="E501" s="252" t="s">
        <v>2234</v>
      </c>
    </row>
    <row r="502" spans="1:5" x14ac:dyDescent="0.25">
      <c r="A502" s="264">
        <f>HLOOKUP(Overview!$P$8,$B$1:$AI$1500,502,FALSE)</f>
        <v>0</v>
      </c>
      <c r="B502" s="252"/>
      <c r="C502" s="183">
        <v>10099476</v>
      </c>
      <c r="E502" s="264" t="s">
        <v>2334</v>
      </c>
    </row>
    <row r="503" spans="1:5" x14ac:dyDescent="0.25">
      <c r="A503" s="264">
        <f>HLOOKUP(Overview!$P$8,$B$1:$AI$1500,503,FALSE)</f>
        <v>0</v>
      </c>
      <c r="B503" s="252"/>
      <c r="C503" s="183">
        <v>10099482</v>
      </c>
      <c r="E503" s="252" t="s">
        <v>2221</v>
      </c>
    </row>
    <row r="504" spans="1:5" x14ac:dyDescent="0.25">
      <c r="A504" s="264">
        <f>HLOOKUP(Overview!$P$8,$B$1:$AI$1500,504,FALSE)</f>
        <v>0</v>
      </c>
      <c r="B504" s="252"/>
      <c r="C504" s="183">
        <v>10000220</v>
      </c>
      <c r="E504" s="264" t="s">
        <v>2313</v>
      </c>
    </row>
    <row r="505" spans="1:5" x14ac:dyDescent="0.25">
      <c r="A505" s="264">
        <f>HLOOKUP(Overview!$P$8,$B$1:$AI$1500,505,FALSE)</f>
        <v>0</v>
      </c>
      <c r="B505" s="252"/>
      <c r="C505" s="183">
        <v>10107873</v>
      </c>
      <c r="E505" s="252" t="s">
        <v>4310</v>
      </c>
    </row>
    <row r="506" spans="1:5" x14ac:dyDescent="0.25">
      <c r="A506" s="264">
        <f>HLOOKUP(Overview!$P$8,$B$1:$AI$1500,506,FALSE)</f>
        <v>0</v>
      </c>
      <c r="B506" s="252"/>
      <c r="C506" s="183">
        <v>10120792</v>
      </c>
      <c r="E506" s="264" t="s">
        <v>4307</v>
      </c>
    </row>
    <row r="507" spans="1:5" x14ac:dyDescent="0.25">
      <c r="A507" s="264">
        <f>HLOOKUP(Overview!$P$8,$B$1:$AI$1500,507,FALSE)</f>
        <v>0</v>
      </c>
      <c r="B507" s="252"/>
      <c r="C507" s="183">
        <v>10120803</v>
      </c>
      <c r="E507" s="252" t="s">
        <v>4308</v>
      </c>
    </row>
    <row r="508" spans="1:5" x14ac:dyDescent="0.25">
      <c r="A508" s="264">
        <f>HLOOKUP(Overview!$P$8,$B$1:$AI$1500,508,FALSE)</f>
        <v>0</v>
      </c>
      <c r="B508" s="252"/>
      <c r="C508" s="183">
        <v>10120837</v>
      </c>
      <c r="E508" s="264" t="s">
        <v>4327</v>
      </c>
    </row>
    <row r="509" spans="1:5" x14ac:dyDescent="0.25">
      <c r="A509" s="264">
        <f>HLOOKUP(Overview!$P$8,$B$1:$AI$1500,509,FALSE)</f>
        <v>0</v>
      </c>
      <c r="B509" s="252"/>
      <c r="C509" s="183">
        <v>10120838</v>
      </c>
      <c r="E509" s="252" t="s">
        <v>4195</v>
      </c>
    </row>
    <row r="510" spans="1:5" x14ac:dyDescent="0.25">
      <c r="A510" s="264">
        <f>HLOOKUP(Overview!$P$8,$B$1:$AI$1500,510,FALSE)</f>
        <v>0</v>
      </c>
      <c r="B510" s="252"/>
      <c r="C510" s="183">
        <v>10120833</v>
      </c>
      <c r="E510" s="264" t="s">
        <v>4268</v>
      </c>
    </row>
    <row r="511" spans="1:5" x14ac:dyDescent="0.25">
      <c r="A511" s="264">
        <f>HLOOKUP(Overview!$P$8,$B$1:$AI$1500,511,FALSE)</f>
        <v>0</v>
      </c>
      <c r="B511" s="252"/>
      <c r="C511" s="183">
        <v>10120832</v>
      </c>
      <c r="E511" s="252" t="s">
        <v>4197</v>
      </c>
    </row>
    <row r="512" spans="1:5" x14ac:dyDescent="0.25">
      <c r="A512" s="264">
        <f>HLOOKUP(Overview!$P$8,$B$1:$AI$1500,512,FALSE)</f>
        <v>0</v>
      </c>
      <c r="B512" s="252"/>
      <c r="C512" s="263">
        <v>10003151</v>
      </c>
      <c r="D512" s="263"/>
      <c r="E512" s="264" t="s">
        <v>4267</v>
      </c>
    </row>
    <row r="513" spans="1:5" x14ac:dyDescent="0.25">
      <c r="A513" s="264">
        <f>HLOOKUP(Overview!$P$8,$B$1:$AI$1500,513,FALSE)</f>
        <v>0</v>
      </c>
      <c r="B513" s="252"/>
      <c r="C513" s="183">
        <v>10003152</v>
      </c>
      <c r="E513" s="252" t="s">
        <v>4199</v>
      </c>
    </row>
    <row r="514" spans="1:5" x14ac:dyDescent="0.25">
      <c r="A514" s="264">
        <f>HLOOKUP(Overview!$P$8,$B$1:$AI$1500,514,FALSE)</f>
        <v>0</v>
      </c>
      <c r="B514" s="252"/>
      <c r="C514" s="183">
        <v>10002911</v>
      </c>
      <c r="E514" s="264" t="s">
        <v>4269</v>
      </c>
    </row>
    <row r="515" spans="1:5" x14ac:dyDescent="0.25">
      <c r="A515" s="264">
        <f>HLOOKUP(Overview!$P$8,$B$1:$AI$1500,515,FALSE)</f>
        <v>0</v>
      </c>
      <c r="B515" s="252"/>
      <c r="C515" s="183">
        <v>10003157</v>
      </c>
      <c r="E515" s="252" t="s">
        <v>4339</v>
      </c>
    </row>
    <row r="516" spans="1:5" x14ac:dyDescent="0.25">
      <c r="A516" s="264">
        <f>HLOOKUP(Overview!$P$8,$B$1:$AI$1500,516,FALSE)</f>
        <v>0</v>
      </c>
      <c r="B516" s="252"/>
      <c r="C516" s="183">
        <v>10003153</v>
      </c>
      <c r="E516" s="264" t="s">
        <v>4330</v>
      </c>
    </row>
    <row r="517" spans="1:5" x14ac:dyDescent="0.25">
      <c r="A517" s="264">
        <f>HLOOKUP(Overview!$P$8,$B$1:$AI$1500,517,FALSE)</f>
        <v>0</v>
      </c>
      <c r="B517" s="252"/>
      <c r="C517" s="183">
        <v>10003154</v>
      </c>
      <c r="E517" s="252" t="s">
        <v>3873</v>
      </c>
    </row>
    <row r="518" spans="1:5" x14ac:dyDescent="0.25">
      <c r="A518" s="264">
        <f>HLOOKUP(Overview!$P$8,$B$1:$AI$1500,518,FALSE)</f>
        <v>0</v>
      </c>
      <c r="B518" s="252"/>
      <c r="C518" s="183">
        <v>10003150</v>
      </c>
      <c r="E518" s="264" t="s">
        <v>4260</v>
      </c>
    </row>
    <row r="519" spans="1:5" x14ac:dyDescent="0.25">
      <c r="A519" s="264">
        <f>HLOOKUP(Overview!$P$8,$B$1:$AI$1500,519,FALSE)</f>
        <v>0</v>
      </c>
      <c r="B519" s="252"/>
      <c r="C519" s="183">
        <v>10002917</v>
      </c>
      <c r="E519" s="252" t="s">
        <v>4261</v>
      </c>
    </row>
    <row r="520" spans="1:5" x14ac:dyDescent="0.25">
      <c r="A520" s="264">
        <f>HLOOKUP(Overview!$P$8,$B$1:$AI$1500,520,FALSE)</f>
        <v>0</v>
      </c>
      <c r="B520" s="252"/>
      <c r="C520" s="183">
        <v>10003155</v>
      </c>
      <c r="E520" s="264" t="s">
        <v>4312</v>
      </c>
    </row>
    <row r="521" spans="1:5" x14ac:dyDescent="0.25">
      <c r="A521" s="264">
        <f>HLOOKUP(Overview!$P$8,$B$1:$AI$1500,521,FALSE)</f>
        <v>0</v>
      </c>
      <c r="B521" s="252"/>
      <c r="C521" s="183">
        <v>10002920</v>
      </c>
      <c r="E521" s="252" t="s">
        <v>4262</v>
      </c>
    </row>
    <row r="522" spans="1:5" x14ac:dyDescent="0.25">
      <c r="A522" s="264">
        <f>HLOOKUP(Overview!$P$8,$B$1:$AI$1500,522,FALSE)</f>
        <v>0</v>
      </c>
      <c r="B522" s="252"/>
      <c r="C522" s="183">
        <v>10003149</v>
      </c>
      <c r="E522" s="264" t="s">
        <v>4263</v>
      </c>
    </row>
    <row r="523" spans="1:5" x14ac:dyDescent="0.25">
      <c r="A523" s="264">
        <f>HLOOKUP(Overview!$P$8,$B$1:$AI$1500,523,FALSE)</f>
        <v>0</v>
      </c>
      <c r="B523" s="252"/>
      <c r="C523" s="183">
        <v>10002919</v>
      </c>
      <c r="E523" s="252" t="s">
        <v>4271</v>
      </c>
    </row>
    <row r="524" spans="1:5" x14ac:dyDescent="0.25">
      <c r="A524" s="264">
        <f>HLOOKUP(Overview!$P$8,$B$1:$AI$1500,524,FALSE)</f>
        <v>0</v>
      </c>
      <c r="B524" s="252"/>
      <c r="C524" s="183">
        <v>10002924</v>
      </c>
      <c r="E524" s="264" t="s">
        <v>4335</v>
      </c>
    </row>
    <row r="525" spans="1:5" x14ac:dyDescent="0.25">
      <c r="A525" s="264">
        <f>HLOOKUP(Overview!$P$8,$B$1:$AI$1500,525,FALSE)</f>
        <v>0</v>
      </c>
      <c r="B525" s="252"/>
      <c r="C525" s="183">
        <v>10003158</v>
      </c>
      <c r="E525" s="252" t="s">
        <v>4336</v>
      </c>
    </row>
    <row r="526" spans="1:5" x14ac:dyDescent="0.25">
      <c r="A526" s="264">
        <f>HLOOKUP(Overview!$P$8,$B$1:$AI$1500,526,FALSE)</f>
        <v>0</v>
      </c>
      <c r="B526" s="252"/>
      <c r="C526" s="183">
        <v>10002921</v>
      </c>
      <c r="E526" s="264" t="s">
        <v>4277</v>
      </c>
    </row>
    <row r="527" spans="1:5" x14ac:dyDescent="0.25">
      <c r="A527" s="264">
        <f>HLOOKUP(Overview!$P$8,$B$1:$AI$1500,527,FALSE)</f>
        <v>0</v>
      </c>
      <c r="B527" s="252"/>
      <c r="C527" s="183">
        <v>10056913</v>
      </c>
      <c r="E527" s="252" t="s">
        <v>4278</v>
      </c>
    </row>
    <row r="528" spans="1:5" x14ac:dyDescent="0.25">
      <c r="A528" s="264">
        <f>HLOOKUP(Overview!$P$8,$B$1:$AI$1500,528,FALSE)</f>
        <v>0</v>
      </c>
      <c r="B528" s="252"/>
      <c r="C528" s="183">
        <v>10002925</v>
      </c>
      <c r="E528" s="264" t="s">
        <v>4315</v>
      </c>
    </row>
    <row r="529" spans="1:5" x14ac:dyDescent="0.25">
      <c r="A529" s="264">
        <f>HLOOKUP(Overview!$P$8,$B$1:$AI$1500,529,FALSE)</f>
        <v>0</v>
      </c>
      <c r="B529" s="252"/>
      <c r="C529" s="263">
        <v>10002923</v>
      </c>
      <c r="D529" s="263"/>
      <c r="E529" s="252" t="s">
        <v>4272</v>
      </c>
    </row>
    <row r="530" spans="1:5" x14ac:dyDescent="0.25">
      <c r="A530" s="264">
        <f>HLOOKUP(Overview!$P$8,$B$1:$AI$1500,530,FALSE)</f>
        <v>0</v>
      </c>
      <c r="B530" s="252"/>
      <c r="C530" s="183">
        <v>10003156</v>
      </c>
      <c r="E530" s="264" t="s">
        <v>4280</v>
      </c>
    </row>
    <row r="531" spans="1:5" x14ac:dyDescent="0.25">
      <c r="A531" s="264">
        <f>HLOOKUP(Overview!$P$8,$B$1:$AI$1500,531,FALSE)</f>
        <v>0</v>
      </c>
      <c r="B531" s="252"/>
      <c r="C531" s="183">
        <v>10056911</v>
      </c>
      <c r="E531" s="252" t="s">
        <v>4264</v>
      </c>
    </row>
    <row r="532" spans="1:5" x14ac:dyDescent="0.25">
      <c r="A532" s="264">
        <f>HLOOKUP(Overview!$P$8,$B$1:$AI$1500,532,FALSE)</f>
        <v>0</v>
      </c>
      <c r="B532" s="252"/>
      <c r="C532" s="183">
        <v>10002922</v>
      </c>
      <c r="E532" s="264" t="s">
        <v>4274</v>
      </c>
    </row>
    <row r="533" spans="1:5" x14ac:dyDescent="0.25">
      <c r="A533" s="264">
        <f>HLOOKUP(Overview!$P$8,$B$1:$AI$1500,533,FALSE)</f>
        <v>0</v>
      </c>
      <c r="B533" s="252"/>
      <c r="C533" s="183">
        <v>10002918</v>
      </c>
      <c r="E533" s="252" t="s">
        <v>4314</v>
      </c>
    </row>
    <row r="534" spans="1:5" x14ac:dyDescent="0.25">
      <c r="A534" s="264">
        <f>HLOOKUP(Overview!$P$8,$B$1:$AI$1500,534,FALSE)</f>
        <v>0</v>
      </c>
      <c r="B534" s="252"/>
      <c r="C534" s="183">
        <v>10081665</v>
      </c>
      <c r="E534" s="264" t="s">
        <v>4345</v>
      </c>
    </row>
    <row r="535" spans="1:5" x14ac:dyDescent="0.25">
      <c r="A535" s="264">
        <f>HLOOKUP(Overview!$P$8,$B$1:$AI$1500,535,FALSE)</f>
        <v>0</v>
      </c>
      <c r="B535" s="252"/>
      <c r="C535" s="183">
        <v>10033520</v>
      </c>
      <c r="E535" s="252" t="s">
        <v>3682</v>
      </c>
    </row>
    <row r="536" spans="1:5" x14ac:dyDescent="0.25">
      <c r="A536" s="264">
        <f>HLOOKUP(Overview!$P$8,$B$1:$AI$1500,536,FALSE)</f>
        <v>0</v>
      </c>
      <c r="B536" s="252"/>
      <c r="C536" s="183">
        <v>10081667</v>
      </c>
      <c r="E536" s="264" t="s">
        <v>3683</v>
      </c>
    </row>
    <row r="537" spans="1:5" x14ac:dyDescent="0.25">
      <c r="A537" s="264">
        <f>HLOOKUP(Overview!$P$8,$B$1:$AI$1500,537,FALSE)</f>
        <v>0</v>
      </c>
      <c r="B537" s="252"/>
      <c r="C537" s="183">
        <v>10081672</v>
      </c>
      <c r="E537" s="252" t="s">
        <v>3684</v>
      </c>
    </row>
    <row r="538" spans="1:5" x14ac:dyDescent="0.25">
      <c r="A538" s="264">
        <f>HLOOKUP(Overview!$P$8,$B$1:$AI$1500,538,FALSE)</f>
        <v>0</v>
      </c>
      <c r="B538" s="252"/>
      <c r="C538" s="183">
        <v>10112575</v>
      </c>
      <c r="E538" s="264" t="s">
        <v>3685</v>
      </c>
    </row>
    <row r="539" spans="1:5" x14ac:dyDescent="0.25">
      <c r="A539" s="264">
        <f>HLOOKUP(Overview!$P$8,$B$1:$AI$1500,539,FALSE)</f>
        <v>0</v>
      </c>
      <c r="B539" s="252"/>
      <c r="C539" s="263">
        <v>10081669</v>
      </c>
      <c r="D539" s="263"/>
      <c r="E539" s="252" t="s">
        <v>4341</v>
      </c>
    </row>
    <row r="540" spans="1:5" x14ac:dyDescent="0.25">
      <c r="A540" s="264">
        <f>HLOOKUP(Overview!$P$8,$B$1:$AI$1500,540,FALSE)</f>
        <v>0</v>
      </c>
      <c r="B540" s="252"/>
      <c r="C540" s="183">
        <v>10081663</v>
      </c>
      <c r="E540" s="264" t="s">
        <v>4342</v>
      </c>
    </row>
    <row r="541" spans="1:5" x14ac:dyDescent="0.25">
      <c r="A541" s="264">
        <f>HLOOKUP(Overview!$P$8,$B$1:$AI$1500,541,FALSE)</f>
        <v>0</v>
      </c>
      <c r="B541" s="252"/>
      <c r="C541" s="183">
        <v>10033521</v>
      </c>
      <c r="E541" s="252" t="s">
        <v>4338</v>
      </c>
    </row>
    <row r="542" spans="1:5" x14ac:dyDescent="0.25">
      <c r="A542" s="264">
        <f>HLOOKUP(Overview!$P$8,$B$1:$AI$1500,542,FALSE)</f>
        <v>0</v>
      </c>
      <c r="B542" s="252"/>
      <c r="C542" s="183">
        <v>10081664</v>
      </c>
      <c r="E542" s="264" t="s">
        <v>4344</v>
      </c>
    </row>
    <row r="543" spans="1:5" x14ac:dyDescent="0.25">
      <c r="A543" s="264">
        <f>HLOOKUP(Overview!$P$8,$B$1:$AI$1500,543,FALSE)</f>
        <v>0</v>
      </c>
      <c r="B543" s="252"/>
      <c r="C543" s="263">
        <v>10081656</v>
      </c>
      <c r="D543" s="263"/>
      <c r="E543" s="252" t="s">
        <v>4343</v>
      </c>
    </row>
    <row r="544" spans="1:5" x14ac:dyDescent="0.25">
      <c r="A544" s="264">
        <f>HLOOKUP(Overview!$P$8,$B$1:$AI$1500,544,FALSE)</f>
        <v>0</v>
      </c>
      <c r="B544" s="252"/>
      <c r="C544" s="183">
        <v>10081629</v>
      </c>
      <c r="E544" s="264" t="s">
        <v>2401</v>
      </c>
    </row>
    <row r="545" spans="1:5" x14ac:dyDescent="0.25">
      <c r="A545" s="264">
        <f>HLOOKUP(Overview!$P$8,$B$1:$AI$1500,545,FALSE)</f>
        <v>0</v>
      </c>
      <c r="B545" s="252"/>
      <c r="C545" s="183">
        <v>10081670</v>
      </c>
      <c r="E545" s="252" t="s">
        <v>2413</v>
      </c>
    </row>
    <row r="546" spans="1:5" x14ac:dyDescent="0.25">
      <c r="A546" s="264">
        <f>HLOOKUP(Overview!$P$8,$B$1:$AI$1500,546,FALSE)</f>
        <v>0</v>
      </c>
      <c r="B546" s="252"/>
      <c r="C546" s="183">
        <v>10081627</v>
      </c>
      <c r="E546" s="264" t="s">
        <v>2159</v>
      </c>
    </row>
    <row r="547" spans="1:5" x14ac:dyDescent="0.25">
      <c r="A547" s="264">
        <f>HLOOKUP(Overview!$P$8,$B$1:$AI$1500,547,FALSE)</f>
        <v>0</v>
      </c>
      <c r="B547" s="252"/>
      <c r="C547" s="183">
        <v>10081625</v>
      </c>
      <c r="E547" s="252" t="s">
        <v>2013</v>
      </c>
    </row>
    <row r="548" spans="1:5" x14ac:dyDescent="0.25">
      <c r="A548" s="264">
        <f>HLOOKUP(Overview!$P$8,$B$1:$AI$1500,548,FALSE)</f>
        <v>0</v>
      </c>
      <c r="B548" s="252"/>
      <c r="C548" s="263">
        <v>10112574</v>
      </c>
      <c r="D548" s="263"/>
      <c r="E548" s="264" t="s">
        <v>2111</v>
      </c>
    </row>
    <row r="549" spans="1:5" x14ac:dyDescent="0.25">
      <c r="A549" s="264">
        <f>HLOOKUP(Overview!$P$8,$B$1:$AI$1500,549,FALSE)</f>
        <v>0</v>
      </c>
      <c r="B549" s="252"/>
      <c r="C549" s="183">
        <v>10081626</v>
      </c>
      <c r="E549" s="252" t="s">
        <v>2282</v>
      </c>
    </row>
    <row r="550" spans="1:5" x14ac:dyDescent="0.25">
      <c r="A550" s="264">
        <f>HLOOKUP(Overview!$P$8,$B$1:$AI$1500,550,FALSE)</f>
        <v>0</v>
      </c>
      <c r="B550" s="252"/>
      <c r="C550" s="183">
        <v>10081666</v>
      </c>
      <c r="E550" s="264" t="s">
        <v>2348</v>
      </c>
    </row>
    <row r="551" spans="1:5" x14ac:dyDescent="0.25">
      <c r="A551" s="264">
        <f>HLOOKUP(Overview!$P$8,$B$1:$AI$1500,551,FALSE)</f>
        <v>0</v>
      </c>
      <c r="B551" s="252"/>
      <c r="C551" s="183">
        <v>10081668</v>
      </c>
      <c r="E551" s="252" t="s">
        <v>2123</v>
      </c>
    </row>
    <row r="552" spans="1:5" x14ac:dyDescent="0.25">
      <c r="A552" s="264">
        <f>HLOOKUP(Overview!$P$8,$B$1:$AI$1500,552,FALSE)</f>
        <v>0</v>
      </c>
      <c r="B552" s="252"/>
      <c r="C552" s="183">
        <v>10006319</v>
      </c>
      <c r="E552" s="264" t="s">
        <v>2223</v>
      </c>
    </row>
    <row r="553" spans="1:5" x14ac:dyDescent="0.25">
      <c r="A553" s="264">
        <f>HLOOKUP(Overview!$P$8,$B$1:$AI$1500,553,FALSE)</f>
        <v>0</v>
      </c>
      <c r="B553" s="252"/>
      <c r="C553" s="183">
        <v>20004180</v>
      </c>
      <c r="E553" s="252" t="s">
        <v>4354</v>
      </c>
    </row>
    <row r="554" spans="1:5" x14ac:dyDescent="0.25">
      <c r="A554" s="264">
        <f>HLOOKUP(Overview!$P$8,$B$1:$AI$1500,554,FALSE)</f>
        <v>0</v>
      </c>
      <c r="B554" s="252"/>
      <c r="C554" s="183">
        <v>20000081</v>
      </c>
      <c r="E554" s="264" t="s">
        <v>2017</v>
      </c>
    </row>
    <row r="555" spans="1:5" x14ac:dyDescent="0.25">
      <c r="A555" s="264">
        <f>HLOOKUP(Overview!$P$8,$B$1:$AI$1500,555,FALSE)</f>
        <v>0</v>
      </c>
      <c r="B555" s="252"/>
      <c r="C555" s="183">
        <v>10003319</v>
      </c>
      <c r="E555" s="252" t="s">
        <v>4275</v>
      </c>
    </row>
    <row r="556" spans="1:5" x14ac:dyDescent="0.25">
      <c r="A556" s="264">
        <f>HLOOKUP(Overview!$P$8,$B$1:$AI$1500,556,FALSE)</f>
        <v>0</v>
      </c>
      <c r="B556" s="252"/>
      <c r="C556" s="183">
        <v>10063897</v>
      </c>
      <c r="E556" s="264" t="s">
        <v>4355</v>
      </c>
    </row>
    <row r="557" spans="1:5" x14ac:dyDescent="0.25">
      <c r="A557" s="264">
        <f>HLOOKUP(Overview!$P$8,$B$1:$AI$1500,557,FALSE)</f>
        <v>0</v>
      </c>
      <c r="B557" s="252"/>
      <c r="C557" s="183">
        <v>10099477</v>
      </c>
      <c r="E557" s="252" t="s">
        <v>4317</v>
      </c>
    </row>
    <row r="558" spans="1:5" x14ac:dyDescent="0.25">
      <c r="A558" s="264">
        <f>HLOOKUP(Overview!$P$8,$B$1:$AI$1500,558,FALSE)</f>
        <v>0</v>
      </c>
      <c r="B558" s="252"/>
      <c r="C558" s="183">
        <v>10099474</v>
      </c>
      <c r="E558" s="264" t="s">
        <v>4318</v>
      </c>
    </row>
    <row r="559" spans="1:5" x14ac:dyDescent="0.25">
      <c r="A559" s="264">
        <f>HLOOKUP(Overview!$P$8,$B$1:$AI$1500,559,FALSE)</f>
        <v>0</v>
      </c>
      <c r="B559" s="252"/>
      <c r="C559" s="183">
        <v>10119504</v>
      </c>
      <c r="E559" s="252" t="s">
        <v>4320</v>
      </c>
    </row>
    <row r="560" spans="1:5" x14ac:dyDescent="0.25">
      <c r="A560" s="264">
        <f>HLOOKUP(Overview!$P$8,$B$1:$AI$1500,560,FALSE)</f>
        <v>0</v>
      </c>
      <c r="B560" s="252"/>
      <c r="C560" s="183">
        <v>10099464</v>
      </c>
      <c r="E560" s="264" t="s">
        <v>4321</v>
      </c>
    </row>
    <row r="561" spans="1:5" x14ac:dyDescent="0.25">
      <c r="A561" s="264">
        <f>HLOOKUP(Overview!$P$8,$B$1:$AI$1500,561,FALSE)</f>
        <v>0</v>
      </c>
      <c r="B561" s="252"/>
      <c r="C561" s="183">
        <v>10099481</v>
      </c>
      <c r="E561" s="252" t="s">
        <v>4322</v>
      </c>
    </row>
    <row r="562" spans="1:5" x14ac:dyDescent="0.25">
      <c r="A562" s="264">
        <f>HLOOKUP(Overview!$P$8,$B$1:$AI$1500,562,FALSE)</f>
        <v>0</v>
      </c>
      <c r="B562" s="252"/>
      <c r="C562" s="183">
        <v>10099478</v>
      </c>
      <c r="E562" s="264" t="s">
        <v>4324</v>
      </c>
    </row>
    <row r="563" spans="1:5" x14ac:dyDescent="0.25">
      <c r="A563" s="264">
        <f>HLOOKUP(Overview!$P$8,$B$1:$AI$1500,563,FALSE)</f>
        <v>0</v>
      </c>
      <c r="B563" s="252"/>
      <c r="C563" s="183">
        <v>10128136</v>
      </c>
      <c r="E563" s="252" t="s">
        <v>4325</v>
      </c>
    </row>
    <row r="564" spans="1:5" x14ac:dyDescent="0.25">
      <c r="A564" s="264">
        <f>HLOOKUP(Overview!$P$8,$B$1:$AI$1500,564,FALSE)</f>
        <v>0</v>
      </c>
      <c r="B564" s="252"/>
      <c r="C564" s="183">
        <v>10099462</v>
      </c>
      <c r="E564" s="264" t="s">
        <v>2410</v>
      </c>
    </row>
    <row r="565" spans="1:5" x14ac:dyDescent="0.25">
      <c r="A565" s="264">
        <f>HLOOKUP(Overview!$P$8,$B$1:$AI$1500,565,FALSE)</f>
        <v>0</v>
      </c>
      <c r="B565" s="252"/>
      <c r="C565" s="263">
        <v>10099467</v>
      </c>
      <c r="D565" s="263"/>
      <c r="E565" s="252" t="s">
        <v>2251</v>
      </c>
    </row>
    <row r="566" spans="1:5" x14ac:dyDescent="0.25">
      <c r="A566" s="264">
        <f>HLOOKUP(Overview!$P$8,$B$1:$AI$1500,566,FALSE)</f>
        <v>0</v>
      </c>
      <c r="B566" s="252"/>
      <c r="C566" s="183">
        <v>10001804</v>
      </c>
      <c r="E566" s="264" t="s">
        <v>4357</v>
      </c>
    </row>
    <row r="567" spans="1:5" x14ac:dyDescent="0.25">
      <c r="A567" s="264">
        <f>HLOOKUP(Overview!$P$8,$B$1:$AI$1500,567,FALSE)</f>
        <v>0</v>
      </c>
      <c r="B567" s="252"/>
      <c r="C567" s="183">
        <v>10099480</v>
      </c>
      <c r="E567" s="252" t="s">
        <v>4352</v>
      </c>
    </row>
    <row r="568" spans="1:5" x14ac:dyDescent="0.25">
      <c r="A568" s="264">
        <f>HLOOKUP(Overview!$P$8,$B$1:$AI$1500,568,FALSE)</f>
        <v>0</v>
      </c>
      <c r="B568" s="252"/>
      <c r="C568" s="183">
        <v>10099479</v>
      </c>
      <c r="E568" s="264" t="s">
        <v>3632</v>
      </c>
    </row>
    <row r="569" spans="1:5" x14ac:dyDescent="0.25">
      <c r="A569" s="264">
        <f>HLOOKUP(Overview!$P$8,$B$1:$AI$1500,569,FALSE)</f>
        <v>0</v>
      </c>
      <c r="B569" s="252"/>
      <c r="C569" s="183">
        <v>10003318</v>
      </c>
      <c r="E569" s="252" t="s">
        <v>3633</v>
      </c>
    </row>
    <row r="570" spans="1:5" x14ac:dyDescent="0.25">
      <c r="A570" s="264">
        <f>HLOOKUP(Overview!$P$8,$B$1:$AI$1500,570,FALSE)</f>
        <v>0</v>
      </c>
      <c r="B570" s="252"/>
      <c r="C570" s="183">
        <v>10001686</v>
      </c>
      <c r="E570" s="264" t="s">
        <v>3634</v>
      </c>
    </row>
    <row r="571" spans="1:5" x14ac:dyDescent="0.25">
      <c r="A571" s="264">
        <f>HLOOKUP(Overview!$P$8,$B$1:$AI$1500,571,FALSE)</f>
        <v>0</v>
      </c>
      <c r="B571" s="252"/>
      <c r="C571" s="183">
        <v>10119506</v>
      </c>
      <c r="E571" s="252" t="s">
        <v>2352</v>
      </c>
    </row>
    <row r="572" spans="1:5" x14ac:dyDescent="0.25">
      <c r="A572" s="264">
        <f>HLOOKUP(Overview!$P$8,$B$1:$AI$1500,572,FALSE)</f>
        <v>0</v>
      </c>
      <c r="B572" s="252"/>
      <c r="C572" s="183">
        <v>10099475</v>
      </c>
      <c r="E572" s="264" t="s">
        <v>2102</v>
      </c>
    </row>
    <row r="573" spans="1:5" x14ac:dyDescent="0.25">
      <c r="A573" s="264">
        <f>HLOOKUP(Overview!$P$8,$B$1:$AI$1500,573,FALSE)</f>
        <v>0</v>
      </c>
      <c r="B573" s="252"/>
      <c r="C573" s="183">
        <v>10099483</v>
      </c>
      <c r="E573" s="252" t="s">
        <v>2270</v>
      </c>
    </row>
    <row r="574" spans="1:5" x14ac:dyDescent="0.25">
      <c r="A574" s="264">
        <f>HLOOKUP(Overview!$P$8,$B$1:$AI$1500,574,FALSE)</f>
        <v>0</v>
      </c>
      <c r="B574" s="252"/>
      <c r="C574" s="183">
        <v>10119618</v>
      </c>
      <c r="E574" s="264" t="s">
        <v>2213</v>
      </c>
    </row>
    <row r="575" spans="1:5" x14ac:dyDescent="0.25">
      <c r="A575" s="264">
        <f>HLOOKUP(Overview!$P$8,$B$1:$AI$1500,575,FALSE)</f>
        <v>0</v>
      </c>
      <c r="B575" s="252"/>
      <c r="C575" s="183">
        <v>10119609</v>
      </c>
      <c r="E575" s="252" t="s">
        <v>2173</v>
      </c>
    </row>
    <row r="576" spans="1:5" x14ac:dyDescent="0.25">
      <c r="A576" s="264">
        <f>HLOOKUP(Overview!$P$8,$B$1:$AI$1500,576,FALSE)</f>
        <v>0</v>
      </c>
      <c r="B576" s="252"/>
      <c r="C576" s="183">
        <v>10119616</v>
      </c>
      <c r="E576" s="264" t="s">
        <v>2331</v>
      </c>
    </row>
    <row r="577" spans="1:5" x14ac:dyDescent="0.25">
      <c r="A577" s="264">
        <f>HLOOKUP(Overview!$P$8,$B$1:$AI$1500,577,FALSE)</f>
        <v>0</v>
      </c>
      <c r="B577" s="252"/>
      <c r="C577" s="183">
        <v>10119613</v>
      </c>
      <c r="E577" s="252" t="s">
        <v>2212</v>
      </c>
    </row>
    <row r="578" spans="1:5" x14ac:dyDescent="0.25">
      <c r="A578" s="264">
        <f>HLOOKUP(Overview!$P$8,$B$1:$AI$1500,578,FALSE)</f>
        <v>0</v>
      </c>
      <c r="B578" s="252"/>
      <c r="C578" s="183">
        <v>10119610</v>
      </c>
      <c r="E578" s="264" t="s">
        <v>2257</v>
      </c>
    </row>
    <row r="579" spans="1:5" x14ac:dyDescent="0.25">
      <c r="A579" s="264">
        <f>HLOOKUP(Overview!$P$8,$B$1:$AI$1500,579,FALSE)</f>
        <v>0</v>
      </c>
      <c r="B579" s="252"/>
      <c r="C579" s="183">
        <v>10119617</v>
      </c>
      <c r="E579" s="252" t="s">
        <v>2392</v>
      </c>
    </row>
    <row r="580" spans="1:5" x14ac:dyDescent="0.25">
      <c r="A580" s="264">
        <f>HLOOKUP(Overview!$P$8,$B$1:$AI$1500,580,FALSE)</f>
        <v>0</v>
      </c>
      <c r="B580" s="252"/>
      <c r="C580" s="183">
        <v>10099463</v>
      </c>
      <c r="E580" s="264" t="s">
        <v>2370</v>
      </c>
    </row>
    <row r="581" spans="1:5" x14ac:dyDescent="0.25">
      <c r="A581" s="264">
        <f>HLOOKUP(Overview!$P$8,$B$1:$AI$1500,581,FALSE)</f>
        <v>0</v>
      </c>
      <c r="B581" s="252"/>
      <c r="C581" s="183">
        <v>10119615</v>
      </c>
      <c r="E581" s="252" t="s">
        <v>4346</v>
      </c>
    </row>
    <row r="582" spans="1:5" x14ac:dyDescent="0.25">
      <c r="A582" s="264">
        <f>HLOOKUP(Overview!$P$8,$B$1:$AI$1500,582,FALSE)</f>
        <v>0</v>
      </c>
      <c r="B582" s="252"/>
      <c r="C582" s="183">
        <v>10119611</v>
      </c>
      <c r="E582" s="264" t="s">
        <v>2327</v>
      </c>
    </row>
    <row r="583" spans="1:5" x14ac:dyDescent="0.25">
      <c r="A583" s="264">
        <f>HLOOKUP(Overview!$P$8,$B$1:$AI$1500,583,FALSE)</f>
        <v>0</v>
      </c>
      <c r="B583" s="252"/>
      <c r="C583" s="183">
        <v>10119614</v>
      </c>
      <c r="E583" s="252" t="s">
        <v>4350</v>
      </c>
    </row>
    <row r="584" spans="1:5" x14ac:dyDescent="0.25">
      <c r="A584" s="264">
        <f>HLOOKUP(Overview!$P$8,$B$1:$AI$1500,584,FALSE)</f>
        <v>0</v>
      </c>
      <c r="B584" s="252"/>
      <c r="C584" s="183">
        <v>10125812</v>
      </c>
      <c r="E584" s="264" t="s">
        <v>2315</v>
      </c>
    </row>
    <row r="585" spans="1:5" x14ac:dyDescent="0.25">
      <c r="A585" s="264">
        <f>HLOOKUP(Overview!$P$8,$B$1:$AI$1500,585,FALSE)</f>
        <v>0</v>
      </c>
      <c r="B585" s="252"/>
      <c r="C585" s="183">
        <v>10125813</v>
      </c>
      <c r="E585" s="252" t="s">
        <v>2420</v>
      </c>
    </row>
    <row r="586" spans="1:5" x14ac:dyDescent="0.25">
      <c r="A586" s="264">
        <f>HLOOKUP(Overview!$P$8,$B$1:$AI$1500,586,FALSE)</f>
        <v>0</v>
      </c>
      <c r="B586" s="252"/>
      <c r="C586" s="183">
        <v>10099494</v>
      </c>
      <c r="E586" s="264" t="s">
        <v>4351</v>
      </c>
    </row>
    <row r="587" spans="1:5" x14ac:dyDescent="0.25">
      <c r="A587" s="264">
        <f>HLOOKUP(Overview!$P$8,$B$1:$AI$1500,587,FALSE)</f>
        <v>0</v>
      </c>
      <c r="B587" s="252"/>
      <c r="C587" s="183">
        <v>10002860</v>
      </c>
      <c r="E587" s="252" t="s">
        <v>2276</v>
      </c>
    </row>
    <row r="588" spans="1:5" x14ac:dyDescent="0.25">
      <c r="A588" s="264">
        <f>HLOOKUP(Overview!$P$8,$B$1:$AI$1500,588,FALSE)</f>
        <v>0</v>
      </c>
      <c r="B588" s="252"/>
      <c r="C588" s="183">
        <v>10001692</v>
      </c>
      <c r="E588" s="264" t="s">
        <v>2362</v>
      </c>
    </row>
    <row r="589" spans="1:5" x14ac:dyDescent="0.25">
      <c r="A589" s="264">
        <f>HLOOKUP(Overview!$P$8,$B$1:$AI$1500,589,FALSE)</f>
        <v>0</v>
      </c>
      <c r="B589" s="252"/>
      <c r="C589" s="183">
        <v>10099491</v>
      </c>
      <c r="E589" s="252" t="s">
        <v>3635</v>
      </c>
    </row>
    <row r="590" spans="1:5" x14ac:dyDescent="0.25">
      <c r="A590" s="264">
        <f>HLOOKUP(Overview!$P$8,$B$1:$AI$1500,590,FALSE)</f>
        <v>0</v>
      </c>
      <c r="B590" s="252"/>
      <c r="C590" s="183">
        <v>10132886</v>
      </c>
      <c r="E590" s="264" t="s">
        <v>4356</v>
      </c>
    </row>
    <row r="591" spans="1:5" x14ac:dyDescent="0.25">
      <c r="A591" s="264">
        <f>HLOOKUP(Overview!$P$8,$B$1:$AI$1500,591,FALSE)</f>
        <v>0</v>
      </c>
      <c r="B591" s="252"/>
      <c r="C591" s="183">
        <v>10099470</v>
      </c>
      <c r="E591" s="252" t="s">
        <v>2377</v>
      </c>
    </row>
    <row r="592" spans="1:5" x14ac:dyDescent="0.25">
      <c r="A592" s="264">
        <f>HLOOKUP(Overview!$P$8,$B$1:$AI$1500,592,FALSE)</f>
        <v>0</v>
      </c>
      <c r="B592" s="252"/>
      <c r="C592" s="183">
        <v>10002862</v>
      </c>
      <c r="E592" s="264" t="s">
        <v>4347</v>
      </c>
    </row>
    <row r="593" spans="1:5" x14ac:dyDescent="0.25">
      <c r="A593" s="264">
        <f>HLOOKUP(Overview!$P$8,$B$1:$AI$1500,593,FALSE)</f>
        <v>0</v>
      </c>
      <c r="B593" s="252"/>
      <c r="C593" s="183">
        <v>10099469</v>
      </c>
      <c r="E593" s="252" t="s">
        <v>4348</v>
      </c>
    </row>
    <row r="594" spans="1:5" x14ac:dyDescent="0.25">
      <c r="A594" s="264">
        <f>HLOOKUP(Overview!$P$8,$B$1:$AI$1500,594,FALSE)</f>
        <v>0</v>
      </c>
      <c r="B594" s="252"/>
      <c r="C594" s="183">
        <v>10128135</v>
      </c>
      <c r="E594" s="264" t="s">
        <v>4349</v>
      </c>
    </row>
    <row r="595" spans="1:5" x14ac:dyDescent="0.25">
      <c r="A595" s="264">
        <f>HLOOKUP(Overview!$P$8,$B$1:$AI$1500,595,FALSE)</f>
        <v>0</v>
      </c>
      <c r="B595" s="252"/>
      <c r="C595" s="183">
        <v>10099492</v>
      </c>
      <c r="E595" s="252" t="s">
        <v>2301</v>
      </c>
    </row>
    <row r="596" spans="1:5" x14ac:dyDescent="0.25">
      <c r="A596" s="264">
        <f>HLOOKUP(Overview!$P$8,$B$1:$AI$1500,596,FALSE)</f>
        <v>0</v>
      </c>
      <c r="B596" s="252"/>
      <c r="C596" s="183">
        <v>10099488</v>
      </c>
      <c r="E596" s="264" t="s">
        <v>2179</v>
      </c>
    </row>
    <row r="597" spans="1:5" x14ac:dyDescent="0.25">
      <c r="A597" s="264">
        <f>HLOOKUP(Overview!$P$8,$B$1:$AI$1500,597,FALSE)</f>
        <v>0</v>
      </c>
      <c r="B597" s="252"/>
      <c r="C597" s="183">
        <v>10133999</v>
      </c>
      <c r="E597" s="252" t="s">
        <v>2225</v>
      </c>
    </row>
    <row r="598" spans="1:5" x14ac:dyDescent="0.25">
      <c r="A598" s="264">
        <f>HLOOKUP(Overview!$P$8,$B$1:$AI$1500,598,FALSE)</f>
        <v>0</v>
      </c>
      <c r="B598" s="252"/>
      <c r="C598" s="183">
        <v>10134000</v>
      </c>
      <c r="E598" s="264" t="s">
        <v>2298</v>
      </c>
    </row>
    <row r="599" spans="1:5" x14ac:dyDescent="0.25">
      <c r="A599" s="264">
        <f>HLOOKUP(Overview!$P$8,$B$1:$AI$1500,599,FALSE)</f>
        <v>0</v>
      </c>
      <c r="B599" s="252"/>
      <c r="C599" s="183">
        <v>10099515</v>
      </c>
      <c r="E599" s="252" t="s">
        <v>2289</v>
      </c>
    </row>
    <row r="600" spans="1:5" x14ac:dyDescent="0.25">
      <c r="A600" s="264">
        <f>HLOOKUP(Overview!$P$8,$B$1:$AI$1500,600,FALSE)</f>
        <v>0</v>
      </c>
      <c r="B600" s="252"/>
      <c r="C600" s="183">
        <v>10107872</v>
      </c>
      <c r="E600" s="264" t="s">
        <v>2336</v>
      </c>
    </row>
    <row r="601" spans="1:5" x14ac:dyDescent="0.25">
      <c r="A601" s="264">
        <f>HLOOKUP(Overview!$P$8,$B$1:$AI$1500,601,FALSE)</f>
        <v>0</v>
      </c>
      <c r="B601" s="252"/>
      <c r="C601" s="183">
        <v>10031905</v>
      </c>
      <c r="E601" s="252" t="s">
        <v>2375</v>
      </c>
    </row>
    <row r="602" spans="1:5" x14ac:dyDescent="0.25">
      <c r="A602" s="264">
        <f>HLOOKUP(Overview!$P$8,$B$1:$AI$1500,602,FALSE)</f>
        <v>0</v>
      </c>
      <c r="B602" s="252"/>
      <c r="C602" s="183">
        <v>10031904</v>
      </c>
      <c r="E602" s="264" t="s">
        <v>3636</v>
      </c>
    </row>
    <row r="603" spans="1:5" x14ac:dyDescent="0.25">
      <c r="A603" s="264">
        <f>HLOOKUP(Overview!$P$8,$B$1:$AI$1500,603,FALSE)</f>
        <v>0</v>
      </c>
      <c r="B603" s="252"/>
      <c r="C603" s="183">
        <v>10099490</v>
      </c>
      <c r="E603" s="252" t="s">
        <v>3637</v>
      </c>
    </row>
    <row r="604" spans="1:5" x14ac:dyDescent="0.25">
      <c r="A604" s="264">
        <f>HLOOKUP(Overview!$P$8,$B$1:$AI$1500,604,FALSE)</f>
        <v>0</v>
      </c>
      <c r="B604" s="252"/>
      <c r="C604" s="183">
        <v>10099486</v>
      </c>
      <c r="E604" s="264" t="s">
        <v>2350</v>
      </c>
    </row>
    <row r="605" spans="1:5" x14ac:dyDescent="0.25">
      <c r="A605" s="264">
        <f>HLOOKUP(Overview!$P$8,$B$1:$AI$1500,605,FALSE)</f>
        <v>0</v>
      </c>
      <c r="B605" s="252"/>
      <c r="C605" s="183">
        <v>10109319</v>
      </c>
      <c r="E605" s="252" t="s">
        <v>2279</v>
      </c>
    </row>
    <row r="606" spans="1:5" x14ac:dyDescent="0.25">
      <c r="A606" s="264">
        <f>HLOOKUP(Overview!$P$8,$B$1:$AI$1500,606,FALSE)</f>
        <v>0</v>
      </c>
      <c r="B606" s="252"/>
      <c r="C606" s="183">
        <v>10109317</v>
      </c>
      <c r="E606" s="264" t="s">
        <v>2011</v>
      </c>
    </row>
    <row r="607" spans="1:5" x14ac:dyDescent="0.25">
      <c r="A607" s="264">
        <f>HLOOKUP(Overview!$P$8,$B$1:$AI$1500,607,FALSE)</f>
        <v>0</v>
      </c>
      <c r="B607" s="252"/>
      <c r="C607" s="263">
        <v>10109318</v>
      </c>
      <c r="D607" s="263"/>
      <c r="E607" s="252" t="s">
        <v>2043</v>
      </c>
    </row>
    <row r="608" spans="1:5" x14ac:dyDescent="0.25">
      <c r="A608" s="264">
        <f>HLOOKUP(Overview!$P$8,$B$1:$AI$1500,608,FALSE)</f>
        <v>0</v>
      </c>
      <c r="B608" s="252"/>
      <c r="C608" s="183">
        <v>10002863</v>
      </c>
      <c r="E608" s="264" t="s">
        <v>3638</v>
      </c>
    </row>
    <row r="609" spans="1:5" x14ac:dyDescent="0.25">
      <c r="A609" s="264">
        <f>HLOOKUP(Overview!$P$8,$B$1:$AI$1500,609,FALSE)</f>
        <v>0</v>
      </c>
      <c r="B609" s="252"/>
      <c r="C609" s="183">
        <v>10001685</v>
      </c>
      <c r="E609" s="252" t="s">
        <v>2324</v>
      </c>
    </row>
    <row r="610" spans="1:5" x14ac:dyDescent="0.25">
      <c r="A610" s="264">
        <f>HLOOKUP(Overview!$P$8,$B$1:$AI$1500,610,FALSE)</f>
        <v>0</v>
      </c>
      <c r="B610" s="252"/>
      <c r="C610" s="183">
        <v>10099489</v>
      </c>
      <c r="E610" s="264" t="s">
        <v>2242</v>
      </c>
    </row>
    <row r="611" spans="1:5" x14ac:dyDescent="0.25">
      <c r="A611" s="264">
        <f>HLOOKUP(Overview!$P$8,$B$1:$AI$1500,611,FALSE)</f>
        <v>0</v>
      </c>
      <c r="B611" s="252"/>
      <c r="C611" s="183">
        <v>10099493</v>
      </c>
      <c r="E611" s="252" t="s">
        <v>4353</v>
      </c>
    </row>
    <row r="612" spans="1:5" x14ac:dyDescent="0.25">
      <c r="A612" s="264">
        <f>HLOOKUP(Overview!$P$8,$B$1:$AI$1500,612,FALSE)</f>
        <v>0</v>
      </c>
      <c r="B612" s="252"/>
      <c r="C612" s="183">
        <v>10119508</v>
      </c>
      <c r="E612" s="264" t="s">
        <v>2288</v>
      </c>
    </row>
    <row r="613" spans="1:5" x14ac:dyDescent="0.25">
      <c r="A613" s="264">
        <f>HLOOKUP(Overview!$P$8,$B$1:$AI$1500,613,FALSE)</f>
        <v>0</v>
      </c>
      <c r="B613" s="252"/>
      <c r="C613" s="183">
        <v>10090323</v>
      </c>
      <c r="E613" s="252" t="s">
        <v>2396</v>
      </c>
    </row>
    <row r="614" spans="1:5" x14ac:dyDescent="0.25">
      <c r="A614" s="264">
        <f>HLOOKUP(Overview!$P$8,$B$1:$AI$1500,614,FALSE)</f>
        <v>0</v>
      </c>
      <c r="B614" s="252"/>
      <c r="C614" s="183">
        <v>10090322</v>
      </c>
      <c r="E614" s="264" t="s">
        <v>2358</v>
      </c>
    </row>
    <row r="615" spans="1:5" x14ac:dyDescent="0.25">
      <c r="A615" s="264">
        <f>HLOOKUP(Overview!$P$8,$B$1:$AI$1500,615,FALSE)</f>
        <v>0</v>
      </c>
      <c r="B615" s="252"/>
      <c r="C615" s="183">
        <v>10099465</v>
      </c>
      <c r="E615" s="252" t="s">
        <v>3639</v>
      </c>
    </row>
    <row r="616" spans="1:5" x14ac:dyDescent="0.25">
      <c r="A616" s="264">
        <f>HLOOKUP(Overview!$P$8,$B$1:$AI$1500,616,FALSE)</f>
        <v>0</v>
      </c>
      <c r="B616" s="252"/>
      <c r="C616" s="183">
        <v>10099466</v>
      </c>
      <c r="E616" s="264" t="s">
        <v>3586</v>
      </c>
    </row>
    <row r="617" spans="1:5" x14ac:dyDescent="0.25">
      <c r="A617" s="264">
        <f>HLOOKUP(Overview!$P$8,$B$1:$AI$1500,617,FALSE)</f>
        <v>0</v>
      </c>
      <c r="B617" s="252"/>
      <c r="C617" s="183">
        <v>10119505</v>
      </c>
      <c r="E617" s="252" t="s">
        <v>4358</v>
      </c>
    </row>
    <row r="618" spans="1:5" x14ac:dyDescent="0.25">
      <c r="A618" s="264">
        <f>HLOOKUP(Overview!$P$8,$B$1:$AI$1500,618,FALSE)</f>
        <v>0</v>
      </c>
      <c r="B618" s="252"/>
      <c r="C618" s="183">
        <v>10002858</v>
      </c>
      <c r="E618" s="264" t="s">
        <v>3686</v>
      </c>
    </row>
    <row r="619" spans="1:5" x14ac:dyDescent="0.25">
      <c r="A619" s="264">
        <f>HLOOKUP(Overview!$P$8,$B$1:$AI$1500,619,FALSE)</f>
        <v>0</v>
      </c>
      <c r="B619" s="252"/>
      <c r="C619" s="183">
        <v>10001684</v>
      </c>
      <c r="E619" s="252" t="s">
        <v>3687</v>
      </c>
    </row>
    <row r="620" spans="1:5" x14ac:dyDescent="0.25">
      <c r="A620" s="264">
        <f>HLOOKUP(Overview!$P$8,$B$1:$AI$1500,620,FALSE)</f>
        <v>0</v>
      </c>
      <c r="B620" s="252"/>
      <c r="C620" s="183">
        <v>10099485</v>
      </c>
      <c r="E620" s="264" t="s">
        <v>3688</v>
      </c>
    </row>
    <row r="621" spans="1:5" x14ac:dyDescent="0.25">
      <c r="A621" s="264">
        <f>HLOOKUP(Overview!$P$8,$B$1:$AI$1500,621,FALSE)</f>
        <v>0</v>
      </c>
      <c r="B621" s="252"/>
      <c r="C621" s="183">
        <v>10099487</v>
      </c>
      <c r="E621" s="252" t="s">
        <v>3689</v>
      </c>
    </row>
    <row r="622" spans="1:5" x14ac:dyDescent="0.25">
      <c r="A622" s="264">
        <f>HLOOKUP(Overview!$P$8,$B$1:$AI$1500,622,FALSE)</f>
        <v>0</v>
      </c>
      <c r="B622" s="252"/>
      <c r="C622" s="183">
        <v>10119507</v>
      </c>
      <c r="E622" s="264" t="s">
        <v>2354</v>
      </c>
    </row>
    <row r="623" spans="1:5" x14ac:dyDescent="0.25">
      <c r="A623" s="264">
        <f>HLOOKUP(Overview!$P$8,$B$1:$AI$1500,623,FALSE)</f>
        <v>0</v>
      </c>
      <c r="B623" s="252"/>
      <c r="C623" s="183">
        <v>10002865</v>
      </c>
      <c r="E623" s="252" t="s">
        <v>2356</v>
      </c>
    </row>
    <row r="624" spans="1:5" x14ac:dyDescent="0.25">
      <c r="A624" s="264">
        <f>HLOOKUP(Overview!$P$8,$B$1:$AI$1500,624,FALSE)</f>
        <v>0</v>
      </c>
      <c r="B624" s="252"/>
      <c r="C624" s="183">
        <v>10001683</v>
      </c>
      <c r="E624" s="264" t="s">
        <v>2344</v>
      </c>
    </row>
    <row r="625" spans="1:5" x14ac:dyDescent="0.25">
      <c r="A625" s="264">
        <f>HLOOKUP(Overview!$P$8,$B$1:$AI$1500,625,FALSE)</f>
        <v>0</v>
      </c>
      <c r="B625" s="252"/>
      <c r="C625" s="183">
        <v>10099468</v>
      </c>
      <c r="E625" s="252" t="s">
        <v>2394</v>
      </c>
    </row>
    <row r="626" spans="1:5" x14ac:dyDescent="0.25">
      <c r="A626" s="264">
        <f>HLOOKUP(Overview!$P$8,$B$1:$AI$1500,626,FALSE)</f>
        <v>0</v>
      </c>
      <c r="B626" s="252"/>
      <c r="C626" s="183">
        <v>10099471</v>
      </c>
      <c r="E626" s="264" t="s">
        <v>3512</v>
      </c>
    </row>
    <row r="627" spans="1:5" x14ac:dyDescent="0.25">
      <c r="A627" s="264">
        <f>HLOOKUP(Overview!$P$8,$B$1:$AI$1500,627,FALSE)</f>
        <v>0</v>
      </c>
      <c r="B627" s="252"/>
      <c r="C627" s="183">
        <v>10002429</v>
      </c>
      <c r="E627" s="252" t="s">
        <v>3421</v>
      </c>
    </row>
    <row r="628" spans="1:5" x14ac:dyDescent="0.25">
      <c r="A628" s="264">
        <f>HLOOKUP(Overview!$P$8,$B$1:$AI$1500,628,FALSE)</f>
        <v>0</v>
      </c>
      <c r="B628" s="252"/>
      <c r="C628" s="183">
        <v>10086430</v>
      </c>
      <c r="E628" s="264" t="s">
        <v>3417</v>
      </c>
    </row>
    <row r="629" spans="1:5" x14ac:dyDescent="0.25">
      <c r="A629" s="264">
        <f>HLOOKUP(Overview!$P$8,$B$1:$AI$1500,629,FALSE)</f>
        <v>0</v>
      </c>
      <c r="B629" s="252"/>
      <c r="C629" s="263">
        <v>20019320</v>
      </c>
      <c r="D629" s="263"/>
      <c r="E629" s="252" t="s">
        <v>3510</v>
      </c>
    </row>
    <row r="630" spans="1:5" x14ac:dyDescent="0.25">
      <c r="A630" s="264">
        <f>HLOOKUP(Overview!$P$8,$B$1:$AI$1500,630,FALSE)</f>
        <v>0</v>
      </c>
      <c r="B630" s="252"/>
      <c r="C630" s="183">
        <v>20009692</v>
      </c>
      <c r="E630" s="264" t="s">
        <v>3891</v>
      </c>
    </row>
    <row r="631" spans="1:5" x14ac:dyDescent="0.25">
      <c r="A631" s="264">
        <f>HLOOKUP(Overview!$P$8,$B$1:$AI$1500,631,FALSE)</f>
        <v>0</v>
      </c>
      <c r="B631" s="252"/>
      <c r="C631" s="263">
        <v>20000947</v>
      </c>
      <c r="D631" s="263"/>
      <c r="E631" s="252" t="s">
        <v>3885</v>
      </c>
    </row>
    <row r="632" spans="1:5" x14ac:dyDescent="0.25">
      <c r="A632" s="264">
        <f>HLOOKUP(Overview!$P$8,$B$1:$AI$1500,632,FALSE)</f>
        <v>0</v>
      </c>
      <c r="B632" s="252"/>
      <c r="C632" s="183">
        <v>20022637</v>
      </c>
      <c r="E632" s="264" t="s">
        <v>3886</v>
      </c>
    </row>
    <row r="633" spans="1:5" x14ac:dyDescent="0.25">
      <c r="A633" s="264">
        <f>HLOOKUP(Overview!$P$8,$B$1:$AI$1500,633,FALSE)</f>
        <v>0</v>
      </c>
      <c r="B633" s="252"/>
      <c r="C633" s="263">
        <v>20000951</v>
      </c>
      <c r="D633" s="263"/>
      <c r="E633" s="252" t="s">
        <v>3889</v>
      </c>
    </row>
    <row r="634" spans="1:5" x14ac:dyDescent="0.25">
      <c r="A634" s="264">
        <f>HLOOKUP(Overview!$P$8,$B$1:$AI$1500,634,FALSE)</f>
        <v>0</v>
      </c>
      <c r="B634" s="252"/>
      <c r="C634" s="263">
        <v>20000949</v>
      </c>
      <c r="D634" s="263"/>
      <c r="E634" s="264" t="s">
        <v>3892</v>
      </c>
    </row>
    <row r="635" spans="1:5" x14ac:dyDescent="0.25">
      <c r="A635" s="264">
        <f>HLOOKUP(Overview!$P$8,$B$1:$AI$1500,635,FALSE)</f>
        <v>0</v>
      </c>
      <c r="B635" s="252"/>
      <c r="C635" s="183">
        <v>20001900</v>
      </c>
      <c r="E635" s="252" t="s">
        <v>3893</v>
      </c>
    </row>
    <row r="636" spans="1:5" x14ac:dyDescent="0.25">
      <c r="A636" s="264">
        <f>HLOOKUP(Overview!$P$8,$B$1:$AI$1500,636,FALSE)</f>
        <v>0</v>
      </c>
      <c r="B636" s="252"/>
      <c r="C636" s="183">
        <v>20000948</v>
      </c>
      <c r="E636" s="264" t="s">
        <v>3887</v>
      </c>
    </row>
    <row r="637" spans="1:5" x14ac:dyDescent="0.25">
      <c r="A637" s="264">
        <f>HLOOKUP(Overview!$P$8,$B$1:$AI$1500,637,FALSE)</f>
        <v>0</v>
      </c>
      <c r="B637" s="252"/>
      <c r="C637" s="263">
        <v>20025548</v>
      </c>
      <c r="D637" s="263"/>
      <c r="E637" s="252" t="s">
        <v>3878</v>
      </c>
    </row>
    <row r="638" spans="1:5" x14ac:dyDescent="0.25">
      <c r="A638" s="264">
        <f>HLOOKUP(Overview!$P$8,$B$1:$AI$1500,638,FALSE)</f>
        <v>0</v>
      </c>
      <c r="B638" s="252"/>
      <c r="C638" s="183">
        <v>20025547</v>
      </c>
      <c r="E638" s="264" t="s">
        <v>3872</v>
      </c>
    </row>
    <row r="639" spans="1:5" x14ac:dyDescent="0.25">
      <c r="A639" s="264">
        <f>HLOOKUP(Overview!$P$8,$B$1:$AI$1500,639,FALSE)</f>
        <v>0</v>
      </c>
      <c r="B639" s="252"/>
      <c r="C639" s="183">
        <v>10063828</v>
      </c>
      <c r="E639" s="252" t="s">
        <v>3690</v>
      </c>
    </row>
    <row r="640" spans="1:5" x14ac:dyDescent="0.25">
      <c r="A640" s="264">
        <f>HLOOKUP(Overview!$P$8,$B$1:$AI$1500,640,FALSE)</f>
        <v>0</v>
      </c>
      <c r="B640" s="252"/>
      <c r="C640" s="263">
        <v>10090141</v>
      </c>
      <c r="D640" s="263"/>
      <c r="E640" s="264" t="s">
        <v>3898</v>
      </c>
    </row>
    <row r="641" spans="1:5" x14ac:dyDescent="0.25">
      <c r="A641" s="264">
        <f>HLOOKUP(Overview!$P$8,$B$1:$AI$1500,641,FALSE)</f>
        <v>0</v>
      </c>
      <c r="B641" s="252"/>
      <c r="C641" s="183">
        <v>10083916</v>
      </c>
      <c r="E641" s="252" t="s">
        <v>3691</v>
      </c>
    </row>
    <row r="642" spans="1:5" x14ac:dyDescent="0.25">
      <c r="A642" s="264">
        <f>HLOOKUP(Overview!$P$8,$B$1:$AI$1500,642,FALSE)</f>
        <v>0</v>
      </c>
      <c r="B642" s="252"/>
      <c r="C642" s="183">
        <v>10063830</v>
      </c>
      <c r="E642" s="264" t="s">
        <v>3595</v>
      </c>
    </row>
    <row r="643" spans="1:5" x14ac:dyDescent="0.25">
      <c r="A643" s="264">
        <f>HLOOKUP(Overview!$P$8,$B$1:$AI$1500,643,FALSE)</f>
        <v>0</v>
      </c>
      <c r="B643" s="252"/>
      <c r="C643" s="183">
        <v>10063829</v>
      </c>
      <c r="E643" s="252" t="s">
        <v>3598</v>
      </c>
    </row>
    <row r="644" spans="1:5" x14ac:dyDescent="0.25">
      <c r="A644" s="264">
        <f>HLOOKUP(Overview!$P$8,$B$1:$AI$1500,644,FALSE)</f>
        <v>0</v>
      </c>
      <c r="B644" s="252"/>
      <c r="C644" s="183">
        <v>10063825</v>
      </c>
      <c r="E644" s="264" t="s">
        <v>3596</v>
      </c>
    </row>
    <row r="645" spans="1:5" x14ac:dyDescent="0.25">
      <c r="A645" s="264">
        <f>HLOOKUP(Overview!$P$8,$B$1:$AI$1500,645,FALSE)</f>
        <v>0</v>
      </c>
      <c r="B645" s="252"/>
      <c r="C645" s="183">
        <v>10083917</v>
      </c>
      <c r="E645" s="252" t="s">
        <v>3899</v>
      </c>
    </row>
    <row r="646" spans="1:5" x14ac:dyDescent="0.25">
      <c r="A646" s="264">
        <f>HLOOKUP(Overview!$P$8,$B$1:$AI$1500,646,FALSE)</f>
        <v>0</v>
      </c>
      <c r="B646" s="252"/>
      <c r="C646" s="183">
        <v>10090140</v>
      </c>
      <c r="E646" s="264" t="s">
        <v>3894</v>
      </c>
    </row>
    <row r="647" spans="1:5" x14ac:dyDescent="0.25">
      <c r="A647" s="264">
        <f>HLOOKUP(Overview!$P$8,$B$1:$AI$1500,647,FALSE)</f>
        <v>0</v>
      </c>
      <c r="B647" s="252"/>
      <c r="C647" s="183">
        <v>10120847</v>
      </c>
      <c r="E647" s="252" t="s">
        <v>3895</v>
      </c>
    </row>
    <row r="648" spans="1:5" x14ac:dyDescent="0.25">
      <c r="A648" s="264">
        <f>HLOOKUP(Overview!$P$8,$B$1:$AI$1500,648,FALSE)</f>
        <v>0</v>
      </c>
      <c r="B648" s="252"/>
      <c r="C648" s="183">
        <v>10120848</v>
      </c>
      <c r="E648" s="264" t="s">
        <v>3692</v>
      </c>
    </row>
    <row r="649" spans="1:5" x14ac:dyDescent="0.25">
      <c r="A649" s="264">
        <f>HLOOKUP(Overview!$P$8,$B$1:$AI$1500,649,FALSE)</f>
        <v>0</v>
      </c>
      <c r="B649" s="252"/>
      <c r="C649" s="183">
        <v>10120840</v>
      </c>
      <c r="E649" s="252" t="s">
        <v>3693</v>
      </c>
    </row>
    <row r="650" spans="1:5" x14ac:dyDescent="0.25">
      <c r="A650" s="264">
        <f>HLOOKUP(Overview!$P$8,$B$1:$AI$1500,650,FALSE)</f>
        <v>0</v>
      </c>
      <c r="B650" s="252"/>
      <c r="C650" s="183">
        <v>10120846</v>
      </c>
      <c r="E650" s="264" t="s">
        <v>3694</v>
      </c>
    </row>
    <row r="651" spans="1:5" x14ac:dyDescent="0.25">
      <c r="A651" s="264">
        <f>HLOOKUP(Overview!$P$8,$B$1:$AI$1500,651,FALSE)</f>
        <v>0</v>
      </c>
      <c r="B651" s="252"/>
      <c r="C651" s="183">
        <v>10120842</v>
      </c>
      <c r="E651" s="252" t="s">
        <v>3515</v>
      </c>
    </row>
    <row r="652" spans="1:5" x14ac:dyDescent="0.25">
      <c r="A652" s="264">
        <f>HLOOKUP(Overview!$P$8,$B$1:$AI$1500,652,FALSE)</f>
        <v>0</v>
      </c>
      <c r="B652" s="252"/>
      <c r="C652" s="183">
        <v>10120841</v>
      </c>
      <c r="E652" s="264" t="s">
        <v>3516</v>
      </c>
    </row>
    <row r="653" spans="1:5" x14ac:dyDescent="0.25">
      <c r="A653" s="264">
        <f>HLOOKUP(Overview!$P$8,$B$1:$AI$1500,653,FALSE)</f>
        <v>0</v>
      </c>
      <c r="B653" s="252"/>
      <c r="C653" s="183">
        <v>10120844</v>
      </c>
      <c r="E653" s="252" t="s">
        <v>3423</v>
      </c>
    </row>
    <row r="654" spans="1:5" x14ac:dyDescent="0.25">
      <c r="A654" s="264">
        <f>HLOOKUP(Overview!$P$8,$B$1:$AI$1500,654,FALSE)</f>
        <v>0</v>
      </c>
      <c r="B654" s="252"/>
      <c r="C654" s="183">
        <v>10120843</v>
      </c>
      <c r="E654" s="264" t="s">
        <v>3518</v>
      </c>
    </row>
    <row r="655" spans="1:5" x14ac:dyDescent="0.25">
      <c r="A655" s="264">
        <f>HLOOKUP(Overview!$P$8,$B$1:$AI$1500,655,FALSE)</f>
        <v>0</v>
      </c>
      <c r="B655" s="252"/>
      <c r="C655" s="183">
        <v>10120845</v>
      </c>
      <c r="E655" s="252" t="s">
        <v>3521</v>
      </c>
    </row>
    <row r="656" spans="1:5" x14ac:dyDescent="0.25">
      <c r="A656" s="264">
        <f>HLOOKUP(Overview!$P$8,$B$1:$AI$1500,656,FALSE)</f>
        <v>0</v>
      </c>
      <c r="B656" s="252"/>
      <c r="C656" s="183">
        <v>10120849</v>
      </c>
      <c r="E656" s="264" t="s">
        <v>3519</v>
      </c>
    </row>
    <row r="657" spans="1:5" x14ac:dyDescent="0.25">
      <c r="A657" s="264">
        <f>HLOOKUP(Overview!$P$8,$B$1:$AI$1500,657,FALSE)</f>
        <v>0</v>
      </c>
      <c r="B657" s="252"/>
      <c r="C657" s="183">
        <v>10083936</v>
      </c>
      <c r="E657" s="252" t="s">
        <v>3415</v>
      </c>
    </row>
    <row r="658" spans="1:5" x14ac:dyDescent="0.25">
      <c r="A658" s="264">
        <f>HLOOKUP(Overview!$P$8,$B$1:$AI$1500,658,FALSE)</f>
        <v>0</v>
      </c>
      <c r="B658" s="252"/>
      <c r="C658" s="183">
        <v>10083935</v>
      </c>
      <c r="E658" s="264" t="s">
        <v>3513</v>
      </c>
    </row>
    <row r="659" spans="1:5" x14ac:dyDescent="0.25">
      <c r="A659" s="264">
        <f>HLOOKUP(Overview!$P$8,$B$1:$AI$1500,659,FALSE)</f>
        <v>0</v>
      </c>
      <c r="B659" s="252"/>
      <c r="C659" s="183">
        <v>10084026</v>
      </c>
      <c r="E659" s="252" t="s">
        <v>3419</v>
      </c>
    </row>
    <row r="660" spans="1:5" x14ac:dyDescent="0.25">
      <c r="A660" s="264">
        <f>HLOOKUP(Overview!$P$8,$B$1:$AI$1500,660,FALSE)</f>
        <v>0</v>
      </c>
      <c r="B660" s="252"/>
      <c r="C660" s="263">
        <v>10079085</v>
      </c>
      <c r="D660" s="263"/>
      <c r="E660" s="264" t="s">
        <v>3695</v>
      </c>
    </row>
    <row r="661" spans="1:5" x14ac:dyDescent="0.25">
      <c r="A661" s="264">
        <f>HLOOKUP(Overview!$P$8,$B$1:$AI$1500,661,FALSE)</f>
        <v>0</v>
      </c>
      <c r="B661" s="252"/>
      <c r="C661" s="263">
        <v>10084025</v>
      </c>
      <c r="D661" s="263"/>
      <c r="E661" s="252" t="s">
        <v>3897</v>
      </c>
    </row>
    <row r="662" spans="1:5" x14ac:dyDescent="0.25">
      <c r="A662" s="264">
        <f>HLOOKUP(Overview!$P$8,$B$1:$AI$1500,662,FALSE)</f>
        <v>0</v>
      </c>
      <c r="B662" s="252"/>
      <c r="C662" s="183">
        <v>10079084</v>
      </c>
      <c r="E662" s="264" t="s">
        <v>3879</v>
      </c>
    </row>
    <row r="663" spans="1:5" x14ac:dyDescent="0.25">
      <c r="A663" s="264">
        <f>HLOOKUP(Overview!$P$8,$B$1:$AI$1500,663,FALSE)</f>
        <v>0</v>
      </c>
      <c r="B663" s="252"/>
      <c r="C663" s="183">
        <v>10084024</v>
      </c>
      <c r="E663" s="252" t="s">
        <v>3882</v>
      </c>
    </row>
    <row r="664" spans="1:5" x14ac:dyDescent="0.25">
      <c r="A664" s="264">
        <f>HLOOKUP(Overview!$P$8,$B$1:$AI$1500,664,FALSE)</f>
        <v>0</v>
      </c>
      <c r="B664" s="252"/>
      <c r="C664" s="263">
        <v>10079086</v>
      </c>
      <c r="D664" s="263"/>
      <c r="E664" s="264" t="s">
        <v>3876</v>
      </c>
    </row>
    <row r="665" spans="1:5" x14ac:dyDescent="0.25">
      <c r="A665" s="264">
        <f>HLOOKUP(Overview!$P$8,$B$1:$AI$1500,665,FALSE)</f>
        <v>0</v>
      </c>
      <c r="B665" s="252"/>
      <c r="C665" s="183">
        <v>10111501</v>
      </c>
      <c r="E665" s="252" t="s">
        <v>3880</v>
      </c>
    </row>
    <row r="666" spans="1:5" x14ac:dyDescent="0.25">
      <c r="A666" s="264">
        <f>HLOOKUP(Overview!$P$8,$B$1:$AI$1500,666,FALSE)</f>
        <v>0</v>
      </c>
      <c r="B666" s="252"/>
      <c r="C666" s="183">
        <v>10128281</v>
      </c>
      <c r="E666" s="264" t="s">
        <v>3881</v>
      </c>
    </row>
    <row r="667" spans="1:5" x14ac:dyDescent="0.25">
      <c r="A667" s="264">
        <f>HLOOKUP(Overview!$P$8,$B$1:$AI$1500,667,FALSE)</f>
        <v>0</v>
      </c>
      <c r="B667" s="252"/>
      <c r="C667" s="183" t="s">
        <v>1248</v>
      </c>
      <c r="E667" s="252" t="s">
        <v>3877</v>
      </c>
    </row>
    <row r="668" spans="1:5" x14ac:dyDescent="0.25">
      <c r="A668" s="264">
        <f>HLOOKUP(Overview!$P$8,$B$1:$AI$1500,668,FALSE)</f>
        <v>0</v>
      </c>
      <c r="B668" s="252"/>
      <c r="C668" s="183">
        <v>10124151</v>
      </c>
      <c r="E668" s="264" t="s">
        <v>3884</v>
      </c>
    </row>
    <row r="669" spans="1:5" x14ac:dyDescent="0.25">
      <c r="A669" s="264">
        <f>HLOOKUP(Overview!$P$8,$B$1:$AI$1500,669,FALSE)</f>
        <v>0</v>
      </c>
      <c r="B669" s="252"/>
      <c r="C669" s="183">
        <v>10110064</v>
      </c>
      <c r="E669" s="252" t="s">
        <v>3883</v>
      </c>
    </row>
    <row r="670" spans="1:5" x14ac:dyDescent="0.25">
      <c r="A670" s="264">
        <f>HLOOKUP(Overview!$P$8,$B$1:$AI$1500,670,FALSE)</f>
        <v>0</v>
      </c>
      <c r="C670" s="183">
        <v>10110019</v>
      </c>
    </row>
    <row r="671" spans="1:5" x14ac:dyDescent="0.25">
      <c r="A671" s="264">
        <f>HLOOKUP(Overview!$P$8,$B$1:$AI$1500,671,FALSE)</f>
        <v>0</v>
      </c>
      <c r="C671" s="183">
        <v>10124149</v>
      </c>
    </row>
    <row r="672" spans="1:5" x14ac:dyDescent="0.25">
      <c r="A672" s="264">
        <f>HLOOKUP(Overview!$P$8,$B$1:$AI$1500,672,FALSE)</f>
        <v>0</v>
      </c>
      <c r="C672" s="183">
        <v>10110033</v>
      </c>
    </row>
    <row r="673" spans="1:4" x14ac:dyDescent="0.25">
      <c r="A673" s="264">
        <f>HLOOKUP(Overview!$P$8,$B$1:$AI$1500,673,FALSE)</f>
        <v>0</v>
      </c>
      <c r="C673" s="263">
        <v>10110049</v>
      </c>
      <c r="D673" s="263"/>
    </row>
    <row r="674" spans="1:4" x14ac:dyDescent="0.25">
      <c r="A674" s="264">
        <f>HLOOKUP(Overview!$P$8,$B$1:$AI$1500,674,FALSE)</f>
        <v>0</v>
      </c>
      <c r="C674" s="183">
        <v>10112767</v>
      </c>
    </row>
    <row r="675" spans="1:4" x14ac:dyDescent="0.25">
      <c r="A675" s="264">
        <f>HLOOKUP(Overview!$P$8,$B$1:$AI$1500,675,FALSE)</f>
        <v>0</v>
      </c>
      <c r="C675" s="183">
        <v>10124152</v>
      </c>
    </row>
    <row r="676" spans="1:4" x14ac:dyDescent="0.25">
      <c r="A676" s="264">
        <f>HLOOKUP(Overview!$P$8,$B$1:$AI$1500,676,FALSE)</f>
        <v>0</v>
      </c>
      <c r="C676" s="183">
        <v>10110014</v>
      </c>
    </row>
    <row r="677" spans="1:4" x14ac:dyDescent="0.25">
      <c r="A677" s="264">
        <f>HLOOKUP(Overview!$P$8,$B$1:$AI$1500,677,FALSE)</f>
        <v>0</v>
      </c>
      <c r="C677" s="183">
        <v>10110007</v>
      </c>
    </row>
    <row r="678" spans="1:4" x14ac:dyDescent="0.25">
      <c r="A678" s="264">
        <f>HLOOKUP(Overview!$P$8,$B$1:$AI$1500,678,FALSE)</f>
        <v>0</v>
      </c>
      <c r="C678" s="183">
        <v>10110067</v>
      </c>
    </row>
    <row r="679" spans="1:4" x14ac:dyDescent="0.25">
      <c r="A679" s="264">
        <f>HLOOKUP(Overview!$P$8,$B$1:$AI$1500,679,FALSE)</f>
        <v>0</v>
      </c>
      <c r="C679" s="183">
        <v>10110022</v>
      </c>
    </row>
    <row r="680" spans="1:4" x14ac:dyDescent="0.25">
      <c r="A680" s="264">
        <f>HLOOKUP(Overview!$P$8,$B$1:$AI$1500,680,FALSE)</f>
        <v>0</v>
      </c>
      <c r="C680" s="183">
        <v>10110038</v>
      </c>
    </row>
    <row r="681" spans="1:4" x14ac:dyDescent="0.25">
      <c r="A681" s="264">
        <f>HLOOKUP(Overview!$P$8,$B$1:$AI$1500,681,FALSE)</f>
        <v>0</v>
      </c>
      <c r="C681" s="183">
        <v>10110069</v>
      </c>
    </row>
    <row r="682" spans="1:4" x14ac:dyDescent="0.25">
      <c r="A682" s="264">
        <f>HLOOKUP(Overview!$P$8,$B$1:$AI$1500,682,FALSE)</f>
        <v>0</v>
      </c>
      <c r="C682" s="183">
        <v>10110023</v>
      </c>
    </row>
    <row r="683" spans="1:4" x14ac:dyDescent="0.25">
      <c r="A683" s="264">
        <f>HLOOKUP(Overview!$P$8,$B$1:$AI$1500,683,FALSE)</f>
        <v>0</v>
      </c>
      <c r="C683" s="183">
        <v>10110009</v>
      </c>
    </row>
    <row r="684" spans="1:4" x14ac:dyDescent="0.25">
      <c r="A684" s="264">
        <f>HLOOKUP(Overview!$P$8,$B$1:$AI$1500,684,FALSE)</f>
        <v>0</v>
      </c>
      <c r="C684" s="183">
        <v>10110053</v>
      </c>
    </row>
    <row r="685" spans="1:4" x14ac:dyDescent="0.25">
      <c r="A685" s="264">
        <f>HLOOKUP(Overview!$P$8,$B$1:$AI$1500,685,FALSE)</f>
        <v>0</v>
      </c>
      <c r="C685" s="183">
        <v>10121163</v>
      </c>
    </row>
    <row r="686" spans="1:4" x14ac:dyDescent="0.25">
      <c r="A686" s="264">
        <f>HLOOKUP(Overview!$P$8,$B$1:$AI$1500,686,FALSE)</f>
        <v>0</v>
      </c>
      <c r="C686" s="183">
        <v>10110032</v>
      </c>
    </row>
    <row r="687" spans="1:4" x14ac:dyDescent="0.25">
      <c r="A687" s="264">
        <f>HLOOKUP(Overview!$P$8,$B$1:$AI$1500,687,FALSE)</f>
        <v>0</v>
      </c>
      <c r="C687" s="263">
        <v>10110040</v>
      </c>
      <c r="D687" s="263"/>
    </row>
    <row r="688" spans="1:4" x14ac:dyDescent="0.25">
      <c r="A688" s="264">
        <f>HLOOKUP(Overview!$P$8,$B$1:$AI$1500,688,FALSE)</f>
        <v>0</v>
      </c>
      <c r="C688" s="183">
        <v>10121162</v>
      </c>
    </row>
    <row r="689" spans="1:4" x14ac:dyDescent="0.25">
      <c r="A689" s="264">
        <f>HLOOKUP(Overview!$P$8,$B$1:$AI$1500,689,FALSE)</f>
        <v>0</v>
      </c>
      <c r="C689" s="183">
        <v>10124150</v>
      </c>
    </row>
    <row r="690" spans="1:4" x14ac:dyDescent="0.25">
      <c r="A690" s="264">
        <f>HLOOKUP(Overview!$P$8,$B$1:$AI$1500,690,FALSE)</f>
        <v>0</v>
      </c>
      <c r="C690" s="183">
        <v>10110015</v>
      </c>
    </row>
    <row r="691" spans="1:4" x14ac:dyDescent="0.25">
      <c r="A691" s="264">
        <f>HLOOKUP(Overview!$P$8,$B$1:$AI$1500,691,FALSE)</f>
        <v>0</v>
      </c>
      <c r="C691" s="183">
        <v>10123491</v>
      </c>
    </row>
    <row r="692" spans="1:4" x14ac:dyDescent="0.25">
      <c r="A692" s="264">
        <f>HLOOKUP(Overview!$P$8,$B$1:$AI$1500,692,FALSE)</f>
        <v>0</v>
      </c>
      <c r="C692" s="183">
        <v>10123494</v>
      </c>
    </row>
    <row r="693" spans="1:4" x14ac:dyDescent="0.25">
      <c r="A693" s="264">
        <f>HLOOKUP(Overview!$P$8,$B$1:$AI$1500,693,FALSE)</f>
        <v>0</v>
      </c>
      <c r="C693" s="183">
        <v>10123495</v>
      </c>
    </row>
    <row r="694" spans="1:4" x14ac:dyDescent="0.25">
      <c r="A694" s="264">
        <f>HLOOKUP(Overview!$P$8,$B$1:$AI$1500,694,FALSE)</f>
        <v>0</v>
      </c>
      <c r="C694" s="183">
        <v>10123499</v>
      </c>
    </row>
    <row r="695" spans="1:4" x14ac:dyDescent="0.25">
      <c r="A695" s="264">
        <f>HLOOKUP(Overview!$P$8,$B$1:$AI$1500,695,FALSE)</f>
        <v>0</v>
      </c>
      <c r="C695" s="183">
        <v>10123492</v>
      </c>
    </row>
    <row r="696" spans="1:4" x14ac:dyDescent="0.25">
      <c r="A696" s="264">
        <f>HLOOKUP(Overview!$P$8,$B$1:$AI$1500,696,FALSE)</f>
        <v>0</v>
      </c>
      <c r="C696" s="183">
        <v>10123497</v>
      </c>
    </row>
    <row r="697" spans="1:4" x14ac:dyDescent="0.25">
      <c r="A697" s="264">
        <f>HLOOKUP(Overview!$P$8,$B$1:$AI$1500,697,FALSE)</f>
        <v>0</v>
      </c>
      <c r="C697" s="183">
        <v>10123498</v>
      </c>
    </row>
    <row r="698" spans="1:4" x14ac:dyDescent="0.25">
      <c r="A698" s="264">
        <f>HLOOKUP(Overview!$P$8,$B$1:$AI$1500,698,FALSE)</f>
        <v>0</v>
      </c>
      <c r="C698" s="183">
        <v>10123496</v>
      </c>
    </row>
    <row r="699" spans="1:4" x14ac:dyDescent="0.25">
      <c r="A699" s="264">
        <f>HLOOKUP(Overview!$P$8,$B$1:$AI$1500,699,FALSE)</f>
        <v>0</v>
      </c>
      <c r="C699" s="263">
        <v>20000063</v>
      </c>
      <c r="D699" s="263"/>
    </row>
    <row r="700" spans="1:4" x14ac:dyDescent="0.25">
      <c r="A700" s="264">
        <f>HLOOKUP(Overview!$P$8,$B$1:$AI$1500,700,FALSE)</f>
        <v>0</v>
      </c>
      <c r="C700" s="183">
        <v>10001315</v>
      </c>
    </row>
    <row r="701" spans="1:4" x14ac:dyDescent="0.25">
      <c r="A701" s="264">
        <f>HLOOKUP(Overview!$P$8,$B$1:$AI$1500,701,FALSE)</f>
        <v>0</v>
      </c>
      <c r="C701" s="263">
        <v>10001323</v>
      </c>
      <c r="D701" s="263"/>
    </row>
    <row r="702" spans="1:4" x14ac:dyDescent="0.25">
      <c r="A702" s="264">
        <f>HLOOKUP(Overview!$P$8,$B$1:$AI$1500,702,FALSE)</f>
        <v>0</v>
      </c>
      <c r="C702" s="183">
        <v>20030107</v>
      </c>
    </row>
    <row r="703" spans="1:4" x14ac:dyDescent="0.25">
      <c r="A703" s="264">
        <f>HLOOKUP(Overview!$P$8,$B$1:$AI$1500,703,FALSE)</f>
        <v>0</v>
      </c>
      <c r="C703" s="183">
        <v>10110362</v>
      </c>
    </row>
    <row r="704" spans="1:4" x14ac:dyDescent="0.25">
      <c r="A704" s="264">
        <f>HLOOKUP(Overview!$P$8,$B$1:$AI$1500,704,FALSE)</f>
        <v>0</v>
      </c>
      <c r="C704" s="183">
        <v>10000069</v>
      </c>
    </row>
    <row r="705" spans="1:4" x14ac:dyDescent="0.25">
      <c r="A705" s="264">
        <f>HLOOKUP(Overview!$P$8,$B$1:$AI$1500,705,FALSE)</f>
        <v>0</v>
      </c>
      <c r="C705" s="183">
        <v>10003027</v>
      </c>
    </row>
    <row r="706" spans="1:4" x14ac:dyDescent="0.25">
      <c r="A706" s="264">
        <f>HLOOKUP(Overview!$P$8,$B$1:$AI$1500,706,FALSE)</f>
        <v>0</v>
      </c>
      <c r="C706" s="183">
        <v>10001336</v>
      </c>
    </row>
    <row r="707" spans="1:4" x14ac:dyDescent="0.25">
      <c r="A707" s="264">
        <f>HLOOKUP(Overview!$P$8,$B$1:$AI$1500,707,FALSE)</f>
        <v>0</v>
      </c>
      <c r="C707" s="183">
        <v>10003030</v>
      </c>
    </row>
    <row r="708" spans="1:4" x14ac:dyDescent="0.25">
      <c r="A708" s="264">
        <f>HLOOKUP(Overview!$P$8,$B$1:$AI$1500,708,FALSE)</f>
        <v>0</v>
      </c>
      <c r="C708" s="263">
        <v>10001335</v>
      </c>
      <c r="D708" s="263"/>
    </row>
    <row r="709" spans="1:4" x14ac:dyDescent="0.25">
      <c r="A709" s="264">
        <f>HLOOKUP(Overview!$P$8,$B$1:$AI$1500,709,FALSE)</f>
        <v>0</v>
      </c>
      <c r="C709" s="183">
        <v>10003031</v>
      </c>
    </row>
    <row r="710" spans="1:4" x14ac:dyDescent="0.25">
      <c r="A710" s="264">
        <f>HLOOKUP(Overview!$P$8,$B$1:$AI$1500,710,FALSE)</f>
        <v>0</v>
      </c>
      <c r="C710" s="263">
        <v>10003032</v>
      </c>
      <c r="D710" s="263"/>
    </row>
    <row r="711" spans="1:4" x14ac:dyDescent="0.25">
      <c r="A711" s="264">
        <f>HLOOKUP(Overview!$P$8,$B$1:$AI$1500,711,FALSE)</f>
        <v>0</v>
      </c>
      <c r="C711" s="183">
        <v>10003033</v>
      </c>
    </row>
    <row r="712" spans="1:4" x14ac:dyDescent="0.25">
      <c r="A712" s="264">
        <f>HLOOKUP(Overview!$P$8,$B$1:$AI$1500,712,FALSE)</f>
        <v>0</v>
      </c>
      <c r="C712" s="183">
        <v>10003034</v>
      </c>
    </row>
    <row r="713" spans="1:4" x14ac:dyDescent="0.25">
      <c r="A713" s="264">
        <f>HLOOKUP(Overview!$P$8,$B$1:$AI$1500,713,FALSE)</f>
        <v>0</v>
      </c>
      <c r="C713" s="183">
        <v>10003036</v>
      </c>
    </row>
    <row r="714" spans="1:4" x14ac:dyDescent="0.25">
      <c r="A714" s="264">
        <f>HLOOKUP(Overview!$P$8,$B$1:$AI$1500,714,FALSE)</f>
        <v>0</v>
      </c>
      <c r="C714" s="183">
        <v>10000071</v>
      </c>
    </row>
    <row r="715" spans="1:4" x14ac:dyDescent="0.25">
      <c r="A715" s="264">
        <f>HLOOKUP(Overview!$P$8,$B$1:$AI$1500,715,FALSE)</f>
        <v>0</v>
      </c>
      <c r="C715" s="183">
        <v>10001337</v>
      </c>
    </row>
    <row r="716" spans="1:4" x14ac:dyDescent="0.25">
      <c r="A716" s="264">
        <f>HLOOKUP(Overview!$P$8,$B$1:$AI$1500,716,FALSE)</f>
        <v>0</v>
      </c>
      <c r="C716" s="263">
        <v>10000254</v>
      </c>
      <c r="D716" s="263"/>
    </row>
    <row r="717" spans="1:4" x14ac:dyDescent="0.25">
      <c r="A717" s="264">
        <f>HLOOKUP(Overview!$P$8,$B$1:$AI$1500,717,FALSE)</f>
        <v>0</v>
      </c>
      <c r="C717" s="183">
        <v>10012926</v>
      </c>
    </row>
    <row r="718" spans="1:4" x14ac:dyDescent="0.25">
      <c r="A718" s="264">
        <f>HLOOKUP(Overview!$P$8,$B$1:$AI$1500,718,FALSE)</f>
        <v>0</v>
      </c>
      <c r="C718" s="183">
        <v>10001314</v>
      </c>
    </row>
    <row r="719" spans="1:4" x14ac:dyDescent="0.25">
      <c r="A719" s="264">
        <f>HLOOKUP(Overview!$P$8,$B$1:$AI$1500,719,FALSE)</f>
        <v>0</v>
      </c>
      <c r="C719" s="183">
        <v>10030102</v>
      </c>
    </row>
    <row r="720" spans="1:4" x14ac:dyDescent="0.25">
      <c r="A720" s="264">
        <f>HLOOKUP(Overview!$P$8,$B$1:$AI$1500,720,FALSE)</f>
        <v>0</v>
      </c>
      <c r="C720" s="183">
        <v>10001633</v>
      </c>
    </row>
    <row r="721" spans="1:4" x14ac:dyDescent="0.25">
      <c r="A721" s="264">
        <f>HLOOKUP(Overview!$P$8,$B$1:$AI$1500,721,FALSE)</f>
        <v>0</v>
      </c>
      <c r="C721" s="183">
        <v>10064022</v>
      </c>
    </row>
    <row r="722" spans="1:4" x14ac:dyDescent="0.25">
      <c r="A722" s="264">
        <f>HLOOKUP(Overview!$P$8,$B$1:$AI$1500,722,FALSE)</f>
        <v>0</v>
      </c>
      <c r="C722" s="183">
        <v>10001317</v>
      </c>
    </row>
    <row r="723" spans="1:4" x14ac:dyDescent="0.25">
      <c r="A723" s="264">
        <f>HLOOKUP(Overview!$P$8,$B$1:$AI$1500,723,FALSE)</f>
        <v>0</v>
      </c>
      <c r="C723" s="183">
        <v>10004677</v>
      </c>
    </row>
    <row r="724" spans="1:4" x14ac:dyDescent="0.25">
      <c r="A724" s="264">
        <f>HLOOKUP(Overview!$P$8,$B$1:$AI$1500,724,FALSE)</f>
        <v>0</v>
      </c>
      <c r="C724" s="183">
        <v>10004677</v>
      </c>
    </row>
    <row r="725" spans="1:4" x14ac:dyDescent="0.25">
      <c r="A725" s="264">
        <f>HLOOKUP(Overview!$P$8,$B$1:$AI$1500,725,FALSE)</f>
        <v>0</v>
      </c>
      <c r="C725" s="183">
        <v>10003028</v>
      </c>
    </row>
    <row r="726" spans="1:4" x14ac:dyDescent="0.25">
      <c r="A726" s="264">
        <f>HLOOKUP(Overview!$P$8,$B$1:$AI$1500,726,FALSE)</f>
        <v>0</v>
      </c>
      <c r="C726" s="183">
        <v>10001334</v>
      </c>
    </row>
    <row r="727" spans="1:4" x14ac:dyDescent="0.25">
      <c r="A727" s="264">
        <f>HLOOKUP(Overview!$P$8,$B$1:$AI$1500,727,FALSE)</f>
        <v>0</v>
      </c>
      <c r="C727" s="183">
        <v>10084096</v>
      </c>
    </row>
    <row r="728" spans="1:4" x14ac:dyDescent="0.25">
      <c r="A728" s="264">
        <f>HLOOKUP(Overview!$P$8,$B$1:$AI$1500,728,FALSE)</f>
        <v>0</v>
      </c>
      <c r="C728" s="263">
        <v>10001318</v>
      </c>
      <c r="D728" s="263"/>
    </row>
    <row r="729" spans="1:4" x14ac:dyDescent="0.25">
      <c r="A729" s="264">
        <f>HLOOKUP(Overview!$P$8,$B$1:$AI$1500,729,FALSE)</f>
        <v>0</v>
      </c>
      <c r="C729" s="183">
        <v>10001289</v>
      </c>
    </row>
    <row r="730" spans="1:4" x14ac:dyDescent="0.25">
      <c r="A730" s="264">
        <f>HLOOKUP(Overview!$P$8,$B$1:$AI$1500,730,FALSE)</f>
        <v>0</v>
      </c>
      <c r="C730" s="183">
        <v>10001327</v>
      </c>
    </row>
    <row r="731" spans="1:4" x14ac:dyDescent="0.25">
      <c r="A731" s="264">
        <f>HLOOKUP(Overview!$P$8,$B$1:$AI$1500,731,FALSE)</f>
        <v>0</v>
      </c>
      <c r="C731" s="263">
        <v>20028329</v>
      </c>
      <c r="D731" s="263"/>
    </row>
    <row r="732" spans="1:4" x14ac:dyDescent="0.25">
      <c r="A732" s="264">
        <f>HLOOKUP(Overview!$P$8,$B$1:$AI$1500,732,FALSE)</f>
        <v>0</v>
      </c>
      <c r="C732" s="183">
        <v>20028335</v>
      </c>
    </row>
    <row r="733" spans="1:4" x14ac:dyDescent="0.25">
      <c r="A733" s="264">
        <f>HLOOKUP(Overview!$P$8,$B$1:$AI$1500,733,FALSE)</f>
        <v>0</v>
      </c>
      <c r="C733" s="263">
        <v>10001325</v>
      </c>
      <c r="D733" s="263"/>
    </row>
    <row r="734" spans="1:4" x14ac:dyDescent="0.25">
      <c r="A734" s="264">
        <f>HLOOKUP(Overview!$P$8,$B$1:$AI$1500,734,FALSE)</f>
        <v>0</v>
      </c>
      <c r="C734" s="263">
        <v>10006321</v>
      </c>
      <c r="D734" s="263"/>
    </row>
    <row r="735" spans="1:4" x14ac:dyDescent="0.25">
      <c r="A735" s="264">
        <f>HLOOKUP(Overview!$P$8,$B$1:$AI$1500,735,FALSE)</f>
        <v>0</v>
      </c>
      <c r="C735" s="183">
        <v>20029840</v>
      </c>
    </row>
    <row r="736" spans="1:4" x14ac:dyDescent="0.25">
      <c r="A736" s="264">
        <f>HLOOKUP(Overview!$P$8,$B$1:$AI$1500,736,FALSE)</f>
        <v>0</v>
      </c>
      <c r="C736" s="183">
        <v>20029836</v>
      </c>
    </row>
    <row r="737" spans="1:3" x14ac:dyDescent="0.25">
      <c r="A737" s="264">
        <f>HLOOKUP(Overview!$P$8,$B$1:$AI$1500,737,FALSE)</f>
        <v>0</v>
      </c>
      <c r="C737" s="183">
        <v>20029841</v>
      </c>
    </row>
    <row r="738" spans="1:3" x14ac:dyDescent="0.25">
      <c r="A738" s="264">
        <f>HLOOKUP(Overview!$P$8,$B$1:$AI$1500,738,FALSE)</f>
        <v>0</v>
      </c>
      <c r="C738" s="183">
        <v>20029843</v>
      </c>
    </row>
    <row r="739" spans="1:3" x14ac:dyDescent="0.25">
      <c r="A739" s="264">
        <f>HLOOKUP(Overview!$P$8,$B$1:$AI$1500,739,FALSE)</f>
        <v>0</v>
      </c>
      <c r="C739" s="183">
        <v>20029844</v>
      </c>
    </row>
    <row r="740" spans="1:3" x14ac:dyDescent="0.25">
      <c r="A740" s="264">
        <f>HLOOKUP(Overview!$P$8,$B$1:$AI$1500,740,FALSE)</f>
        <v>0</v>
      </c>
      <c r="C740" s="183">
        <v>20029839</v>
      </c>
    </row>
    <row r="741" spans="1:3" x14ac:dyDescent="0.25">
      <c r="A741" s="264">
        <f>HLOOKUP(Overview!$P$8,$B$1:$AI$1500,741,FALSE)</f>
        <v>0</v>
      </c>
      <c r="C741" s="183">
        <v>20029842</v>
      </c>
    </row>
    <row r="742" spans="1:3" x14ac:dyDescent="0.25">
      <c r="A742" s="264">
        <f>HLOOKUP(Overview!$P$8,$B$1:$AI$1500,742,FALSE)</f>
        <v>0</v>
      </c>
      <c r="C742" s="183">
        <v>20004202</v>
      </c>
    </row>
    <row r="743" spans="1:3" x14ac:dyDescent="0.25">
      <c r="A743" s="264">
        <f>HLOOKUP(Overview!$P$8,$B$1:$AI$1500,743,FALSE)</f>
        <v>0</v>
      </c>
      <c r="C743" s="183">
        <v>20004233</v>
      </c>
    </row>
    <row r="744" spans="1:3" x14ac:dyDescent="0.25">
      <c r="A744" s="264">
        <f>HLOOKUP(Overview!$P$8,$B$1:$AI$1500,744,FALSE)</f>
        <v>0</v>
      </c>
      <c r="C744" s="183">
        <v>10001319</v>
      </c>
    </row>
    <row r="745" spans="1:3" x14ac:dyDescent="0.25">
      <c r="A745" s="264">
        <f>HLOOKUP(Overview!$P$8,$B$1:$AI$1500,745,FALSE)</f>
        <v>0</v>
      </c>
      <c r="C745" s="183">
        <v>10001290</v>
      </c>
    </row>
    <row r="746" spans="1:3" x14ac:dyDescent="0.25">
      <c r="A746" s="264">
        <f>HLOOKUP(Overview!$P$8,$B$1:$AI$1500,746,FALSE)</f>
        <v>0</v>
      </c>
      <c r="C746" s="183">
        <v>10001328</v>
      </c>
    </row>
    <row r="747" spans="1:3" x14ac:dyDescent="0.25">
      <c r="A747" s="264">
        <f>HLOOKUP(Overview!$P$8,$B$1:$AI$1500,747,FALSE)</f>
        <v>0</v>
      </c>
      <c r="C747" s="183">
        <v>10001291</v>
      </c>
    </row>
    <row r="748" spans="1:3" x14ac:dyDescent="0.25">
      <c r="A748" s="264">
        <f>HLOOKUP(Overview!$P$8,$B$1:$AI$1500,748,FALSE)</f>
        <v>0</v>
      </c>
      <c r="C748" s="183">
        <v>10001329</v>
      </c>
    </row>
    <row r="749" spans="1:3" x14ac:dyDescent="0.25">
      <c r="A749" s="264">
        <f>HLOOKUP(Overview!$P$8,$B$1:$AI$1500,749,FALSE)</f>
        <v>0</v>
      </c>
      <c r="C749" s="183">
        <v>10012968</v>
      </c>
    </row>
    <row r="750" spans="1:3" x14ac:dyDescent="0.25">
      <c r="A750" s="264">
        <f>HLOOKUP(Overview!$P$8,$B$1:$AI$1500,750,FALSE)</f>
        <v>0</v>
      </c>
      <c r="C750" s="183">
        <v>10001288</v>
      </c>
    </row>
    <row r="751" spans="1:3" x14ac:dyDescent="0.25">
      <c r="A751" s="264">
        <f>HLOOKUP(Overview!$P$8,$B$1:$AI$1500,751,FALSE)</f>
        <v>0</v>
      </c>
      <c r="C751" s="183">
        <v>10001326</v>
      </c>
    </row>
    <row r="752" spans="1:3" x14ac:dyDescent="0.25">
      <c r="A752" s="264">
        <f>HLOOKUP(Overview!$P$8,$B$1:$AI$1500,752,FALSE)</f>
        <v>0</v>
      </c>
      <c r="C752" s="183">
        <v>10001322</v>
      </c>
    </row>
    <row r="753" spans="1:3" x14ac:dyDescent="0.25">
      <c r="A753" s="264">
        <f>HLOOKUP(Overview!$P$8,$B$1:$AI$1500,753,FALSE)</f>
        <v>0</v>
      </c>
      <c r="C753" s="183">
        <v>10001332</v>
      </c>
    </row>
    <row r="754" spans="1:3" x14ac:dyDescent="0.25">
      <c r="A754" s="264">
        <f>HLOOKUP(Overview!$P$8,$B$1:$AI$1500,754,FALSE)</f>
        <v>0</v>
      </c>
      <c r="C754" s="183">
        <v>10000384</v>
      </c>
    </row>
    <row r="755" spans="1:3" x14ac:dyDescent="0.25">
      <c r="A755" s="264">
        <f>HLOOKUP(Overview!$P$8,$B$1:$AI$1500,755,FALSE)</f>
        <v>0</v>
      </c>
      <c r="C755" s="183">
        <v>20020822</v>
      </c>
    </row>
    <row r="756" spans="1:3" x14ac:dyDescent="0.25">
      <c r="A756" s="264">
        <f>HLOOKUP(Overview!$P$8,$B$1:$AI$1500,756,FALSE)</f>
        <v>0</v>
      </c>
      <c r="C756" s="183">
        <v>20028242</v>
      </c>
    </row>
    <row r="757" spans="1:3" x14ac:dyDescent="0.25">
      <c r="A757" s="264">
        <f>HLOOKUP(Overview!$P$8,$B$1:$AI$1500,757,FALSE)</f>
        <v>0</v>
      </c>
      <c r="C757" s="183">
        <v>20000631</v>
      </c>
    </row>
    <row r="758" spans="1:3" x14ac:dyDescent="0.25">
      <c r="A758" s="264">
        <f>HLOOKUP(Overview!$P$8,$B$1:$AI$1500,758,FALSE)</f>
        <v>0</v>
      </c>
      <c r="C758" s="183">
        <v>10000321</v>
      </c>
    </row>
    <row r="759" spans="1:3" x14ac:dyDescent="0.25">
      <c r="A759" s="264">
        <f>HLOOKUP(Overview!$P$8,$B$1:$AI$1500,759,FALSE)</f>
        <v>0</v>
      </c>
      <c r="C759" s="183">
        <v>10120827</v>
      </c>
    </row>
    <row r="760" spans="1:3" x14ac:dyDescent="0.25">
      <c r="A760" s="264">
        <f>HLOOKUP(Overview!$P$8,$B$1:$AI$1500,760,FALSE)</f>
        <v>0</v>
      </c>
      <c r="C760" s="183">
        <v>10000324</v>
      </c>
    </row>
    <row r="761" spans="1:3" x14ac:dyDescent="0.25">
      <c r="A761" s="264">
        <f>HLOOKUP(Overview!$P$8,$B$1:$AI$1500,761,FALSE)</f>
        <v>0</v>
      </c>
      <c r="C761" s="183">
        <v>10000332</v>
      </c>
    </row>
    <row r="762" spans="1:3" x14ac:dyDescent="0.25">
      <c r="A762" s="264">
        <f>HLOOKUP(Overview!$P$8,$B$1:$AI$1500,762,FALSE)</f>
        <v>0</v>
      </c>
      <c r="C762" s="183">
        <v>10066318</v>
      </c>
    </row>
    <row r="763" spans="1:3" x14ac:dyDescent="0.25">
      <c r="A763" s="264">
        <f>HLOOKUP(Overview!$P$8,$B$1:$AI$1500,763,FALSE)</f>
        <v>0</v>
      </c>
      <c r="C763" s="183">
        <v>10000330</v>
      </c>
    </row>
    <row r="764" spans="1:3" x14ac:dyDescent="0.25">
      <c r="A764" s="264">
        <f>HLOOKUP(Overview!$P$8,$B$1:$AI$1500,764,FALSE)</f>
        <v>0</v>
      </c>
      <c r="C764" s="183">
        <v>10000320</v>
      </c>
    </row>
    <row r="765" spans="1:3" x14ac:dyDescent="0.25">
      <c r="A765" s="264">
        <f>HLOOKUP(Overview!$P$8,$B$1:$AI$1500,765,FALSE)</f>
        <v>0</v>
      </c>
      <c r="C765" s="183">
        <v>10000331</v>
      </c>
    </row>
    <row r="766" spans="1:3" x14ac:dyDescent="0.25">
      <c r="A766" s="264">
        <f>HLOOKUP(Overview!$P$8,$B$1:$AI$1500,766,FALSE)</f>
        <v>0</v>
      </c>
      <c r="C766" s="183">
        <v>10000322</v>
      </c>
    </row>
    <row r="767" spans="1:3" x14ac:dyDescent="0.25">
      <c r="A767" s="264">
        <f>HLOOKUP(Overview!$P$8,$B$1:$AI$1500,767,FALSE)</f>
        <v>0</v>
      </c>
      <c r="C767" s="183">
        <v>10001622</v>
      </c>
    </row>
    <row r="768" spans="1:3" x14ac:dyDescent="0.25">
      <c r="A768" s="264">
        <f>HLOOKUP(Overview!$P$8,$B$1:$AI$1500,768,FALSE)</f>
        <v>0</v>
      </c>
      <c r="C768" s="183">
        <v>10000323</v>
      </c>
    </row>
    <row r="769" spans="1:3" x14ac:dyDescent="0.25">
      <c r="A769" s="264">
        <f>HLOOKUP(Overview!$P$8,$B$1:$AI$1500,769,FALSE)</f>
        <v>0</v>
      </c>
      <c r="C769" s="183">
        <v>10000260</v>
      </c>
    </row>
    <row r="770" spans="1:3" x14ac:dyDescent="0.25">
      <c r="A770" s="264">
        <f>HLOOKUP(Overview!$P$8,$B$1:$AI$1500,770,FALSE)</f>
        <v>0</v>
      </c>
      <c r="C770" s="183">
        <v>10100209</v>
      </c>
    </row>
    <row r="771" spans="1:3" x14ac:dyDescent="0.25">
      <c r="A771" s="264">
        <f>HLOOKUP(Overview!$P$8,$B$1:$AI$1500,771,FALSE)</f>
        <v>0</v>
      </c>
      <c r="C771" s="183">
        <v>10000329</v>
      </c>
    </row>
    <row r="772" spans="1:3" x14ac:dyDescent="0.25">
      <c r="A772" s="264">
        <f>HLOOKUP(Overview!$P$8,$B$1:$AI$1500,772,FALSE)</f>
        <v>0</v>
      </c>
      <c r="C772" s="183">
        <v>10010403</v>
      </c>
    </row>
    <row r="773" spans="1:3" x14ac:dyDescent="0.25">
      <c r="A773" s="264">
        <f>HLOOKUP(Overview!$P$8,$B$1:$AI$1500,773,FALSE)</f>
        <v>0</v>
      </c>
      <c r="C773" s="183">
        <v>10088270</v>
      </c>
    </row>
    <row r="774" spans="1:3" x14ac:dyDescent="0.25">
      <c r="A774" s="264">
        <f>HLOOKUP(Overview!$P$8,$B$1:$AI$1500,774,FALSE)</f>
        <v>0</v>
      </c>
      <c r="C774" s="183">
        <v>10088970</v>
      </c>
    </row>
    <row r="775" spans="1:3" x14ac:dyDescent="0.25">
      <c r="A775" s="264">
        <f>HLOOKUP(Overview!$P$8,$B$1:$AI$1500,775,FALSE)</f>
        <v>0</v>
      </c>
      <c r="C775" s="183">
        <v>10001732</v>
      </c>
    </row>
    <row r="776" spans="1:3" x14ac:dyDescent="0.25">
      <c r="A776" s="264">
        <f>HLOOKUP(Overview!$P$8,$B$1:$AI$1500,776,FALSE)</f>
        <v>0</v>
      </c>
      <c r="C776" s="183">
        <v>20000472</v>
      </c>
    </row>
    <row r="777" spans="1:3" x14ac:dyDescent="0.25">
      <c r="A777" s="264">
        <f>HLOOKUP(Overview!$P$8,$B$1:$AI$1500,777,FALSE)</f>
        <v>0</v>
      </c>
      <c r="C777" s="183">
        <v>10109325</v>
      </c>
    </row>
    <row r="778" spans="1:3" x14ac:dyDescent="0.25">
      <c r="A778" s="264">
        <f>HLOOKUP(Overview!$P$8,$B$1:$AI$1500,778,FALSE)</f>
        <v>0</v>
      </c>
      <c r="C778" s="183">
        <v>10109324</v>
      </c>
    </row>
    <row r="779" spans="1:3" x14ac:dyDescent="0.25">
      <c r="A779" s="264">
        <f>HLOOKUP(Overview!$P$8,$B$1:$AI$1500,779,FALSE)</f>
        <v>0</v>
      </c>
      <c r="C779" s="183">
        <v>10000261</v>
      </c>
    </row>
    <row r="780" spans="1:3" x14ac:dyDescent="0.25">
      <c r="A780" s="264">
        <f>HLOOKUP(Overview!$P$8,$B$1:$AI$1500,780,FALSE)</f>
        <v>0</v>
      </c>
      <c r="C780" s="183">
        <v>10000232</v>
      </c>
    </row>
    <row r="781" spans="1:3" x14ac:dyDescent="0.25">
      <c r="A781" s="264">
        <f>HLOOKUP(Overview!$P$8,$B$1:$AI$1500,781,FALSE)</f>
        <v>0</v>
      </c>
      <c r="C781" s="183">
        <v>10100221</v>
      </c>
    </row>
    <row r="782" spans="1:3" x14ac:dyDescent="0.25">
      <c r="A782" s="264">
        <f>HLOOKUP(Overview!$P$8,$B$1:$AI$1500,782,FALSE)</f>
        <v>0</v>
      </c>
      <c r="C782" s="183">
        <v>10100210</v>
      </c>
    </row>
    <row r="783" spans="1:3" x14ac:dyDescent="0.25">
      <c r="A783" s="264">
        <f>HLOOKUP(Overview!$P$8,$B$1:$AI$1500,783,FALSE)</f>
        <v>0</v>
      </c>
      <c r="C783" s="183">
        <v>10100195</v>
      </c>
    </row>
    <row r="784" spans="1:3" x14ac:dyDescent="0.25">
      <c r="A784" s="264">
        <f>HLOOKUP(Overview!$P$8,$B$1:$AI$1500,784,FALSE)</f>
        <v>0</v>
      </c>
      <c r="C784" s="183">
        <v>10100225</v>
      </c>
    </row>
    <row r="785" spans="1:3" x14ac:dyDescent="0.25">
      <c r="A785" s="264">
        <f>HLOOKUP(Overview!$P$8,$B$1:$AI$1500,785,FALSE)</f>
        <v>0</v>
      </c>
      <c r="C785" s="183">
        <v>10100211</v>
      </c>
    </row>
    <row r="786" spans="1:3" x14ac:dyDescent="0.25">
      <c r="A786" s="264">
        <f>HLOOKUP(Overview!$P$8,$B$1:$AI$1500,786,FALSE)</f>
        <v>0</v>
      </c>
      <c r="C786" s="183">
        <v>10100217</v>
      </c>
    </row>
    <row r="787" spans="1:3" x14ac:dyDescent="0.25">
      <c r="A787" s="264">
        <f>HLOOKUP(Overview!$P$8,$B$1:$AI$1500,787,FALSE)</f>
        <v>0</v>
      </c>
      <c r="C787" s="183">
        <v>10100219</v>
      </c>
    </row>
    <row r="788" spans="1:3" x14ac:dyDescent="0.25">
      <c r="A788" s="264">
        <f>HLOOKUP(Overview!$P$8,$B$1:$AI$1500,788,FALSE)</f>
        <v>0</v>
      </c>
      <c r="C788" s="183">
        <v>10012014</v>
      </c>
    </row>
    <row r="789" spans="1:3" x14ac:dyDescent="0.25">
      <c r="A789" s="264">
        <f>HLOOKUP(Overview!$P$8,$B$1:$AI$1500,789,FALSE)</f>
        <v>0</v>
      </c>
      <c r="C789" s="183">
        <v>10000328</v>
      </c>
    </row>
    <row r="790" spans="1:3" x14ac:dyDescent="0.25">
      <c r="A790" s="264">
        <f>HLOOKUP(Overview!$P$8,$B$1:$AI$1500,790,FALSE)</f>
        <v>0</v>
      </c>
      <c r="C790" s="183">
        <v>10000333</v>
      </c>
    </row>
    <row r="791" spans="1:3" x14ac:dyDescent="0.25">
      <c r="A791" s="264">
        <f>HLOOKUP(Overview!$P$8,$B$1:$AI$1500,791,FALSE)</f>
        <v>0</v>
      </c>
      <c r="C791" s="183">
        <v>10078957</v>
      </c>
    </row>
    <row r="792" spans="1:3" x14ac:dyDescent="0.25">
      <c r="A792" s="264">
        <f>HLOOKUP(Overview!$P$8,$B$1:$AI$1500,792,FALSE)</f>
        <v>0</v>
      </c>
      <c r="C792" s="183">
        <v>10000327</v>
      </c>
    </row>
    <row r="793" spans="1:3" x14ac:dyDescent="0.25">
      <c r="A793" s="264">
        <f>HLOOKUP(Overview!$P$8,$B$1:$AI$1500,793,FALSE)</f>
        <v>0</v>
      </c>
      <c r="C793" s="183">
        <v>10078956</v>
      </c>
    </row>
    <row r="794" spans="1:3" x14ac:dyDescent="0.25">
      <c r="A794" s="264">
        <f>HLOOKUP(Overview!$P$8,$B$1:$AI$1500,794,FALSE)</f>
        <v>0</v>
      </c>
      <c r="C794" s="183">
        <v>10001108</v>
      </c>
    </row>
    <row r="795" spans="1:3" x14ac:dyDescent="0.25">
      <c r="A795" s="264">
        <f>HLOOKUP(Overview!$P$8,$B$1:$AI$1500,795,FALSE)</f>
        <v>0</v>
      </c>
      <c r="C795" s="183">
        <v>10001854</v>
      </c>
    </row>
    <row r="796" spans="1:3" x14ac:dyDescent="0.25">
      <c r="A796" s="264">
        <f>HLOOKUP(Overview!$P$8,$B$1:$AI$1500,796,FALSE)</f>
        <v>0</v>
      </c>
      <c r="C796" s="183">
        <v>10001109</v>
      </c>
    </row>
    <row r="797" spans="1:3" x14ac:dyDescent="0.25">
      <c r="A797" s="264">
        <f>HLOOKUP(Overview!$P$8,$B$1:$AI$1500,797,FALSE)</f>
        <v>0</v>
      </c>
      <c r="C797" s="183">
        <v>10001880</v>
      </c>
    </row>
    <row r="798" spans="1:3" x14ac:dyDescent="0.25">
      <c r="A798" s="264">
        <f>HLOOKUP(Overview!$P$8,$B$1:$AI$1500,798,FALSE)</f>
        <v>0</v>
      </c>
      <c r="C798" s="183">
        <v>10001096</v>
      </c>
    </row>
    <row r="799" spans="1:3" x14ac:dyDescent="0.25">
      <c r="A799" s="264">
        <f>HLOOKUP(Overview!$P$8,$B$1:$AI$1500,799,FALSE)</f>
        <v>0</v>
      </c>
      <c r="C799" s="183">
        <v>10001881</v>
      </c>
    </row>
    <row r="800" spans="1:3" x14ac:dyDescent="0.25">
      <c r="A800" s="264">
        <f>HLOOKUP(Overview!$P$8,$B$1:$AI$1500,800,FALSE)</f>
        <v>0</v>
      </c>
      <c r="C800" s="183">
        <v>20001632</v>
      </c>
    </row>
    <row r="801" spans="1:4" x14ac:dyDescent="0.25">
      <c r="A801" s="264">
        <f>HLOOKUP(Overview!$P$8,$B$1:$AI$1500,801,FALSE)</f>
        <v>0</v>
      </c>
      <c r="C801" s="183">
        <v>10000042</v>
      </c>
    </row>
    <row r="802" spans="1:4" x14ac:dyDescent="0.25">
      <c r="A802" s="264">
        <f>HLOOKUP(Overview!$P$8,$B$1:$AI$1500,802,FALSE)</f>
        <v>0</v>
      </c>
      <c r="C802" s="183">
        <v>10003275</v>
      </c>
    </row>
    <row r="803" spans="1:4" x14ac:dyDescent="0.25">
      <c r="A803" s="264">
        <f>HLOOKUP(Overview!$P$8,$B$1:$AI$1500,803,FALSE)</f>
        <v>0</v>
      </c>
      <c r="C803" s="183">
        <v>10100151</v>
      </c>
    </row>
    <row r="804" spans="1:4" x14ac:dyDescent="0.25">
      <c r="A804" s="264">
        <f>HLOOKUP(Overview!$P$8,$B$1:$AI$1500,804,FALSE)</f>
        <v>0</v>
      </c>
      <c r="C804" s="183">
        <v>10128112</v>
      </c>
    </row>
    <row r="805" spans="1:4" x14ac:dyDescent="0.25">
      <c r="A805" s="264">
        <f>HLOOKUP(Overview!$P$8,$B$1:$AI$1500,805,FALSE)</f>
        <v>0</v>
      </c>
      <c r="C805" s="183">
        <v>10001136</v>
      </c>
    </row>
    <row r="806" spans="1:4" x14ac:dyDescent="0.25">
      <c r="A806" s="264">
        <f>HLOOKUP(Overview!$P$8,$B$1:$AI$1500,806,FALSE)</f>
        <v>0</v>
      </c>
      <c r="C806" s="183">
        <v>10001142</v>
      </c>
    </row>
    <row r="807" spans="1:4" x14ac:dyDescent="0.25">
      <c r="A807" s="264">
        <f>HLOOKUP(Overview!$P$8,$B$1:$AI$1500,807,FALSE)</f>
        <v>0</v>
      </c>
      <c r="C807" s="183">
        <v>10001128</v>
      </c>
    </row>
    <row r="808" spans="1:4" x14ac:dyDescent="0.25">
      <c r="A808" s="264">
        <f>HLOOKUP(Overview!$P$8,$B$1:$AI$1500,808,FALSE)</f>
        <v>0</v>
      </c>
      <c r="C808" s="183">
        <v>10126828</v>
      </c>
    </row>
    <row r="809" spans="1:4" x14ac:dyDescent="0.25">
      <c r="A809" s="264">
        <f>HLOOKUP(Overview!$P$8,$B$1:$AI$1500,809,FALSE)</f>
        <v>0</v>
      </c>
      <c r="C809" s="263">
        <v>10029260</v>
      </c>
      <c r="D809" s="263"/>
    </row>
    <row r="810" spans="1:4" x14ac:dyDescent="0.25">
      <c r="A810" s="264">
        <f>HLOOKUP(Overview!$P$8,$B$1:$AI$1500,810,FALSE)</f>
        <v>0</v>
      </c>
      <c r="C810" s="183">
        <v>10100152</v>
      </c>
    </row>
    <row r="811" spans="1:4" x14ac:dyDescent="0.25">
      <c r="A811" s="264">
        <f>HLOOKUP(Overview!$P$8,$B$1:$AI$1500,811,FALSE)</f>
        <v>0</v>
      </c>
      <c r="C811" s="183">
        <v>10128111</v>
      </c>
    </row>
    <row r="812" spans="1:4" x14ac:dyDescent="0.25">
      <c r="A812" s="264">
        <f>HLOOKUP(Overview!$P$8,$B$1:$AI$1500,812,FALSE)</f>
        <v>0</v>
      </c>
      <c r="C812" s="183">
        <v>10001141</v>
      </c>
    </row>
    <row r="813" spans="1:4" x14ac:dyDescent="0.25">
      <c r="A813" s="264">
        <f>HLOOKUP(Overview!$P$8,$B$1:$AI$1500,813,FALSE)</f>
        <v>0</v>
      </c>
      <c r="C813" s="183">
        <v>10001100</v>
      </c>
    </row>
    <row r="814" spans="1:4" x14ac:dyDescent="0.25">
      <c r="A814" s="264">
        <f>HLOOKUP(Overview!$P$8,$B$1:$AI$1500,814,FALSE)</f>
        <v>0</v>
      </c>
      <c r="C814" s="183">
        <v>10100153</v>
      </c>
    </row>
    <row r="815" spans="1:4" x14ac:dyDescent="0.25">
      <c r="A815" s="264">
        <f>HLOOKUP(Overview!$P$8,$B$1:$AI$1500,815,FALSE)</f>
        <v>0</v>
      </c>
      <c r="C815" s="183">
        <v>10011968</v>
      </c>
    </row>
    <row r="816" spans="1:4" x14ac:dyDescent="0.25">
      <c r="A816" s="264">
        <f>HLOOKUP(Overview!$P$8,$B$1:$AI$1500,816,FALSE)</f>
        <v>0</v>
      </c>
      <c r="C816" s="183">
        <v>10011971</v>
      </c>
    </row>
    <row r="817" spans="1:3" x14ac:dyDescent="0.25">
      <c r="A817" s="264">
        <f>HLOOKUP(Overview!$P$8,$B$1:$AI$1500,817,FALSE)</f>
        <v>0</v>
      </c>
      <c r="C817" s="183">
        <v>10083871</v>
      </c>
    </row>
    <row r="818" spans="1:3" x14ac:dyDescent="0.25">
      <c r="A818" s="264">
        <f>HLOOKUP(Overview!$P$8,$B$1:$AI$1500,818,FALSE)</f>
        <v>0</v>
      </c>
      <c r="C818" s="183">
        <v>10079300</v>
      </c>
    </row>
    <row r="819" spans="1:3" x14ac:dyDescent="0.25">
      <c r="A819" s="264">
        <f>HLOOKUP(Overview!$P$8,$B$1:$AI$1500,819,FALSE)</f>
        <v>0</v>
      </c>
      <c r="C819" s="183">
        <v>10079297</v>
      </c>
    </row>
    <row r="820" spans="1:3" x14ac:dyDescent="0.25">
      <c r="A820" s="264">
        <f>HLOOKUP(Overview!$P$8,$B$1:$AI$1500,820,FALSE)</f>
        <v>0</v>
      </c>
      <c r="C820" s="183">
        <v>10001150</v>
      </c>
    </row>
    <row r="821" spans="1:3" x14ac:dyDescent="0.25">
      <c r="A821" s="264">
        <f>HLOOKUP(Overview!$P$8,$B$1:$AI$1500,821,FALSE)</f>
        <v>0</v>
      </c>
      <c r="C821" s="183">
        <v>10001887</v>
      </c>
    </row>
    <row r="822" spans="1:3" x14ac:dyDescent="0.25">
      <c r="A822" s="264">
        <f>HLOOKUP(Overview!$P$8,$B$1:$AI$1500,822,FALSE)</f>
        <v>0</v>
      </c>
      <c r="C822" s="183">
        <v>10105911</v>
      </c>
    </row>
    <row r="823" spans="1:3" x14ac:dyDescent="0.25">
      <c r="A823" s="264">
        <f>HLOOKUP(Overview!$P$8,$B$1:$AI$1500,823,FALSE)</f>
        <v>0</v>
      </c>
      <c r="C823" s="183">
        <v>10105909</v>
      </c>
    </row>
    <row r="824" spans="1:3" x14ac:dyDescent="0.25">
      <c r="A824" s="264">
        <f>HLOOKUP(Overview!$P$8,$B$1:$AI$1500,824,FALSE)</f>
        <v>0</v>
      </c>
      <c r="C824" s="183">
        <v>10079290</v>
      </c>
    </row>
    <row r="825" spans="1:3" x14ac:dyDescent="0.25">
      <c r="A825" s="264">
        <f>HLOOKUP(Overview!$P$8,$B$1:$AI$1500,825,FALSE)</f>
        <v>0</v>
      </c>
      <c r="C825" s="183">
        <v>10004675</v>
      </c>
    </row>
    <row r="826" spans="1:3" x14ac:dyDescent="0.25">
      <c r="A826" s="264">
        <f>HLOOKUP(Overview!$P$8,$B$1:$AI$1500,826,FALSE)</f>
        <v>0</v>
      </c>
      <c r="C826" s="183">
        <v>10079293</v>
      </c>
    </row>
    <row r="827" spans="1:3" x14ac:dyDescent="0.25">
      <c r="A827" s="264">
        <f>HLOOKUP(Overview!$P$8,$B$1:$AI$1500,827,FALSE)</f>
        <v>0</v>
      </c>
      <c r="C827" s="183">
        <v>10079291</v>
      </c>
    </row>
    <row r="828" spans="1:3" x14ac:dyDescent="0.25">
      <c r="A828" s="264">
        <f>HLOOKUP(Overview!$P$8,$B$1:$AI$1500,828,FALSE)</f>
        <v>0</v>
      </c>
      <c r="C828" s="183">
        <v>10001110</v>
      </c>
    </row>
    <row r="829" spans="1:3" x14ac:dyDescent="0.25">
      <c r="A829" s="264">
        <f>HLOOKUP(Overview!$P$8,$B$1:$AI$1500,829,FALSE)</f>
        <v>0</v>
      </c>
      <c r="C829" s="183">
        <v>10001855</v>
      </c>
    </row>
    <row r="830" spans="1:3" x14ac:dyDescent="0.25">
      <c r="A830" s="264">
        <f>HLOOKUP(Overview!$P$8,$B$1:$AI$1500,830,FALSE)</f>
        <v>0</v>
      </c>
      <c r="C830" s="183">
        <v>10001796</v>
      </c>
    </row>
    <row r="831" spans="1:3" x14ac:dyDescent="0.25">
      <c r="A831" s="264">
        <f>HLOOKUP(Overview!$P$8,$B$1:$AI$1500,831,FALSE)</f>
        <v>0</v>
      </c>
      <c r="C831" s="183">
        <v>10123486</v>
      </c>
    </row>
    <row r="832" spans="1:3" x14ac:dyDescent="0.25">
      <c r="A832" s="264">
        <f>HLOOKUP(Overview!$P$8,$B$1:$AI$1500,832,FALSE)</f>
        <v>0</v>
      </c>
      <c r="C832" s="183">
        <v>10001176</v>
      </c>
    </row>
    <row r="833" spans="1:3" x14ac:dyDescent="0.25">
      <c r="A833" s="264">
        <f>HLOOKUP(Overview!$P$8,$B$1:$AI$1500,833,FALSE)</f>
        <v>0</v>
      </c>
      <c r="C833" s="183">
        <v>10021991</v>
      </c>
    </row>
    <row r="834" spans="1:3" x14ac:dyDescent="0.25">
      <c r="A834" s="264">
        <f>HLOOKUP(Overview!$P$8,$B$1:$AI$1500,834,FALSE)</f>
        <v>0</v>
      </c>
      <c r="C834" s="183">
        <v>10021992</v>
      </c>
    </row>
    <row r="835" spans="1:3" x14ac:dyDescent="0.25">
      <c r="A835" s="264">
        <f>HLOOKUP(Overview!$P$8,$B$1:$AI$1500,835,FALSE)</f>
        <v>0</v>
      </c>
      <c r="C835" s="183">
        <v>10021990</v>
      </c>
    </row>
    <row r="836" spans="1:3" x14ac:dyDescent="0.25">
      <c r="A836" s="264">
        <f>HLOOKUP(Overview!$P$8,$B$1:$AI$1500,836,FALSE)</f>
        <v>0</v>
      </c>
      <c r="C836" s="183">
        <v>10021993</v>
      </c>
    </row>
    <row r="837" spans="1:3" x14ac:dyDescent="0.25">
      <c r="A837" s="264">
        <f>HLOOKUP(Overview!$P$8,$B$1:$AI$1500,837,FALSE)</f>
        <v>0</v>
      </c>
      <c r="C837" s="183">
        <v>20000042</v>
      </c>
    </row>
    <row r="838" spans="1:3" x14ac:dyDescent="0.25">
      <c r="A838" s="264">
        <f>HLOOKUP(Overview!$P$8,$B$1:$AI$1500,838,FALSE)</f>
        <v>0</v>
      </c>
      <c r="C838" s="183">
        <v>10030100</v>
      </c>
    </row>
    <row r="839" spans="1:3" x14ac:dyDescent="0.25">
      <c r="A839" s="264">
        <f>HLOOKUP(Overview!$P$8,$B$1:$AI$1500,839,FALSE)</f>
        <v>0</v>
      </c>
      <c r="C839" s="183">
        <v>10120586</v>
      </c>
    </row>
    <row r="840" spans="1:3" x14ac:dyDescent="0.25">
      <c r="A840" s="264">
        <f>HLOOKUP(Overview!$P$8,$B$1:$AI$1500,840,FALSE)</f>
        <v>0</v>
      </c>
      <c r="C840" s="183">
        <v>10000252</v>
      </c>
    </row>
    <row r="841" spans="1:3" x14ac:dyDescent="0.25">
      <c r="A841" s="264">
        <f>HLOOKUP(Overview!$P$8,$B$1:$AI$1500,841,FALSE)</f>
        <v>0</v>
      </c>
      <c r="C841" s="183">
        <v>10000250</v>
      </c>
    </row>
    <row r="842" spans="1:3" x14ac:dyDescent="0.25">
      <c r="A842" s="264">
        <f>HLOOKUP(Overview!$P$8,$B$1:$AI$1500,842,FALSE)</f>
        <v>0</v>
      </c>
      <c r="C842" s="183">
        <v>10064021</v>
      </c>
    </row>
    <row r="843" spans="1:3" x14ac:dyDescent="0.25">
      <c r="A843" s="264">
        <f>HLOOKUP(Overview!$P$8,$B$1:$AI$1500,843,FALSE)</f>
        <v>0</v>
      </c>
      <c r="C843" s="183">
        <v>10012925</v>
      </c>
    </row>
    <row r="844" spans="1:3" x14ac:dyDescent="0.25">
      <c r="A844" s="264">
        <f>HLOOKUP(Overview!$P$8,$B$1:$AI$1500,844,FALSE)</f>
        <v>0</v>
      </c>
      <c r="C844" s="183">
        <v>10127330</v>
      </c>
    </row>
    <row r="845" spans="1:3" x14ac:dyDescent="0.25">
      <c r="A845" s="264">
        <f>HLOOKUP(Overview!$P$8,$B$1:$AI$1500,845,FALSE)</f>
        <v>0</v>
      </c>
      <c r="C845" s="183">
        <v>10001195</v>
      </c>
    </row>
    <row r="846" spans="1:3" x14ac:dyDescent="0.25">
      <c r="A846" s="264">
        <f>HLOOKUP(Overview!$P$8,$B$1:$AI$1500,846,FALSE)</f>
        <v>0</v>
      </c>
      <c r="C846" s="183">
        <v>10122305</v>
      </c>
    </row>
    <row r="847" spans="1:3" x14ac:dyDescent="0.25">
      <c r="A847" s="264">
        <f>HLOOKUP(Overview!$P$8,$B$1:$AI$1500,847,FALSE)</f>
        <v>0</v>
      </c>
      <c r="C847" s="183">
        <v>10083297</v>
      </c>
    </row>
    <row r="848" spans="1:3" x14ac:dyDescent="0.25">
      <c r="A848" s="264">
        <f>HLOOKUP(Overview!$P$8,$B$1:$AI$1500,848,FALSE)</f>
        <v>0</v>
      </c>
      <c r="C848" s="183">
        <v>10006261</v>
      </c>
    </row>
    <row r="849" spans="1:4" x14ac:dyDescent="0.25">
      <c r="A849" s="264">
        <f>HLOOKUP(Overview!$P$8,$B$1:$AI$1500,849,FALSE)</f>
        <v>0</v>
      </c>
      <c r="C849" s="183">
        <v>10001091</v>
      </c>
    </row>
    <row r="850" spans="1:4" x14ac:dyDescent="0.25">
      <c r="A850" s="264">
        <f>HLOOKUP(Overview!$P$8,$B$1:$AI$1500,850,FALSE)</f>
        <v>0</v>
      </c>
      <c r="C850" s="183">
        <v>10001858</v>
      </c>
    </row>
    <row r="851" spans="1:4" x14ac:dyDescent="0.25">
      <c r="A851" s="264">
        <f>HLOOKUP(Overview!$P$8,$B$1:$AI$1500,851,FALSE)</f>
        <v>0</v>
      </c>
      <c r="C851" s="183">
        <v>10001122</v>
      </c>
    </row>
    <row r="852" spans="1:4" x14ac:dyDescent="0.25">
      <c r="A852" s="264">
        <f>HLOOKUP(Overview!$P$8,$B$1:$AI$1500,852,FALSE)</f>
        <v>0</v>
      </c>
      <c r="C852" s="183">
        <v>10001882</v>
      </c>
    </row>
    <row r="853" spans="1:4" x14ac:dyDescent="0.25">
      <c r="A853" s="264">
        <f>HLOOKUP(Overview!$P$8,$B$1:$AI$1500,853,FALSE)</f>
        <v>0</v>
      </c>
      <c r="C853" s="183">
        <v>10057516</v>
      </c>
    </row>
    <row r="854" spans="1:4" x14ac:dyDescent="0.25">
      <c r="A854" s="264">
        <f>HLOOKUP(Overview!$P$8,$B$1:$AI$1500,854,FALSE)</f>
        <v>0</v>
      </c>
      <c r="C854" s="183">
        <v>10001797</v>
      </c>
    </row>
    <row r="855" spans="1:4" x14ac:dyDescent="0.25">
      <c r="A855" s="264">
        <f>HLOOKUP(Overview!$P$8,$B$1:$AI$1500,855,FALSE)</f>
        <v>0</v>
      </c>
      <c r="C855" s="183">
        <v>10127333</v>
      </c>
    </row>
    <row r="856" spans="1:4" x14ac:dyDescent="0.25">
      <c r="A856" s="264">
        <f>HLOOKUP(Overview!$P$8,$B$1:$AI$1500,856,FALSE)</f>
        <v>0</v>
      </c>
      <c r="C856" s="183">
        <v>10001625</v>
      </c>
    </row>
    <row r="857" spans="1:4" x14ac:dyDescent="0.25">
      <c r="A857" s="264">
        <f>HLOOKUP(Overview!$P$8,$B$1:$AI$1500,857,FALSE)</f>
        <v>0</v>
      </c>
      <c r="C857" s="183">
        <v>10000039</v>
      </c>
    </row>
    <row r="858" spans="1:4" x14ac:dyDescent="0.25">
      <c r="A858" s="264">
        <f>HLOOKUP(Overview!$P$8,$B$1:$AI$1500,858,FALSE)</f>
        <v>0</v>
      </c>
      <c r="C858" s="183">
        <v>10069058</v>
      </c>
    </row>
    <row r="859" spans="1:4" x14ac:dyDescent="0.25">
      <c r="A859" s="264">
        <f>HLOOKUP(Overview!$P$8,$B$1:$AI$1500,859,FALSE)</f>
        <v>0</v>
      </c>
      <c r="C859" s="263">
        <v>10002882</v>
      </c>
      <c r="D859" s="263"/>
    </row>
    <row r="860" spans="1:4" x14ac:dyDescent="0.25">
      <c r="A860" s="264">
        <f>HLOOKUP(Overview!$P$8,$B$1:$AI$1500,860,FALSE)</f>
        <v>0</v>
      </c>
      <c r="C860" s="183">
        <v>10002880</v>
      </c>
    </row>
    <row r="861" spans="1:4" x14ac:dyDescent="0.25">
      <c r="A861" s="264">
        <f>HLOOKUP(Overview!$P$8,$B$1:$AI$1500,861,FALSE)</f>
        <v>0</v>
      </c>
      <c r="C861" s="183">
        <v>10002883</v>
      </c>
    </row>
    <row r="862" spans="1:4" x14ac:dyDescent="0.25">
      <c r="A862" s="264">
        <f>HLOOKUP(Overview!$P$8,$B$1:$AI$1500,862,FALSE)</f>
        <v>0</v>
      </c>
      <c r="C862" s="183">
        <v>10001121</v>
      </c>
    </row>
    <row r="863" spans="1:4" x14ac:dyDescent="0.25">
      <c r="A863" s="264">
        <f>HLOOKUP(Overview!$P$8,$B$1:$AI$1500,863,FALSE)</f>
        <v>0</v>
      </c>
      <c r="C863" s="183">
        <v>10001134</v>
      </c>
    </row>
    <row r="864" spans="1:4" x14ac:dyDescent="0.25">
      <c r="A864" s="264">
        <f>HLOOKUP(Overview!$P$8,$B$1:$AI$1500,864,FALSE)</f>
        <v>0</v>
      </c>
      <c r="C864" s="183">
        <v>10001129</v>
      </c>
    </row>
    <row r="865" spans="1:4" x14ac:dyDescent="0.25">
      <c r="A865" s="264">
        <f>HLOOKUP(Overview!$P$8,$B$1:$AI$1500,865,FALSE)</f>
        <v>0</v>
      </c>
      <c r="C865" s="183">
        <v>10001895</v>
      </c>
    </row>
    <row r="866" spans="1:4" x14ac:dyDescent="0.25">
      <c r="A866" s="264">
        <f>HLOOKUP(Overview!$P$8,$B$1:$AI$1500,866,FALSE)</f>
        <v>0</v>
      </c>
      <c r="C866" s="183">
        <v>10001113</v>
      </c>
    </row>
    <row r="867" spans="1:4" x14ac:dyDescent="0.25">
      <c r="A867" s="264">
        <f>HLOOKUP(Overview!$P$8,$B$1:$AI$1500,867,FALSE)</f>
        <v>0</v>
      </c>
      <c r="C867" s="183">
        <v>10081259</v>
      </c>
    </row>
    <row r="868" spans="1:4" x14ac:dyDescent="0.25">
      <c r="A868" s="264">
        <f>HLOOKUP(Overview!$P$8,$B$1:$AI$1500,868,FALSE)</f>
        <v>0</v>
      </c>
      <c r="C868" s="183">
        <v>10001123</v>
      </c>
    </row>
    <row r="869" spans="1:4" x14ac:dyDescent="0.25">
      <c r="A869" s="264">
        <f>HLOOKUP(Overview!$P$8,$B$1:$AI$1500,869,FALSE)</f>
        <v>0</v>
      </c>
      <c r="C869" s="183">
        <v>10001889</v>
      </c>
    </row>
    <row r="870" spans="1:4" x14ac:dyDescent="0.25">
      <c r="A870" s="264">
        <f>HLOOKUP(Overview!$P$8,$B$1:$AI$1500,870,FALSE)</f>
        <v>0</v>
      </c>
      <c r="C870" s="183">
        <v>10000041</v>
      </c>
    </row>
    <row r="871" spans="1:4" x14ac:dyDescent="0.25">
      <c r="A871" s="264">
        <f>HLOOKUP(Overview!$P$8,$B$1:$AI$1500,871,FALSE)</f>
        <v>0</v>
      </c>
      <c r="C871" s="183">
        <v>10001111</v>
      </c>
    </row>
    <row r="872" spans="1:4" x14ac:dyDescent="0.25">
      <c r="A872" s="264">
        <f>HLOOKUP(Overview!$P$8,$B$1:$AI$1500,872,FALSE)</f>
        <v>0</v>
      </c>
      <c r="C872" s="263">
        <v>10029261</v>
      </c>
      <c r="D872" s="263"/>
    </row>
    <row r="873" spans="1:4" x14ac:dyDescent="0.25">
      <c r="A873" s="264">
        <f>HLOOKUP(Overview!$P$8,$B$1:$AI$1500,873,FALSE)</f>
        <v>0</v>
      </c>
      <c r="C873" s="183">
        <v>10001127</v>
      </c>
    </row>
    <row r="874" spans="1:4" x14ac:dyDescent="0.25">
      <c r="A874" s="264">
        <f>HLOOKUP(Overview!$P$8,$B$1:$AI$1500,874,FALSE)</f>
        <v>0</v>
      </c>
      <c r="C874" s="183">
        <v>10001892</v>
      </c>
    </row>
    <row r="875" spans="1:4" x14ac:dyDescent="0.25">
      <c r="A875" s="264">
        <f>HLOOKUP(Overview!$P$8,$B$1:$AI$1500,875,FALSE)</f>
        <v>0</v>
      </c>
      <c r="C875" s="183">
        <v>10001124</v>
      </c>
    </row>
    <row r="876" spans="1:4" x14ac:dyDescent="0.25">
      <c r="A876" s="264">
        <f>HLOOKUP(Overview!$P$8,$B$1:$AI$1500,876,FALSE)</f>
        <v>0</v>
      </c>
      <c r="C876" s="183">
        <v>10002881</v>
      </c>
    </row>
    <row r="877" spans="1:4" x14ac:dyDescent="0.25">
      <c r="A877" s="264">
        <f>HLOOKUP(Overview!$P$8,$B$1:$AI$1500,877,FALSE)</f>
        <v>0</v>
      </c>
      <c r="C877" s="183">
        <v>10002878</v>
      </c>
    </row>
    <row r="878" spans="1:4" x14ac:dyDescent="0.25">
      <c r="A878" s="264">
        <f>HLOOKUP(Overview!$P$8,$B$1:$AI$1500,878,FALSE)</f>
        <v>0</v>
      </c>
      <c r="C878" s="263">
        <v>10002876</v>
      </c>
      <c r="D878" s="263"/>
    </row>
    <row r="879" spans="1:4" x14ac:dyDescent="0.25">
      <c r="A879" s="264">
        <f>HLOOKUP(Overview!$P$8,$B$1:$AI$1500,879,FALSE)</f>
        <v>0</v>
      </c>
      <c r="C879" s="263">
        <v>10002877</v>
      </c>
      <c r="D879" s="263"/>
    </row>
    <row r="880" spans="1:4" x14ac:dyDescent="0.25">
      <c r="A880" s="264">
        <f>HLOOKUP(Overview!$P$8,$B$1:$AI$1500,880,FALSE)</f>
        <v>0</v>
      </c>
      <c r="C880" s="183">
        <v>10068816</v>
      </c>
    </row>
    <row r="881" spans="1:4" x14ac:dyDescent="0.25">
      <c r="A881" s="264">
        <f>HLOOKUP(Overview!$P$8,$B$1:$AI$1500,881,FALSE)</f>
        <v>0</v>
      </c>
      <c r="C881" s="183">
        <v>10002874</v>
      </c>
    </row>
    <row r="882" spans="1:4" x14ac:dyDescent="0.25">
      <c r="A882" s="264">
        <f>HLOOKUP(Overview!$P$8,$B$1:$AI$1500,882,FALSE)</f>
        <v>0</v>
      </c>
      <c r="C882" s="183">
        <v>10000562</v>
      </c>
    </row>
    <row r="883" spans="1:4" x14ac:dyDescent="0.25">
      <c r="A883" s="264">
        <f>HLOOKUP(Overview!$P$8,$B$1:$AI$1500,883,FALSE)</f>
        <v>0</v>
      </c>
      <c r="C883" s="183">
        <v>10002875</v>
      </c>
    </row>
    <row r="884" spans="1:4" x14ac:dyDescent="0.25">
      <c r="A884" s="264">
        <f>HLOOKUP(Overview!$P$8,$B$1:$AI$1500,884,FALSE)</f>
        <v>0</v>
      </c>
      <c r="C884" s="183">
        <v>10001120</v>
      </c>
    </row>
    <row r="885" spans="1:4" x14ac:dyDescent="0.25">
      <c r="A885" s="264">
        <f>HLOOKUP(Overview!$P$8,$B$1:$AI$1500,885,FALSE)</f>
        <v>0</v>
      </c>
      <c r="C885" s="263">
        <v>10001890</v>
      </c>
      <c r="D885" s="263"/>
    </row>
    <row r="886" spans="1:4" x14ac:dyDescent="0.25">
      <c r="A886" s="264">
        <f>HLOOKUP(Overview!$P$8,$B$1:$AI$1500,886,FALSE)</f>
        <v>0</v>
      </c>
      <c r="C886" s="183">
        <v>10001751</v>
      </c>
    </row>
    <row r="887" spans="1:4" x14ac:dyDescent="0.25">
      <c r="A887" s="264">
        <f>HLOOKUP(Overview!$P$8,$B$1:$AI$1500,887,FALSE)</f>
        <v>0</v>
      </c>
      <c r="C887" s="183">
        <v>10001704</v>
      </c>
    </row>
    <row r="888" spans="1:4" x14ac:dyDescent="0.25">
      <c r="A888" s="264">
        <f>HLOOKUP(Overview!$P$8,$B$1:$AI$1500,888,FALSE)</f>
        <v>0</v>
      </c>
      <c r="C888" s="183">
        <v>10022241</v>
      </c>
    </row>
    <row r="889" spans="1:4" x14ac:dyDescent="0.25">
      <c r="A889" s="264">
        <f>HLOOKUP(Overview!$P$8,$B$1:$AI$1500,889,FALSE)</f>
        <v>0</v>
      </c>
      <c r="C889" s="183">
        <v>10087783</v>
      </c>
    </row>
    <row r="890" spans="1:4" x14ac:dyDescent="0.25">
      <c r="A890" s="264">
        <f>HLOOKUP(Overview!$P$8,$B$1:$AI$1500,890,FALSE)</f>
        <v>0</v>
      </c>
      <c r="C890" s="183">
        <v>10088075</v>
      </c>
    </row>
    <row r="891" spans="1:4" x14ac:dyDescent="0.25">
      <c r="A891" s="264">
        <f>HLOOKUP(Overview!$P$8,$B$1:$AI$1500,891,FALSE)</f>
        <v>0</v>
      </c>
      <c r="C891" s="183">
        <v>10001130</v>
      </c>
    </row>
    <row r="892" spans="1:4" x14ac:dyDescent="0.25">
      <c r="A892" s="264">
        <f>HLOOKUP(Overview!$P$8,$B$1:$AI$1500,892,FALSE)</f>
        <v>0</v>
      </c>
      <c r="C892" s="183">
        <v>10001894</v>
      </c>
    </row>
    <row r="893" spans="1:4" x14ac:dyDescent="0.25">
      <c r="A893" s="264">
        <f>HLOOKUP(Overview!$P$8,$B$1:$AI$1500,893,FALSE)</f>
        <v>0</v>
      </c>
      <c r="C893" s="183">
        <v>10000045</v>
      </c>
    </row>
    <row r="894" spans="1:4" x14ac:dyDescent="0.25">
      <c r="A894" s="264">
        <f>HLOOKUP(Overview!$P$8,$B$1:$AI$1500,894,FALSE)</f>
        <v>0</v>
      </c>
      <c r="C894" s="183">
        <v>10036212</v>
      </c>
    </row>
    <row r="895" spans="1:4" x14ac:dyDescent="0.25">
      <c r="A895" s="264">
        <f>HLOOKUP(Overview!$P$8,$B$1:$AI$1500,895,FALSE)</f>
        <v>0</v>
      </c>
      <c r="C895" s="183">
        <v>10087800</v>
      </c>
    </row>
    <row r="896" spans="1:4" x14ac:dyDescent="0.25">
      <c r="A896" s="264">
        <f>HLOOKUP(Overview!$P$8,$B$1:$AI$1500,896,FALSE)</f>
        <v>0</v>
      </c>
      <c r="C896" s="183">
        <v>10001705</v>
      </c>
    </row>
    <row r="897" spans="1:4" x14ac:dyDescent="0.25">
      <c r="A897" s="264">
        <f>HLOOKUP(Overview!$P$8,$B$1:$AI$1500,897,FALSE)</f>
        <v>0</v>
      </c>
      <c r="C897" s="263">
        <v>10022242</v>
      </c>
      <c r="D897" s="263"/>
    </row>
    <row r="898" spans="1:4" x14ac:dyDescent="0.25">
      <c r="A898" s="264">
        <f>HLOOKUP(Overview!$P$8,$B$1:$AI$1500,898,FALSE)</f>
        <v>0</v>
      </c>
      <c r="C898" s="263">
        <v>10120687</v>
      </c>
      <c r="D898" s="263"/>
    </row>
    <row r="899" spans="1:4" x14ac:dyDescent="0.25">
      <c r="A899" s="264">
        <f>HLOOKUP(Overview!$P$8,$B$1:$AI$1500,899,FALSE)</f>
        <v>0</v>
      </c>
      <c r="C899" s="183">
        <v>10133175</v>
      </c>
    </row>
    <row r="900" spans="1:4" x14ac:dyDescent="0.25">
      <c r="A900" s="264">
        <f>HLOOKUP(Overview!$P$8,$B$1:$AI$1500,900,FALSE)</f>
        <v>0</v>
      </c>
      <c r="C900" s="263">
        <v>10023919</v>
      </c>
      <c r="D900" s="263"/>
    </row>
    <row r="901" spans="1:4" x14ac:dyDescent="0.25">
      <c r="A901" s="264">
        <f>HLOOKUP(Overview!$P$8,$B$1:$AI$1500,901,FALSE)</f>
        <v>0</v>
      </c>
      <c r="C901" s="263">
        <v>10027683</v>
      </c>
      <c r="D901" s="263"/>
    </row>
    <row r="902" spans="1:4" x14ac:dyDescent="0.25">
      <c r="A902" s="264">
        <f>HLOOKUP(Overview!$P$8,$B$1:$AI$1500,902,FALSE)</f>
        <v>0</v>
      </c>
      <c r="C902" s="263">
        <v>10001112</v>
      </c>
      <c r="D902" s="263"/>
    </row>
    <row r="903" spans="1:4" x14ac:dyDescent="0.25">
      <c r="A903" s="264">
        <f>HLOOKUP(Overview!$P$8,$B$1:$AI$1500,903,FALSE)</f>
        <v>0</v>
      </c>
      <c r="C903" s="183">
        <v>10123484</v>
      </c>
    </row>
    <row r="904" spans="1:4" x14ac:dyDescent="0.25">
      <c r="A904" s="264">
        <f>HLOOKUP(Overview!$P$8,$B$1:$AI$1500,904,FALSE)</f>
        <v>0</v>
      </c>
      <c r="C904" s="263">
        <v>20001385</v>
      </c>
      <c r="D904" s="263"/>
    </row>
    <row r="905" spans="1:4" x14ac:dyDescent="0.25">
      <c r="A905" s="264">
        <f>HLOOKUP(Overview!$P$8,$B$1:$AI$1500,905,FALSE)</f>
        <v>0</v>
      </c>
      <c r="C905" s="183">
        <v>20001374</v>
      </c>
    </row>
    <row r="906" spans="1:4" x14ac:dyDescent="0.25">
      <c r="A906" s="264">
        <f>HLOOKUP(Overview!$P$8,$B$1:$AI$1500,906,FALSE)</f>
        <v>0</v>
      </c>
      <c r="C906" s="183">
        <v>20001379</v>
      </c>
    </row>
    <row r="907" spans="1:4" x14ac:dyDescent="0.25">
      <c r="A907" s="264">
        <f>HLOOKUP(Overview!$P$8,$B$1:$AI$1500,907,FALSE)</f>
        <v>0</v>
      </c>
      <c r="C907" s="183">
        <v>20001380</v>
      </c>
    </row>
    <row r="908" spans="1:4" x14ac:dyDescent="0.25">
      <c r="A908" s="264">
        <f>HLOOKUP(Overview!$P$8,$B$1:$AI$1500,908,FALSE)</f>
        <v>0</v>
      </c>
      <c r="C908" s="183">
        <v>20001377</v>
      </c>
    </row>
    <row r="909" spans="1:4" x14ac:dyDescent="0.25">
      <c r="A909" s="264">
        <f>HLOOKUP(Overview!$P$8,$B$1:$AI$1500,909,FALSE)</f>
        <v>0</v>
      </c>
      <c r="C909" s="183">
        <v>20000449</v>
      </c>
    </row>
    <row r="910" spans="1:4" x14ac:dyDescent="0.25">
      <c r="A910" s="264">
        <f>HLOOKUP(Overview!$P$8,$B$1:$AI$1500,910,FALSE)</f>
        <v>0</v>
      </c>
      <c r="C910" s="263">
        <v>20001378</v>
      </c>
      <c r="D910" s="263"/>
    </row>
    <row r="911" spans="1:4" x14ac:dyDescent="0.25">
      <c r="A911" s="264">
        <f>HLOOKUP(Overview!$P$8,$B$1:$AI$1500,911,FALSE)</f>
        <v>0</v>
      </c>
      <c r="C911" s="263">
        <v>20001375</v>
      </c>
      <c r="D911" s="263"/>
    </row>
    <row r="912" spans="1:4" x14ac:dyDescent="0.25">
      <c r="A912" s="264">
        <f>HLOOKUP(Overview!$P$8,$B$1:$AI$1500,912,FALSE)</f>
        <v>0</v>
      </c>
      <c r="C912" s="183">
        <v>20001392</v>
      </c>
    </row>
    <row r="913" spans="1:4" x14ac:dyDescent="0.25">
      <c r="A913" s="264">
        <f>HLOOKUP(Overview!$P$8,$B$1:$AI$1500,913,FALSE)</f>
        <v>0</v>
      </c>
      <c r="C913" s="183">
        <v>20004179</v>
      </c>
    </row>
    <row r="914" spans="1:4" x14ac:dyDescent="0.25">
      <c r="A914" s="264">
        <f>HLOOKUP(Overview!$P$8,$B$1:$AI$1500,914,FALSE)</f>
        <v>0</v>
      </c>
      <c r="C914" s="183">
        <v>20004228</v>
      </c>
    </row>
    <row r="915" spans="1:4" x14ac:dyDescent="0.25">
      <c r="A915" s="264">
        <f>HLOOKUP(Overview!$P$8,$B$1:$AI$1500,915,FALSE)</f>
        <v>0</v>
      </c>
      <c r="C915" s="183">
        <v>20027930</v>
      </c>
    </row>
    <row r="916" spans="1:4" x14ac:dyDescent="0.25">
      <c r="A916" s="264">
        <f>HLOOKUP(Overview!$P$8,$B$1:$AI$1500,916,FALSE)</f>
        <v>0</v>
      </c>
      <c r="C916" s="183">
        <v>20000538</v>
      </c>
    </row>
    <row r="917" spans="1:4" x14ac:dyDescent="0.25">
      <c r="A917" s="264">
        <f>HLOOKUP(Overview!$P$8,$B$1:$AI$1500,917,FALSE)</f>
        <v>0</v>
      </c>
      <c r="C917" s="183">
        <v>10001415</v>
      </c>
    </row>
    <row r="918" spans="1:4" x14ac:dyDescent="0.25">
      <c r="A918" s="264">
        <f>HLOOKUP(Overview!$P$8,$B$1:$AI$1500,918,FALSE)</f>
        <v>0</v>
      </c>
      <c r="C918" s="183">
        <v>10078452</v>
      </c>
    </row>
    <row r="919" spans="1:4" x14ac:dyDescent="0.25">
      <c r="A919" s="264">
        <f>HLOOKUP(Overview!$P$8,$B$1:$AI$1500,919,FALSE)</f>
        <v>0</v>
      </c>
      <c r="C919" s="263">
        <v>10083794</v>
      </c>
      <c r="D919" s="263"/>
    </row>
    <row r="920" spans="1:4" x14ac:dyDescent="0.25">
      <c r="A920" s="264">
        <f>HLOOKUP(Overview!$P$8,$B$1:$AI$1500,920,FALSE)</f>
        <v>0</v>
      </c>
      <c r="C920" s="183">
        <v>10001417</v>
      </c>
    </row>
    <row r="921" spans="1:4" x14ac:dyDescent="0.25">
      <c r="A921" s="264">
        <f>HLOOKUP(Overview!$P$8,$B$1:$AI$1500,921,FALSE)</f>
        <v>0</v>
      </c>
      <c r="C921" s="183">
        <v>10001437</v>
      </c>
    </row>
    <row r="922" spans="1:4" x14ac:dyDescent="0.25">
      <c r="A922" s="264">
        <f>HLOOKUP(Overview!$P$8,$B$1:$AI$1500,922,FALSE)</f>
        <v>0</v>
      </c>
      <c r="C922" s="183">
        <v>10078451</v>
      </c>
    </row>
    <row r="923" spans="1:4" x14ac:dyDescent="0.25">
      <c r="A923" s="264">
        <f>HLOOKUP(Overview!$P$8,$B$1:$AI$1500,923,FALSE)</f>
        <v>0</v>
      </c>
      <c r="C923" s="183">
        <v>10002245</v>
      </c>
    </row>
    <row r="924" spans="1:4" x14ac:dyDescent="0.25">
      <c r="A924" s="264">
        <f>HLOOKUP(Overview!$P$8,$B$1:$AI$1500,924,FALSE)</f>
        <v>0</v>
      </c>
      <c r="C924" s="183">
        <v>10089515</v>
      </c>
    </row>
    <row r="925" spans="1:4" x14ac:dyDescent="0.25">
      <c r="A925" s="264">
        <f>HLOOKUP(Overview!$P$8,$B$1:$AI$1500,925,FALSE)</f>
        <v>0</v>
      </c>
      <c r="C925" s="183">
        <v>10105874</v>
      </c>
    </row>
    <row r="926" spans="1:4" x14ac:dyDescent="0.25">
      <c r="A926" s="264">
        <f>HLOOKUP(Overview!$P$8,$B$1:$AI$1500,926,FALSE)</f>
        <v>0</v>
      </c>
      <c r="C926" s="183">
        <v>10000094</v>
      </c>
    </row>
    <row r="927" spans="1:4" x14ac:dyDescent="0.25">
      <c r="A927" s="264">
        <f>HLOOKUP(Overview!$P$8,$B$1:$AI$1500,927,FALSE)</f>
        <v>0</v>
      </c>
      <c r="C927" s="183">
        <v>10070593</v>
      </c>
    </row>
    <row r="928" spans="1:4" x14ac:dyDescent="0.25">
      <c r="A928" s="264">
        <f>HLOOKUP(Overview!$P$8,$B$1:$AI$1500,928,FALSE)</f>
        <v>0</v>
      </c>
      <c r="C928" s="183">
        <v>10001453</v>
      </c>
    </row>
    <row r="929" spans="1:3" x14ac:dyDescent="0.25">
      <c r="A929" s="264">
        <f>HLOOKUP(Overview!$P$8,$B$1:$AI$1500,929,FALSE)</f>
        <v>0</v>
      </c>
      <c r="C929" s="183">
        <v>10001602</v>
      </c>
    </row>
    <row r="930" spans="1:3" x14ac:dyDescent="0.25">
      <c r="A930" s="264">
        <f>HLOOKUP(Overview!$P$8,$B$1:$AI$1500,930,FALSE)</f>
        <v>0</v>
      </c>
      <c r="C930" s="183">
        <v>10121412</v>
      </c>
    </row>
    <row r="931" spans="1:3" x14ac:dyDescent="0.25">
      <c r="A931" s="264">
        <f>HLOOKUP(Overview!$P$8,$B$1:$AI$1500,931,FALSE)</f>
        <v>0</v>
      </c>
      <c r="C931" s="183">
        <v>10001470</v>
      </c>
    </row>
    <row r="932" spans="1:3" x14ac:dyDescent="0.25">
      <c r="A932" s="264">
        <f>HLOOKUP(Overview!$P$8,$B$1:$AI$1500,932,FALSE)</f>
        <v>0</v>
      </c>
      <c r="C932" s="183">
        <v>10011973</v>
      </c>
    </row>
    <row r="933" spans="1:3" x14ac:dyDescent="0.25">
      <c r="A933" s="264">
        <f>HLOOKUP(Overview!$P$8,$B$1:$AI$1500,933,FALSE)</f>
        <v>0</v>
      </c>
      <c r="C933" s="183">
        <v>10026329</v>
      </c>
    </row>
    <row r="934" spans="1:3" x14ac:dyDescent="0.25">
      <c r="A934" s="264">
        <f>HLOOKUP(Overview!$P$8,$B$1:$AI$1500,934,FALSE)</f>
        <v>0</v>
      </c>
      <c r="C934" s="183">
        <v>10081257</v>
      </c>
    </row>
    <row r="935" spans="1:3" x14ac:dyDescent="0.25">
      <c r="A935" s="264">
        <f>HLOOKUP(Overview!$P$8,$B$1:$AI$1500,935,FALSE)</f>
        <v>0</v>
      </c>
      <c r="C935" s="183">
        <v>10126466</v>
      </c>
    </row>
    <row r="936" spans="1:3" x14ac:dyDescent="0.25">
      <c r="A936" s="264">
        <f>HLOOKUP(Overview!$P$8,$B$1:$AI$1500,936,FALSE)</f>
        <v>0</v>
      </c>
      <c r="C936" s="183">
        <v>10001595</v>
      </c>
    </row>
    <row r="937" spans="1:3" x14ac:dyDescent="0.25">
      <c r="A937" s="264">
        <f>HLOOKUP(Overview!$P$8,$B$1:$AI$1500,937,FALSE)</f>
        <v>0</v>
      </c>
      <c r="C937" s="183">
        <v>20004221</v>
      </c>
    </row>
    <row r="938" spans="1:3" x14ac:dyDescent="0.25">
      <c r="A938" s="264">
        <f>HLOOKUP(Overview!$P$8,$B$1:$AI$1500,938,FALSE)</f>
        <v>0</v>
      </c>
      <c r="C938" s="183">
        <v>10001487</v>
      </c>
    </row>
    <row r="939" spans="1:3" x14ac:dyDescent="0.25">
      <c r="A939" s="264">
        <f>HLOOKUP(Overview!$P$8,$B$1:$AI$1500,939,FALSE)</f>
        <v>0</v>
      </c>
      <c r="C939" s="183">
        <v>10078450</v>
      </c>
    </row>
    <row r="940" spans="1:3" x14ac:dyDescent="0.25">
      <c r="A940" s="264">
        <f>HLOOKUP(Overview!$P$8,$B$1:$AI$1500,940,FALSE)</f>
        <v>0</v>
      </c>
      <c r="C940" s="183">
        <v>10105907</v>
      </c>
    </row>
    <row r="941" spans="1:3" x14ac:dyDescent="0.25">
      <c r="A941" s="264">
        <f>HLOOKUP(Overview!$P$8,$B$1:$AI$1500,941,FALSE)</f>
        <v>0</v>
      </c>
      <c r="C941" s="183">
        <v>10105906</v>
      </c>
    </row>
    <row r="942" spans="1:3" x14ac:dyDescent="0.25">
      <c r="A942" s="264">
        <f>HLOOKUP(Overview!$P$8,$B$1:$AI$1500,942,FALSE)</f>
        <v>0</v>
      </c>
      <c r="C942" s="183">
        <v>10000109</v>
      </c>
    </row>
    <row r="943" spans="1:3" x14ac:dyDescent="0.25">
      <c r="A943" s="264">
        <f>HLOOKUP(Overview!$P$8,$B$1:$AI$1500,943,FALSE)</f>
        <v>0</v>
      </c>
      <c r="C943" s="183">
        <v>20004219</v>
      </c>
    </row>
    <row r="944" spans="1:3" x14ac:dyDescent="0.25">
      <c r="A944" s="264">
        <f>HLOOKUP(Overview!$P$8,$B$1:$AI$1500,944,FALSE)</f>
        <v>0</v>
      </c>
      <c r="C944" s="183">
        <v>10001489</v>
      </c>
    </row>
    <row r="945" spans="1:3" x14ac:dyDescent="0.25">
      <c r="A945" s="264">
        <f>HLOOKUP(Overview!$P$8,$B$1:$AI$1500,945,FALSE)</f>
        <v>0</v>
      </c>
      <c r="C945" s="183">
        <v>20004216</v>
      </c>
    </row>
    <row r="946" spans="1:3" x14ac:dyDescent="0.25">
      <c r="A946" s="264">
        <f>HLOOKUP(Overview!$P$8,$B$1:$AI$1500,946,FALSE)</f>
        <v>0</v>
      </c>
      <c r="C946" s="183">
        <v>10001766</v>
      </c>
    </row>
    <row r="947" spans="1:3" x14ac:dyDescent="0.25">
      <c r="A947" s="264">
        <f>HLOOKUP(Overview!$P$8,$B$1:$AI$1500,947,FALSE)</f>
        <v>0</v>
      </c>
      <c r="C947" s="183">
        <v>20004217</v>
      </c>
    </row>
    <row r="948" spans="1:3" x14ac:dyDescent="0.25">
      <c r="A948" s="264">
        <f>HLOOKUP(Overview!$P$8,$B$1:$AI$1500,948,FALSE)</f>
        <v>0</v>
      </c>
      <c r="C948" s="183">
        <v>10001486</v>
      </c>
    </row>
    <row r="949" spans="1:3" x14ac:dyDescent="0.25">
      <c r="A949" s="264">
        <f>HLOOKUP(Overview!$P$8,$B$1:$AI$1500,949,FALSE)</f>
        <v>0</v>
      </c>
      <c r="C949" s="183">
        <v>10001490</v>
      </c>
    </row>
    <row r="950" spans="1:3" x14ac:dyDescent="0.25">
      <c r="A950" s="264">
        <f>HLOOKUP(Overview!$P$8,$B$1:$AI$1500,950,FALSE)</f>
        <v>0</v>
      </c>
      <c r="C950" s="183">
        <v>10006263</v>
      </c>
    </row>
    <row r="951" spans="1:3" x14ac:dyDescent="0.25">
      <c r="A951" s="264">
        <f>HLOOKUP(Overview!$P$8,$B$1:$AI$1500,951,FALSE)</f>
        <v>0</v>
      </c>
      <c r="C951" s="183">
        <v>10001460</v>
      </c>
    </row>
    <row r="952" spans="1:3" x14ac:dyDescent="0.25">
      <c r="A952" s="264">
        <f>HLOOKUP(Overview!$P$8,$B$1:$AI$1500,952,FALSE)</f>
        <v>0</v>
      </c>
      <c r="C952" s="183">
        <v>10001459</v>
      </c>
    </row>
    <row r="953" spans="1:3" x14ac:dyDescent="0.25">
      <c r="A953" s="264">
        <f>HLOOKUP(Overview!$P$8,$B$1:$AI$1500,953,FALSE)</f>
        <v>0</v>
      </c>
      <c r="C953" s="183">
        <v>10001458</v>
      </c>
    </row>
    <row r="954" spans="1:3" x14ac:dyDescent="0.25">
      <c r="A954" s="264">
        <f>HLOOKUP(Overview!$P$8,$B$1:$AI$1500,954,FALSE)</f>
        <v>0</v>
      </c>
      <c r="C954" s="183">
        <v>10000088</v>
      </c>
    </row>
    <row r="955" spans="1:3" x14ac:dyDescent="0.25">
      <c r="A955" s="264">
        <f>HLOOKUP(Overview!$P$8,$B$1:$AI$1500,955,FALSE)</f>
        <v>0</v>
      </c>
      <c r="C955" s="183">
        <v>10001419</v>
      </c>
    </row>
    <row r="956" spans="1:3" x14ac:dyDescent="0.25">
      <c r="A956" s="264">
        <f>HLOOKUP(Overview!$P$8,$B$1:$AI$1500,956,FALSE)</f>
        <v>0</v>
      </c>
      <c r="C956" s="183">
        <v>10083961</v>
      </c>
    </row>
    <row r="957" spans="1:3" x14ac:dyDescent="0.25">
      <c r="A957" s="264">
        <f>HLOOKUP(Overview!$P$8,$B$1:$AI$1500,957,FALSE)</f>
        <v>0</v>
      </c>
      <c r="C957" s="183">
        <v>10001798</v>
      </c>
    </row>
    <row r="958" spans="1:3" x14ac:dyDescent="0.25">
      <c r="A958" s="264">
        <f>HLOOKUP(Overview!$P$8,$B$1:$AI$1500,958,FALSE)</f>
        <v>0</v>
      </c>
      <c r="C958" s="183">
        <v>10001606</v>
      </c>
    </row>
    <row r="959" spans="1:3" x14ac:dyDescent="0.25">
      <c r="A959" s="264">
        <f>HLOOKUP(Overview!$P$8,$B$1:$AI$1500,959,FALSE)</f>
        <v>0</v>
      </c>
      <c r="C959" s="183">
        <v>10006385</v>
      </c>
    </row>
    <row r="960" spans="1:3" x14ac:dyDescent="0.25">
      <c r="A960" s="264">
        <f>HLOOKUP(Overview!$P$8,$B$1:$AI$1500,960,FALSE)</f>
        <v>0</v>
      </c>
      <c r="C960" s="183">
        <v>10120765</v>
      </c>
    </row>
    <row r="961" spans="1:4" x14ac:dyDescent="0.25">
      <c r="A961" s="264">
        <f>HLOOKUP(Overview!$P$8,$B$1:$AI$1500,961,FALSE)</f>
        <v>0</v>
      </c>
      <c r="C961" s="263">
        <v>10001576</v>
      </c>
      <c r="D961" s="263"/>
    </row>
    <row r="962" spans="1:4" x14ac:dyDescent="0.25">
      <c r="A962" s="264">
        <f>HLOOKUP(Overview!$P$8,$B$1:$AI$1500,962,FALSE)</f>
        <v>0</v>
      </c>
      <c r="C962" s="263">
        <v>10001585</v>
      </c>
      <c r="D962" s="263"/>
    </row>
    <row r="963" spans="1:4" x14ac:dyDescent="0.25">
      <c r="A963" s="264">
        <f>HLOOKUP(Overview!$P$8,$B$1:$AI$1500,963,FALSE)</f>
        <v>0</v>
      </c>
      <c r="C963" s="183">
        <v>10001586</v>
      </c>
    </row>
    <row r="964" spans="1:4" x14ac:dyDescent="0.25">
      <c r="A964" s="264">
        <f>HLOOKUP(Overview!$P$8,$B$1:$AI$1500,964,FALSE)</f>
        <v>0</v>
      </c>
      <c r="C964" s="183">
        <v>10001580</v>
      </c>
    </row>
    <row r="965" spans="1:4" x14ac:dyDescent="0.25">
      <c r="A965" s="264">
        <f>HLOOKUP(Overview!$P$8,$B$1:$AI$1500,965,FALSE)</f>
        <v>0</v>
      </c>
      <c r="C965" s="183">
        <v>10001587</v>
      </c>
    </row>
    <row r="966" spans="1:4" x14ac:dyDescent="0.25">
      <c r="A966" s="264">
        <f>HLOOKUP(Overview!$P$8,$B$1:$AI$1500,966,FALSE)</f>
        <v>0</v>
      </c>
      <c r="C966" s="183">
        <v>10021983</v>
      </c>
    </row>
    <row r="967" spans="1:4" x14ac:dyDescent="0.25">
      <c r="A967" s="264">
        <f>HLOOKUP(Overview!$P$8,$B$1:$AI$1500,967,FALSE)</f>
        <v>0</v>
      </c>
      <c r="C967" s="183">
        <v>10021981</v>
      </c>
    </row>
    <row r="968" spans="1:4" x14ac:dyDescent="0.25">
      <c r="A968" s="264">
        <f>HLOOKUP(Overview!$P$8,$B$1:$AI$1500,968,FALSE)</f>
        <v>0</v>
      </c>
      <c r="C968" s="183">
        <v>10021984</v>
      </c>
    </row>
    <row r="969" spans="1:4" x14ac:dyDescent="0.25">
      <c r="A969" s="264">
        <f>HLOOKUP(Overview!$P$8,$B$1:$AI$1500,969,FALSE)</f>
        <v>0</v>
      </c>
      <c r="C969" s="183">
        <v>20006831</v>
      </c>
    </row>
    <row r="970" spans="1:4" x14ac:dyDescent="0.25">
      <c r="A970" s="264">
        <f>HLOOKUP(Overview!$P$8,$B$1:$AI$1500,970,FALSE)</f>
        <v>0</v>
      </c>
      <c r="C970" s="183">
        <v>20006833</v>
      </c>
    </row>
    <row r="971" spans="1:4" x14ac:dyDescent="0.25">
      <c r="A971" s="264">
        <f>HLOOKUP(Overview!$P$8,$B$1:$AI$1500,971,FALSE)</f>
        <v>0</v>
      </c>
      <c r="C971" s="183">
        <v>20006835</v>
      </c>
    </row>
    <row r="972" spans="1:4" x14ac:dyDescent="0.25">
      <c r="A972" s="264">
        <f>HLOOKUP(Overview!$P$8,$B$1:$AI$1500,972,FALSE)</f>
        <v>0</v>
      </c>
      <c r="C972" s="183">
        <v>10001422</v>
      </c>
    </row>
    <row r="973" spans="1:4" x14ac:dyDescent="0.25">
      <c r="A973" s="264">
        <f>HLOOKUP(Overview!$P$8,$B$1:$AI$1500,973,FALSE)</f>
        <v>0</v>
      </c>
      <c r="C973" s="183">
        <v>10089255</v>
      </c>
    </row>
    <row r="974" spans="1:4" x14ac:dyDescent="0.25">
      <c r="A974" s="264">
        <f>HLOOKUP(Overview!$P$8,$B$1:$AI$1500,974,FALSE)</f>
        <v>0</v>
      </c>
      <c r="C974" s="183">
        <v>10006260</v>
      </c>
    </row>
    <row r="975" spans="1:4" x14ac:dyDescent="0.25">
      <c r="A975" s="264">
        <f>HLOOKUP(Overview!$P$8,$B$1:$AI$1500,975,FALSE)</f>
        <v>0</v>
      </c>
      <c r="C975" s="183">
        <v>10001416</v>
      </c>
    </row>
    <row r="976" spans="1:4" x14ac:dyDescent="0.25">
      <c r="A976" s="264">
        <f>HLOOKUP(Overview!$P$8,$B$1:$AI$1500,976,FALSE)</f>
        <v>0</v>
      </c>
      <c r="C976" s="183">
        <v>10000095</v>
      </c>
    </row>
    <row r="977" spans="1:3" x14ac:dyDescent="0.25">
      <c r="A977" s="264">
        <f>HLOOKUP(Overview!$P$8,$B$1:$AI$1500,977,FALSE)</f>
        <v>0</v>
      </c>
      <c r="C977" s="183">
        <v>10001438</v>
      </c>
    </row>
    <row r="978" spans="1:3" x14ac:dyDescent="0.25">
      <c r="A978" s="264">
        <f>HLOOKUP(Overview!$P$8,$B$1:$AI$1500,978,FALSE)</f>
        <v>0</v>
      </c>
      <c r="C978" s="183">
        <v>10001596</v>
      </c>
    </row>
    <row r="979" spans="1:3" x14ac:dyDescent="0.25">
      <c r="A979" s="264">
        <f>HLOOKUP(Overview!$P$8,$B$1:$AI$1500,979,FALSE)</f>
        <v>0</v>
      </c>
      <c r="C979" s="183">
        <v>20004220</v>
      </c>
    </row>
    <row r="980" spans="1:3" x14ac:dyDescent="0.25">
      <c r="A980" s="264">
        <f>HLOOKUP(Overview!$P$8,$B$1:$AI$1500,980,FALSE)</f>
        <v>0</v>
      </c>
      <c r="C980" s="183">
        <v>10001488</v>
      </c>
    </row>
    <row r="981" spans="1:3" x14ac:dyDescent="0.25">
      <c r="A981" s="264">
        <f>HLOOKUP(Overview!$P$8,$B$1:$AI$1500,981,FALSE)</f>
        <v>0</v>
      </c>
      <c r="C981" s="183">
        <v>10001421</v>
      </c>
    </row>
    <row r="982" spans="1:3" x14ac:dyDescent="0.25">
      <c r="A982" s="264">
        <f>HLOOKUP(Overview!$P$8,$B$1:$AI$1500,982,FALSE)</f>
        <v>0</v>
      </c>
      <c r="C982" s="183">
        <v>10001420</v>
      </c>
    </row>
    <row r="983" spans="1:3" x14ac:dyDescent="0.25">
      <c r="A983" s="264">
        <f>HLOOKUP(Overview!$P$8,$B$1:$AI$1500,983,FALSE)</f>
        <v>0</v>
      </c>
      <c r="C983" s="183">
        <v>10001799</v>
      </c>
    </row>
    <row r="984" spans="1:3" x14ac:dyDescent="0.25">
      <c r="A984" s="264">
        <f>HLOOKUP(Overview!$P$8,$B$1:$AI$1500,984,FALSE)</f>
        <v>0</v>
      </c>
      <c r="C984" s="183">
        <v>10001577</v>
      </c>
    </row>
    <row r="985" spans="1:3" x14ac:dyDescent="0.25">
      <c r="A985" s="264">
        <f>HLOOKUP(Overview!$P$8,$B$1:$AI$1500,985,FALSE)</f>
        <v>0</v>
      </c>
      <c r="C985" s="183">
        <v>10021980</v>
      </c>
    </row>
    <row r="986" spans="1:3" x14ac:dyDescent="0.25">
      <c r="A986" s="264">
        <f>HLOOKUP(Overview!$P$8,$B$1:$AI$1500,986,FALSE)</f>
        <v>0</v>
      </c>
      <c r="C986" s="183">
        <v>20006832</v>
      </c>
    </row>
    <row r="987" spans="1:3" x14ac:dyDescent="0.25">
      <c r="A987" s="264">
        <f>HLOOKUP(Overview!$P$8,$B$1:$AI$1500,987,FALSE)</f>
        <v>0</v>
      </c>
      <c r="C987" s="183">
        <v>20006834</v>
      </c>
    </row>
    <row r="988" spans="1:3" x14ac:dyDescent="0.25">
      <c r="A988" s="264">
        <f>HLOOKUP(Overview!$P$8,$B$1:$AI$1500,988,FALSE)</f>
        <v>0</v>
      </c>
      <c r="C988" s="183">
        <v>10001423</v>
      </c>
    </row>
    <row r="989" spans="1:3" x14ac:dyDescent="0.25">
      <c r="A989" s="264">
        <f>HLOOKUP(Overview!$P$8,$B$1:$AI$1500,989,FALSE)</f>
        <v>0</v>
      </c>
      <c r="C989" s="183">
        <v>10027339</v>
      </c>
    </row>
    <row r="990" spans="1:3" x14ac:dyDescent="0.25">
      <c r="A990" s="264">
        <f>HLOOKUP(Overview!$P$8,$B$1:$AI$1500,990,FALSE)</f>
        <v>0</v>
      </c>
      <c r="C990" s="183">
        <v>10081250</v>
      </c>
    </row>
    <row r="991" spans="1:3" x14ac:dyDescent="0.25">
      <c r="A991" s="264">
        <f>HLOOKUP(Overview!$P$8,$B$1:$AI$1500,991,FALSE)</f>
        <v>0</v>
      </c>
      <c r="C991" s="183">
        <v>10001426</v>
      </c>
    </row>
    <row r="992" spans="1:3" x14ac:dyDescent="0.25">
      <c r="A992" s="264">
        <f>HLOOKUP(Overview!$P$8,$B$1:$AI$1500,992,FALSE)</f>
        <v>0</v>
      </c>
      <c r="C992" s="183">
        <v>10001493</v>
      </c>
    </row>
    <row r="993" spans="1:4" x14ac:dyDescent="0.25">
      <c r="A993" s="264">
        <f>HLOOKUP(Overview!$P$8,$B$1:$AI$1500,993,FALSE)</f>
        <v>0</v>
      </c>
      <c r="C993" s="216">
        <v>10001436</v>
      </c>
      <c r="D993" s="216"/>
    </row>
    <row r="994" spans="1:4" x14ac:dyDescent="0.25">
      <c r="A994" s="264">
        <f>HLOOKUP(Overview!$P$8,$B$1:$AI$1500,994,FALSE)</f>
        <v>0</v>
      </c>
      <c r="C994" s="263">
        <v>10001468</v>
      </c>
      <c r="D994" s="263"/>
    </row>
    <row r="995" spans="1:4" x14ac:dyDescent="0.25">
      <c r="A995" s="264">
        <f>HLOOKUP(Overview!$P$8,$B$1:$AI$1500,995,FALSE)</f>
        <v>0</v>
      </c>
      <c r="C995" s="263">
        <v>10001454</v>
      </c>
      <c r="D995" s="263"/>
    </row>
    <row r="996" spans="1:4" x14ac:dyDescent="0.25">
      <c r="A996" s="264">
        <f>HLOOKUP(Overview!$P$8,$B$1:$AI$1500,996,FALSE)</f>
        <v>0</v>
      </c>
      <c r="C996" s="183">
        <v>10001535</v>
      </c>
    </row>
    <row r="997" spans="1:4" x14ac:dyDescent="0.25">
      <c r="A997" s="264">
        <f>HLOOKUP(Overview!$P$8,$B$1:$AI$1500,997,FALSE)</f>
        <v>0</v>
      </c>
      <c r="C997" s="183">
        <v>10081258</v>
      </c>
    </row>
    <row r="998" spans="1:4" x14ac:dyDescent="0.25">
      <c r="A998" s="264">
        <f>HLOOKUP(Overview!$P$8,$B$1:$AI$1500,998,FALSE)</f>
        <v>0</v>
      </c>
      <c r="C998" s="183">
        <v>10027338</v>
      </c>
    </row>
    <row r="999" spans="1:4" x14ac:dyDescent="0.25">
      <c r="A999" s="264">
        <f>HLOOKUP(Overview!$P$8,$B$1:$AI$1500,999,FALSE)</f>
        <v>0</v>
      </c>
      <c r="C999" s="183">
        <v>10001440</v>
      </c>
    </row>
    <row r="1000" spans="1:4" x14ac:dyDescent="0.25">
      <c r="A1000" s="264">
        <f>HLOOKUP(Overview!$P$8,$B$1:$AI$1500,1000,FALSE)</f>
        <v>0</v>
      </c>
      <c r="C1000" s="183">
        <v>10002348</v>
      </c>
    </row>
    <row r="1001" spans="1:4" x14ac:dyDescent="0.25">
      <c r="A1001" s="264">
        <f>HLOOKUP(Overview!$P$8,$B$1:$AI$1500,1001,FALSE)</f>
        <v>0</v>
      </c>
      <c r="C1001" s="183">
        <v>10001471</v>
      </c>
    </row>
    <row r="1002" spans="1:4" x14ac:dyDescent="0.25">
      <c r="A1002" s="264">
        <f>HLOOKUP(Overview!$P$8,$B$1:$AI$1500,1002,FALSE)</f>
        <v>0</v>
      </c>
      <c r="C1002" s="183">
        <v>10001714</v>
      </c>
    </row>
    <row r="1003" spans="1:4" x14ac:dyDescent="0.25">
      <c r="A1003" s="264">
        <f>HLOOKUP(Overview!$P$8,$B$1:$AI$1500,1003,FALSE)</f>
        <v>0</v>
      </c>
      <c r="C1003" s="263">
        <v>10120771</v>
      </c>
      <c r="D1003" s="263"/>
    </row>
    <row r="1004" spans="1:4" x14ac:dyDescent="0.25">
      <c r="A1004" s="264">
        <f>HLOOKUP(Overview!$P$8,$B$1:$AI$1500,1004,FALSE)</f>
        <v>0</v>
      </c>
      <c r="C1004" s="183">
        <v>10081251</v>
      </c>
    </row>
    <row r="1005" spans="1:4" x14ac:dyDescent="0.25">
      <c r="A1005" s="264">
        <f>HLOOKUP(Overview!$P$8,$B$1:$AI$1500,1005,FALSE)</f>
        <v>0</v>
      </c>
      <c r="C1005" s="263">
        <v>10001424</v>
      </c>
      <c r="D1005" s="263"/>
    </row>
    <row r="1006" spans="1:4" x14ac:dyDescent="0.25">
      <c r="A1006" s="264">
        <f>HLOOKUP(Overview!$P$8,$B$1:$AI$1500,1006,FALSE)</f>
        <v>0</v>
      </c>
      <c r="C1006" s="183">
        <v>10001597</v>
      </c>
    </row>
    <row r="1007" spans="1:4" x14ac:dyDescent="0.25">
      <c r="A1007" s="264">
        <f>HLOOKUP(Overview!$P$8,$B$1:$AI$1500,1007,FALSE)</f>
        <v>0</v>
      </c>
      <c r="C1007" s="183">
        <v>10120951</v>
      </c>
    </row>
    <row r="1008" spans="1:4" x14ac:dyDescent="0.25">
      <c r="A1008" s="264">
        <f>HLOOKUP(Overview!$P$8,$B$1:$AI$1500,1008,FALSE)</f>
        <v>0</v>
      </c>
      <c r="C1008" s="183">
        <v>10120764</v>
      </c>
    </row>
    <row r="1009" spans="1:4" x14ac:dyDescent="0.25">
      <c r="A1009" s="264">
        <f>HLOOKUP(Overview!$P$8,$B$1:$AI$1500,1009,FALSE)</f>
        <v>0</v>
      </c>
      <c r="C1009" s="183">
        <v>10000096</v>
      </c>
    </row>
    <row r="1010" spans="1:4" x14ac:dyDescent="0.25">
      <c r="A1010" s="264">
        <f>HLOOKUP(Overview!$P$8,$B$1:$AI$1500,1010,FALSE)</f>
        <v>0</v>
      </c>
      <c r="C1010" s="183">
        <v>10001442</v>
      </c>
    </row>
    <row r="1011" spans="1:4" x14ac:dyDescent="0.25">
      <c r="A1011" s="264">
        <f>HLOOKUP(Overview!$P$8,$B$1:$AI$1500,1011,FALSE)</f>
        <v>0</v>
      </c>
      <c r="C1011" s="183">
        <v>10001435</v>
      </c>
    </row>
    <row r="1012" spans="1:4" x14ac:dyDescent="0.25">
      <c r="A1012" s="264">
        <f>HLOOKUP(Overview!$P$8,$B$1:$AI$1500,1012,FALSE)</f>
        <v>0</v>
      </c>
      <c r="C1012" s="183">
        <v>10001467</v>
      </c>
    </row>
    <row r="1013" spans="1:4" x14ac:dyDescent="0.25">
      <c r="A1013" s="264">
        <f>HLOOKUP(Overview!$P$8,$B$1:$AI$1500,1013,FALSE)</f>
        <v>0</v>
      </c>
      <c r="C1013" s="183">
        <v>10033321</v>
      </c>
    </row>
    <row r="1014" spans="1:4" x14ac:dyDescent="0.25">
      <c r="A1014" s="264">
        <f>HLOOKUP(Overview!$P$8,$B$1:$AI$1500,1014,FALSE)</f>
        <v>0</v>
      </c>
      <c r="C1014" s="183">
        <v>10001712</v>
      </c>
    </row>
    <row r="1015" spans="1:4" x14ac:dyDescent="0.25">
      <c r="A1015" s="264">
        <f>HLOOKUP(Overview!$P$8,$B$1:$AI$1500,1015,FALSE)</f>
        <v>0</v>
      </c>
      <c r="C1015" s="183">
        <v>10026326</v>
      </c>
    </row>
    <row r="1016" spans="1:4" x14ac:dyDescent="0.25">
      <c r="A1016" s="264">
        <f>HLOOKUP(Overview!$P$8,$B$1:$AI$1500,1016,FALSE)</f>
        <v>0</v>
      </c>
      <c r="C1016" s="183">
        <v>10120822</v>
      </c>
    </row>
    <row r="1017" spans="1:4" x14ac:dyDescent="0.25">
      <c r="A1017" s="264">
        <f>HLOOKUP(Overview!$P$8,$B$1:$AI$1500,1017,FALSE)</f>
        <v>0</v>
      </c>
      <c r="C1017" s="183">
        <v>10120770</v>
      </c>
    </row>
    <row r="1018" spans="1:4" x14ac:dyDescent="0.25">
      <c r="A1018" s="264">
        <f>HLOOKUP(Overview!$P$8,$B$1:$AI$1500,1018,FALSE)</f>
        <v>0</v>
      </c>
      <c r="C1018" s="183">
        <v>10087793</v>
      </c>
    </row>
    <row r="1019" spans="1:4" x14ac:dyDescent="0.25">
      <c r="A1019" s="264">
        <f>HLOOKUP(Overview!$P$8,$B$1:$AI$1500,1019,FALSE)</f>
        <v>0</v>
      </c>
      <c r="C1019" s="183">
        <v>10119485</v>
      </c>
    </row>
    <row r="1020" spans="1:4" x14ac:dyDescent="0.25">
      <c r="A1020" s="264">
        <f>HLOOKUP(Overview!$P$8,$B$1:$AI$1500,1020,FALSE)</f>
        <v>0</v>
      </c>
      <c r="C1020" s="183">
        <v>10001455</v>
      </c>
    </row>
    <row r="1021" spans="1:4" x14ac:dyDescent="0.25">
      <c r="A1021" s="264">
        <f>HLOOKUP(Overview!$P$8,$B$1:$AI$1500,1021,FALSE)</f>
        <v>0</v>
      </c>
      <c r="C1021" s="183">
        <v>10078453</v>
      </c>
    </row>
    <row r="1022" spans="1:4" x14ac:dyDescent="0.25">
      <c r="A1022" s="264">
        <f>HLOOKUP(Overview!$P$8,$B$1:$AI$1500,1022,FALSE)</f>
        <v>0</v>
      </c>
      <c r="C1022" s="183">
        <v>10088173</v>
      </c>
    </row>
    <row r="1023" spans="1:4" x14ac:dyDescent="0.25">
      <c r="A1023" s="264">
        <f>HLOOKUP(Overview!$P$8,$B$1:$AI$1500,1023,FALSE)</f>
        <v>0</v>
      </c>
      <c r="C1023" s="183">
        <v>10120952</v>
      </c>
    </row>
    <row r="1024" spans="1:4" x14ac:dyDescent="0.25">
      <c r="A1024" s="264">
        <f>HLOOKUP(Overview!$P$8,$B$1:$AI$1500,1024,FALSE)</f>
        <v>0</v>
      </c>
      <c r="C1024" s="216">
        <v>10120772</v>
      </c>
      <c r="D1024" s="216"/>
    </row>
    <row r="1025" spans="1:4" x14ac:dyDescent="0.25">
      <c r="A1025" s="264">
        <f>HLOOKUP(Overview!$P$8,$B$1:$AI$1500,1025,FALSE)</f>
        <v>0</v>
      </c>
      <c r="C1025" s="183">
        <v>10133230</v>
      </c>
    </row>
    <row r="1026" spans="1:4" x14ac:dyDescent="0.25">
      <c r="A1026" s="264">
        <f>HLOOKUP(Overview!$P$8,$B$1:$AI$1500,1026,FALSE)</f>
        <v>0</v>
      </c>
      <c r="C1026" s="183">
        <v>10128280</v>
      </c>
    </row>
    <row r="1027" spans="1:4" x14ac:dyDescent="0.25">
      <c r="A1027" s="264">
        <f>HLOOKUP(Overview!$P$8,$B$1:$AI$1500,1027,FALSE)</f>
        <v>0</v>
      </c>
      <c r="C1027" s="263">
        <v>10120769</v>
      </c>
      <c r="D1027" s="263"/>
    </row>
    <row r="1028" spans="1:4" x14ac:dyDescent="0.25">
      <c r="A1028" s="264">
        <f>HLOOKUP(Overview!$P$8,$B$1:$AI$1500,1028,FALSE)</f>
        <v>0</v>
      </c>
      <c r="C1028" s="183">
        <v>10002707</v>
      </c>
    </row>
    <row r="1029" spans="1:4" x14ac:dyDescent="0.25">
      <c r="A1029" s="264">
        <f>HLOOKUP(Overview!$P$8,$B$1:$AI$1500,1029,FALSE)</f>
        <v>0</v>
      </c>
      <c r="C1029" s="183">
        <v>10063204</v>
      </c>
    </row>
    <row r="1030" spans="1:4" x14ac:dyDescent="0.25">
      <c r="A1030" s="264">
        <f>HLOOKUP(Overview!$P$8,$B$1:$AI$1500,1030,FALSE)</f>
        <v>0</v>
      </c>
      <c r="C1030" s="183">
        <v>10120823</v>
      </c>
    </row>
    <row r="1031" spans="1:4" x14ac:dyDescent="0.25">
      <c r="A1031" s="264">
        <f>HLOOKUP(Overview!$P$8,$B$1:$AI$1500,1031,FALSE)</f>
        <v>0</v>
      </c>
      <c r="C1031" s="183">
        <v>10120766</v>
      </c>
    </row>
    <row r="1032" spans="1:4" x14ac:dyDescent="0.25">
      <c r="A1032" s="264">
        <f>HLOOKUP(Overview!$P$8,$B$1:$AI$1500,1032,FALSE)</f>
        <v>0</v>
      </c>
      <c r="C1032" s="263">
        <v>10087801</v>
      </c>
      <c r="D1032" s="263"/>
    </row>
    <row r="1033" spans="1:4" x14ac:dyDescent="0.25">
      <c r="A1033" s="264">
        <f>HLOOKUP(Overview!$P$8,$B$1:$AI$1500,1033,FALSE)</f>
        <v>0</v>
      </c>
      <c r="C1033" s="183">
        <v>10119486</v>
      </c>
    </row>
    <row r="1034" spans="1:4" x14ac:dyDescent="0.25">
      <c r="A1034" s="264">
        <f>HLOOKUP(Overview!$P$8,$B$1:$AI$1500,1034,FALSE)</f>
        <v>0</v>
      </c>
      <c r="C1034" s="263">
        <v>10001713</v>
      </c>
      <c r="D1034" s="263"/>
    </row>
    <row r="1035" spans="1:4" x14ac:dyDescent="0.25">
      <c r="A1035" s="264">
        <f>HLOOKUP(Overview!$P$8,$B$1:$AI$1500,1035,FALSE)</f>
        <v>0</v>
      </c>
      <c r="C1035" s="183">
        <v>10026324</v>
      </c>
    </row>
    <row r="1036" spans="1:4" x14ac:dyDescent="0.25">
      <c r="A1036" s="264">
        <f>HLOOKUP(Overview!$P$8,$B$1:$AI$1500,1036,FALSE)</f>
        <v>0</v>
      </c>
      <c r="C1036" s="183">
        <v>10120821</v>
      </c>
    </row>
    <row r="1037" spans="1:4" x14ac:dyDescent="0.25">
      <c r="A1037" s="264">
        <f>HLOOKUP(Overview!$P$8,$B$1:$AI$1500,1037,FALSE)</f>
        <v>0</v>
      </c>
      <c r="C1037" s="183">
        <v>10120767</v>
      </c>
    </row>
    <row r="1038" spans="1:4" x14ac:dyDescent="0.25">
      <c r="A1038" s="264">
        <f>HLOOKUP(Overview!$P$8,$B$1:$AI$1500,1038,FALSE)</f>
        <v>0</v>
      </c>
      <c r="C1038" s="263">
        <v>10120686</v>
      </c>
      <c r="D1038" s="263"/>
    </row>
    <row r="1039" spans="1:4" x14ac:dyDescent="0.25">
      <c r="A1039" s="264">
        <f>HLOOKUP(Overview!$P$8,$B$1:$AI$1500,1039,FALSE)</f>
        <v>0</v>
      </c>
      <c r="C1039" s="183">
        <v>10133232</v>
      </c>
    </row>
    <row r="1040" spans="1:4" x14ac:dyDescent="0.25">
      <c r="A1040" s="264">
        <f>HLOOKUP(Overview!$P$8,$B$1:$AI$1500,1040,FALSE)</f>
        <v>0</v>
      </c>
      <c r="C1040" s="263">
        <v>10001469</v>
      </c>
      <c r="D1040" s="263"/>
    </row>
    <row r="1041" spans="1:4" x14ac:dyDescent="0.25">
      <c r="A1041" s="264">
        <f>HLOOKUP(Overview!$P$8,$B$1:$AI$1500,1041,FALSE)</f>
        <v>0</v>
      </c>
      <c r="C1041" s="183">
        <v>10044944</v>
      </c>
    </row>
    <row r="1042" spans="1:4" x14ac:dyDescent="0.25">
      <c r="A1042" s="264">
        <f>HLOOKUP(Overview!$P$8,$B$1:$AI$1500,1042,FALSE)</f>
        <v>0</v>
      </c>
      <c r="C1042" s="183">
        <v>10121439</v>
      </c>
    </row>
    <row r="1043" spans="1:4" x14ac:dyDescent="0.25">
      <c r="A1043" s="264">
        <f>HLOOKUP(Overview!$P$8,$B$1:$AI$1500,1043,FALSE)</f>
        <v>0</v>
      </c>
      <c r="C1043" s="263">
        <v>10023918</v>
      </c>
      <c r="D1043" s="263"/>
    </row>
    <row r="1044" spans="1:4" x14ac:dyDescent="0.25">
      <c r="A1044" s="264">
        <f>HLOOKUP(Overview!$P$8,$B$1:$AI$1500,1044,FALSE)</f>
        <v>0</v>
      </c>
      <c r="C1044" s="183">
        <v>10023922</v>
      </c>
    </row>
    <row r="1045" spans="1:4" x14ac:dyDescent="0.25">
      <c r="A1045" s="264">
        <f>HLOOKUP(Overview!$P$8,$B$1:$AI$1500,1045,FALSE)</f>
        <v>0</v>
      </c>
      <c r="C1045" s="183">
        <v>10023921</v>
      </c>
    </row>
    <row r="1046" spans="1:4" x14ac:dyDescent="0.25">
      <c r="A1046" s="264">
        <f>HLOOKUP(Overview!$P$8,$B$1:$AI$1500,1046,FALSE)</f>
        <v>0</v>
      </c>
      <c r="C1046" s="183">
        <v>10120768</v>
      </c>
    </row>
    <row r="1047" spans="1:4" x14ac:dyDescent="0.25">
      <c r="A1047" s="264">
        <f>HLOOKUP(Overview!$P$8,$B$1:$AI$1500,1047,FALSE)</f>
        <v>0</v>
      </c>
      <c r="C1047" s="263">
        <v>10002268</v>
      </c>
      <c r="D1047" s="263"/>
    </row>
    <row r="1048" spans="1:4" x14ac:dyDescent="0.25">
      <c r="A1048" s="264">
        <f>HLOOKUP(Overview!$P$8,$B$1:$AI$1500,1048,FALSE)</f>
        <v>0</v>
      </c>
      <c r="C1048" s="263">
        <v>10000098</v>
      </c>
      <c r="D1048" s="263"/>
    </row>
    <row r="1049" spans="1:4" x14ac:dyDescent="0.25">
      <c r="A1049" s="264">
        <f>HLOOKUP(Overview!$P$8,$B$1:$AI$1500,1049,FALSE)</f>
        <v>0</v>
      </c>
      <c r="C1049" s="263">
        <v>20028249</v>
      </c>
      <c r="D1049" s="263"/>
    </row>
    <row r="1050" spans="1:4" x14ac:dyDescent="0.25">
      <c r="A1050" s="264">
        <f>HLOOKUP(Overview!$P$8,$B$1:$AI$1500,1050,FALSE)</f>
        <v>0</v>
      </c>
      <c r="C1050" s="183">
        <v>20028083</v>
      </c>
    </row>
    <row r="1051" spans="1:4" x14ac:dyDescent="0.25">
      <c r="A1051" s="264">
        <f>HLOOKUP(Overview!$P$8,$B$1:$AI$1500,1051,FALSE)</f>
        <v>0</v>
      </c>
      <c r="C1051" s="183">
        <v>20028086</v>
      </c>
    </row>
    <row r="1052" spans="1:4" x14ac:dyDescent="0.25">
      <c r="A1052" s="264">
        <f>HLOOKUP(Overview!$P$8,$B$1:$AI$1500,1052,FALSE)</f>
        <v>0</v>
      </c>
      <c r="C1052" s="183">
        <v>20028253</v>
      </c>
    </row>
    <row r="1053" spans="1:4" x14ac:dyDescent="0.25">
      <c r="A1053" s="264">
        <f>HLOOKUP(Overview!$P$8,$B$1:$AI$1500,1053,FALSE)</f>
        <v>0</v>
      </c>
      <c r="C1053" s="183">
        <v>20028084</v>
      </c>
    </row>
    <row r="1054" spans="1:4" x14ac:dyDescent="0.25">
      <c r="A1054" s="264">
        <f>HLOOKUP(Overview!$P$8,$B$1:$AI$1500,1054,FALSE)</f>
        <v>0</v>
      </c>
      <c r="C1054" s="183">
        <v>20028085</v>
      </c>
    </row>
    <row r="1055" spans="1:4" x14ac:dyDescent="0.25">
      <c r="A1055" s="264">
        <f>HLOOKUP(Overview!$P$8,$B$1:$AI$1500,1055,FALSE)</f>
        <v>0</v>
      </c>
      <c r="C1055" s="263">
        <v>20028252</v>
      </c>
      <c r="D1055" s="263"/>
    </row>
    <row r="1056" spans="1:4" x14ac:dyDescent="0.25">
      <c r="A1056" s="264">
        <f>HLOOKUP(Overview!$P$8,$B$1:$AI$1500,1056,FALSE)</f>
        <v>0</v>
      </c>
      <c r="C1056" s="263">
        <v>20028250</v>
      </c>
      <c r="D1056" s="263"/>
    </row>
    <row r="1057" spans="1:4" x14ac:dyDescent="0.25">
      <c r="A1057" s="264">
        <f>HLOOKUP(Overview!$P$8,$B$1:$AI$1500,1057,FALSE)</f>
        <v>0</v>
      </c>
      <c r="C1057" s="263">
        <v>20028251</v>
      </c>
      <c r="D1057" s="263"/>
    </row>
    <row r="1058" spans="1:4" x14ac:dyDescent="0.25">
      <c r="A1058" s="264">
        <f>HLOOKUP(Overview!$P$8,$B$1:$AI$1500,1058,FALSE)</f>
        <v>0</v>
      </c>
      <c r="C1058" s="183">
        <v>20028248</v>
      </c>
    </row>
    <row r="1059" spans="1:4" x14ac:dyDescent="0.25">
      <c r="A1059" s="264">
        <f>HLOOKUP(Overview!$P$8,$B$1:$AI$1500,1059,FALSE)</f>
        <v>0</v>
      </c>
      <c r="C1059" s="183">
        <v>10123487</v>
      </c>
    </row>
    <row r="1060" spans="1:4" x14ac:dyDescent="0.25">
      <c r="A1060" s="264">
        <f>HLOOKUP(Overview!$P$8,$B$1:$AI$1500,1060,FALSE)</f>
        <v>0</v>
      </c>
      <c r="C1060" s="183">
        <v>10123485</v>
      </c>
    </row>
    <row r="1061" spans="1:4" x14ac:dyDescent="0.25">
      <c r="A1061" s="264">
        <f>HLOOKUP(Overview!$P$8,$B$1:$AI$1500,1061,FALSE)</f>
        <v>0</v>
      </c>
      <c r="C1061" s="183">
        <v>20028334</v>
      </c>
    </row>
    <row r="1062" spans="1:4" x14ac:dyDescent="0.25">
      <c r="A1062" s="264">
        <f>HLOOKUP(Overview!$P$8,$B$1:$AI$1500,1062,FALSE)</f>
        <v>0</v>
      </c>
      <c r="C1062" s="183">
        <v>10011920</v>
      </c>
    </row>
    <row r="1063" spans="1:4" x14ac:dyDescent="0.25">
      <c r="A1063" s="264">
        <f>HLOOKUP(Overview!$P$8,$B$1:$AI$1500,1063,FALSE)</f>
        <v>0</v>
      </c>
      <c r="C1063" s="183">
        <v>10011923</v>
      </c>
    </row>
    <row r="1064" spans="1:4" x14ac:dyDescent="0.25">
      <c r="A1064" s="264">
        <f>HLOOKUP(Overview!$P$8,$B$1:$AI$1500,1064,FALSE)</f>
        <v>0</v>
      </c>
      <c r="C1064" s="183">
        <v>10074478</v>
      </c>
    </row>
    <row r="1065" spans="1:4" x14ac:dyDescent="0.25">
      <c r="A1065" s="264">
        <f>HLOOKUP(Overview!$P$8,$B$1:$AI$1500,1065,FALSE)</f>
        <v>0</v>
      </c>
      <c r="C1065" s="183">
        <v>10117353</v>
      </c>
    </row>
    <row r="1066" spans="1:4" x14ac:dyDescent="0.25">
      <c r="A1066" s="264">
        <f>HLOOKUP(Overview!$P$8,$B$1:$AI$1500,1066,FALSE)</f>
        <v>0</v>
      </c>
      <c r="C1066" s="183">
        <v>10014792</v>
      </c>
    </row>
    <row r="1067" spans="1:4" x14ac:dyDescent="0.25">
      <c r="A1067" s="264">
        <f>HLOOKUP(Overview!$P$8,$B$1:$AI$1500,1067,FALSE)</f>
        <v>0</v>
      </c>
      <c r="C1067" s="183">
        <v>10003040</v>
      </c>
    </row>
    <row r="1068" spans="1:4" x14ac:dyDescent="0.25">
      <c r="A1068" s="264">
        <f>HLOOKUP(Overview!$P$8,$B$1:$AI$1500,1068,FALSE)</f>
        <v>0</v>
      </c>
      <c r="C1068" s="183">
        <v>10003024</v>
      </c>
    </row>
    <row r="1069" spans="1:4" x14ac:dyDescent="0.25">
      <c r="A1069" s="264">
        <f>HLOOKUP(Overview!$P$8,$B$1:$AI$1500,1069,FALSE)</f>
        <v>0</v>
      </c>
      <c r="C1069" s="183">
        <v>10088249</v>
      </c>
    </row>
    <row r="1070" spans="1:4" x14ac:dyDescent="0.25">
      <c r="A1070" s="264">
        <f>HLOOKUP(Overview!$P$8,$B$1:$AI$1500,1070,FALSE)</f>
        <v>0</v>
      </c>
      <c r="C1070" s="183">
        <v>10003038</v>
      </c>
    </row>
    <row r="1071" spans="1:4" x14ac:dyDescent="0.25">
      <c r="A1071" s="264">
        <f>HLOOKUP(Overview!$P$8,$B$1:$AI$1500,1071,FALSE)</f>
        <v>0</v>
      </c>
      <c r="C1071" s="263">
        <v>10003025</v>
      </c>
      <c r="D1071" s="263"/>
    </row>
    <row r="1072" spans="1:4" x14ac:dyDescent="0.25">
      <c r="A1072" s="264">
        <f>HLOOKUP(Overview!$P$8,$B$1:$AI$1500,1072,FALSE)</f>
        <v>0</v>
      </c>
      <c r="C1072" s="263">
        <v>10003037</v>
      </c>
      <c r="D1072" s="263"/>
    </row>
    <row r="1073" spans="1:3" x14ac:dyDescent="0.25">
      <c r="A1073" s="264">
        <f>HLOOKUP(Overview!$P$8,$B$1:$AI$1500,1073,FALSE)</f>
        <v>0</v>
      </c>
      <c r="C1073" s="183">
        <v>10031907</v>
      </c>
    </row>
    <row r="1074" spans="1:3" x14ac:dyDescent="0.25">
      <c r="A1074" s="264">
        <f>HLOOKUP(Overview!$P$8,$B$1:$AI$1500,1074,FALSE)</f>
        <v>0</v>
      </c>
      <c r="C1074" s="183">
        <v>10003039</v>
      </c>
    </row>
    <row r="1075" spans="1:3" x14ac:dyDescent="0.25">
      <c r="A1075" s="264">
        <f>HLOOKUP(Overview!$P$8,$B$1:$AI$1500,1075,FALSE)</f>
        <v>0</v>
      </c>
      <c r="C1075" s="183">
        <v>10109406</v>
      </c>
    </row>
    <row r="1076" spans="1:3" x14ac:dyDescent="0.25">
      <c r="A1076" s="264">
        <f>HLOOKUP(Overview!$P$8,$B$1:$AI$1500,1076,FALSE)</f>
        <v>0</v>
      </c>
      <c r="C1076" s="183">
        <v>10003023</v>
      </c>
    </row>
    <row r="1077" spans="1:3" x14ac:dyDescent="0.25">
      <c r="A1077" s="264">
        <f>HLOOKUP(Overview!$P$8,$B$1:$AI$1500,1077,FALSE)</f>
        <v>0</v>
      </c>
      <c r="C1077" s="183">
        <v>10003041</v>
      </c>
    </row>
    <row r="1078" spans="1:3" x14ac:dyDescent="0.25">
      <c r="A1078" s="264">
        <f>HLOOKUP(Overview!$P$8,$B$1:$AI$1500,1078,FALSE)</f>
        <v>0</v>
      </c>
      <c r="C1078" s="183">
        <v>20028332</v>
      </c>
    </row>
    <row r="1079" spans="1:3" x14ac:dyDescent="0.25">
      <c r="A1079" s="264">
        <f>HLOOKUP(Overview!$P$8,$B$1:$AI$1500,1079,FALSE)</f>
        <v>0</v>
      </c>
      <c r="C1079" s="183">
        <v>20028333</v>
      </c>
    </row>
    <row r="1080" spans="1:3" x14ac:dyDescent="0.25">
      <c r="A1080" s="264">
        <f>HLOOKUP(Overview!$P$8,$B$1:$AI$1500,1080,FALSE)</f>
        <v>0</v>
      </c>
      <c r="C1080" s="183">
        <v>20026451</v>
      </c>
    </row>
    <row r="1081" spans="1:3" x14ac:dyDescent="0.25">
      <c r="A1081" s="264">
        <f>HLOOKUP(Overview!$P$8,$B$1:$AI$1500,1081,FALSE)</f>
        <v>0</v>
      </c>
      <c r="C1081" s="183">
        <v>20026453</v>
      </c>
    </row>
    <row r="1082" spans="1:3" x14ac:dyDescent="0.25">
      <c r="A1082" s="264">
        <f>HLOOKUP(Overview!$P$8,$B$1:$AI$1500,1082,FALSE)</f>
        <v>0</v>
      </c>
      <c r="C1082" s="183">
        <v>20000500</v>
      </c>
    </row>
    <row r="1083" spans="1:3" x14ac:dyDescent="0.25">
      <c r="A1083" s="264">
        <f>HLOOKUP(Overview!$P$8,$B$1:$AI$1500,1083,FALSE)</f>
        <v>0</v>
      </c>
      <c r="C1083" s="183">
        <v>20000505</v>
      </c>
    </row>
    <row r="1084" spans="1:3" x14ac:dyDescent="0.25">
      <c r="A1084" s="264">
        <f>HLOOKUP(Overview!$P$8,$B$1:$AI$1500,1084,FALSE)</f>
        <v>0</v>
      </c>
      <c r="C1084" s="183">
        <v>20000503</v>
      </c>
    </row>
    <row r="1085" spans="1:3" x14ac:dyDescent="0.25">
      <c r="A1085" s="264">
        <f>HLOOKUP(Overview!$P$8,$B$1:$AI$1500,1085,FALSE)</f>
        <v>0</v>
      </c>
      <c r="C1085" s="183">
        <v>20000522</v>
      </c>
    </row>
    <row r="1086" spans="1:3" x14ac:dyDescent="0.25">
      <c r="A1086" s="264">
        <f>HLOOKUP(Overview!$P$8,$B$1:$AI$1500,1086,FALSE)</f>
        <v>0</v>
      </c>
      <c r="C1086" s="183">
        <v>20000509</v>
      </c>
    </row>
    <row r="1087" spans="1:3" x14ac:dyDescent="0.25">
      <c r="A1087" s="264">
        <f>HLOOKUP(Overview!$P$8,$B$1:$AI$1500,1087,FALSE)</f>
        <v>0</v>
      </c>
      <c r="C1087" s="183">
        <v>20000516</v>
      </c>
    </row>
    <row r="1088" spans="1:3" x14ac:dyDescent="0.25">
      <c r="A1088" s="264">
        <f>HLOOKUP(Overview!$P$8,$B$1:$AI$1500,1088,FALSE)</f>
        <v>0</v>
      </c>
      <c r="C1088" s="183">
        <v>20000498</v>
      </c>
    </row>
    <row r="1089" spans="1:4" x14ac:dyDescent="0.25">
      <c r="A1089" s="264">
        <f>HLOOKUP(Overview!$P$8,$B$1:$AI$1500,1089,FALSE)</f>
        <v>0</v>
      </c>
      <c r="C1089" s="183">
        <v>20000499</v>
      </c>
    </row>
    <row r="1090" spans="1:4" x14ac:dyDescent="0.25">
      <c r="A1090" s="264">
        <f>HLOOKUP(Overview!$P$8,$B$1:$AI$1500,1090,FALSE)</f>
        <v>0</v>
      </c>
      <c r="C1090" s="183">
        <v>20000508</v>
      </c>
    </row>
    <row r="1091" spans="1:4" x14ac:dyDescent="0.25">
      <c r="A1091" s="264">
        <f>HLOOKUP(Overview!$P$8,$B$1:$AI$1500,1091,FALSE)</f>
        <v>0</v>
      </c>
      <c r="C1091" s="183">
        <v>20000515</v>
      </c>
    </row>
    <row r="1092" spans="1:4" x14ac:dyDescent="0.25">
      <c r="A1092" s="264">
        <f>HLOOKUP(Overview!$P$8,$B$1:$AI$1500,1092,FALSE)</f>
        <v>0</v>
      </c>
      <c r="C1092" s="183">
        <v>10001695</v>
      </c>
    </row>
    <row r="1093" spans="1:4" x14ac:dyDescent="0.25">
      <c r="A1093" s="264">
        <f>HLOOKUP(Overview!$P$8,$B$1:$AI$1500,1093,FALSE)</f>
        <v>0</v>
      </c>
      <c r="C1093" s="263">
        <v>20028331</v>
      </c>
      <c r="D1093" s="263"/>
    </row>
    <row r="1094" spans="1:4" x14ac:dyDescent="0.25">
      <c r="A1094" s="264">
        <f>HLOOKUP(Overview!$P$8,$B$1:$AI$1500,1094,FALSE)</f>
        <v>0</v>
      </c>
      <c r="C1094" s="183">
        <v>20028337</v>
      </c>
    </row>
    <row r="1095" spans="1:4" x14ac:dyDescent="0.25">
      <c r="A1095" s="264">
        <f>HLOOKUP(Overview!$P$8,$B$1:$AI$1500,1095,FALSE)</f>
        <v>0</v>
      </c>
      <c r="C1095" s="183">
        <v>10000701</v>
      </c>
    </row>
    <row r="1096" spans="1:4" x14ac:dyDescent="0.25">
      <c r="A1096" s="264">
        <f>HLOOKUP(Overview!$P$8,$B$1:$AI$1500,1096,FALSE)</f>
        <v>0</v>
      </c>
      <c r="C1096" s="183">
        <v>10000714</v>
      </c>
    </row>
    <row r="1097" spans="1:4" x14ac:dyDescent="0.25">
      <c r="A1097" s="264">
        <f>HLOOKUP(Overview!$P$8,$B$1:$AI$1500,1097,FALSE)</f>
        <v>0</v>
      </c>
      <c r="C1097" s="183">
        <v>10000703</v>
      </c>
    </row>
    <row r="1098" spans="1:4" x14ac:dyDescent="0.25">
      <c r="A1098" s="264">
        <f>HLOOKUP(Overview!$P$8,$B$1:$AI$1500,1098,FALSE)</f>
        <v>0</v>
      </c>
      <c r="C1098" s="183">
        <v>10010404</v>
      </c>
    </row>
    <row r="1099" spans="1:4" x14ac:dyDescent="0.25">
      <c r="A1099" s="264">
        <f>HLOOKUP(Overview!$P$8,$B$1:$AI$1500,1099,FALSE)</f>
        <v>0</v>
      </c>
      <c r="C1099" s="183">
        <v>10000319</v>
      </c>
    </row>
    <row r="1100" spans="1:4" x14ac:dyDescent="0.25">
      <c r="A1100" s="264">
        <f>HLOOKUP(Overview!$P$8,$B$1:$AI$1500,1100,FALSE)</f>
        <v>0</v>
      </c>
      <c r="C1100" s="183">
        <v>10000704</v>
      </c>
    </row>
    <row r="1101" spans="1:4" x14ac:dyDescent="0.25">
      <c r="A1101" s="264">
        <f>HLOOKUP(Overview!$P$8,$B$1:$AI$1500,1101,FALSE)</f>
        <v>0</v>
      </c>
      <c r="C1101" s="183">
        <v>10000299</v>
      </c>
    </row>
    <row r="1102" spans="1:4" x14ac:dyDescent="0.25">
      <c r="A1102" s="264">
        <f>HLOOKUP(Overview!$P$8,$B$1:$AI$1500,1102,FALSE)</f>
        <v>0</v>
      </c>
      <c r="C1102" s="263">
        <v>10000306</v>
      </c>
      <c r="D1102" s="263"/>
    </row>
    <row r="1103" spans="1:4" x14ac:dyDescent="0.25">
      <c r="A1103" s="264">
        <f>HLOOKUP(Overview!$P$8,$B$1:$AI$1500,1103,FALSE)</f>
        <v>0</v>
      </c>
      <c r="C1103" s="183">
        <v>10088185</v>
      </c>
    </row>
    <row r="1104" spans="1:4" x14ac:dyDescent="0.25">
      <c r="A1104" s="264">
        <f>HLOOKUP(Overview!$P$8,$B$1:$AI$1500,1104,FALSE)</f>
        <v>0</v>
      </c>
      <c r="C1104" s="183">
        <v>10000304</v>
      </c>
    </row>
    <row r="1105" spans="1:4" x14ac:dyDescent="0.25">
      <c r="A1105" s="264">
        <f>HLOOKUP(Overview!$P$8,$B$1:$AI$1500,1105,FALSE)</f>
        <v>0</v>
      </c>
      <c r="C1105" s="183">
        <v>20000468</v>
      </c>
    </row>
    <row r="1106" spans="1:4" x14ac:dyDescent="0.25">
      <c r="A1106" s="264">
        <f>HLOOKUP(Overview!$P$8,$B$1:$AI$1500,1106,FALSE)</f>
        <v>0</v>
      </c>
      <c r="C1106" s="183">
        <v>20000467</v>
      </c>
    </row>
    <row r="1107" spans="1:4" x14ac:dyDescent="0.25">
      <c r="A1107" s="264">
        <f>HLOOKUP(Overview!$P$8,$B$1:$AI$1500,1107,FALSE)</f>
        <v>0</v>
      </c>
      <c r="C1107" s="183">
        <v>10000705</v>
      </c>
    </row>
    <row r="1108" spans="1:4" x14ac:dyDescent="0.25">
      <c r="A1108" s="264">
        <f>HLOOKUP(Overview!$P$8,$B$1:$AI$1500,1108,FALSE)</f>
        <v>0</v>
      </c>
      <c r="C1108" s="183">
        <v>10000315</v>
      </c>
    </row>
    <row r="1109" spans="1:4" x14ac:dyDescent="0.25">
      <c r="A1109" s="264">
        <f>HLOOKUP(Overview!$P$8,$B$1:$AI$1500,1109,FALSE)</f>
        <v>0</v>
      </c>
      <c r="C1109" s="263">
        <v>10000708</v>
      </c>
      <c r="D1109" s="263"/>
    </row>
    <row r="1110" spans="1:4" x14ac:dyDescent="0.25">
      <c r="A1110" s="264">
        <f>HLOOKUP(Overview!$P$8,$B$1:$AI$1500,1110,FALSE)</f>
        <v>0</v>
      </c>
      <c r="C1110" s="183">
        <v>20000046</v>
      </c>
    </row>
    <row r="1111" spans="1:4" x14ac:dyDescent="0.25">
      <c r="A1111" s="264">
        <f>HLOOKUP(Overview!$P$8,$B$1:$AI$1500,1111,FALSE)</f>
        <v>0</v>
      </c>
      <c r="C1111" s="183">
        <v>10000715</v>
      </c>
    </row>
    <row r="1112" spans="1:4" x14ac:dyDescent="0.25">
      <c r="A1112" s="264">
        <f>HLOOKUP(Overview!$P$8,$B$1:$AI$1500,1112,FALSE)</f>
        <v>0</v>
      </c>
      <c r="C1112" s="183">
        <v>10000706</v>
      </c>
    </row>
    <row r="1113" spans="1:4" x14ac:dyDescent="0.25">
      <c r="A1113" s="264">
        <f>HLOOKUP(Overview!$P$8,$B$1:$AI$1500,1113,FALSE)</f>
        <v>0</v>
      </c>
      <c r="C1113" s="183">
        <v>20020466</v>
      </c>
    </row>
    <row r="1114" spans="1:4" x14ac:dyDescent="0.25">
      <c r="A1114" s="264">
        <f>HLOOKUP(Overview!$P$8,$B$1:$AI$1500,1114,FALSE)</f>
        <v>0</v>
      </c>
      <c r="C1114" s="183">
        <v>20020469</v>
      </c>
    </row>
    <row r="1115" spans="1:4" x14ac:dyDescent="0.25">
      <c r="A1115" s="264">
        <f>HLOOKUP(Overview!$P$8,$B$1:$AI$1500,1115,FALSE)</f>
        <v>0</v>
      </c>
      <c r="C1115" s="263">
        <v>20020669</v>
      </c>
      <c r="D1115" s="263"/>
    </row>
    <row r="1116" spans="1:4" x14ac:dyDescent="0.25">
      <c r="A1116" s="264">
        <f>HLOOKUP(Overview!$P$8,$B$1:$AI$1500,1116,FALSE)</f>
        <v>0</v>
      </c>
      <c r="C1116" s="183">
        <v>20020468</v>
      </c>
    </row>
    <row r="1117" spans="1:4" x14ac:dyDescent="0.25">
      <c r="A1117" s="264">
        <f>HLOOKUP(Overview!$P$8,$B$1:$AI$1500,1117,FALSE)</f>
        <v>0</v>
      </c>
      <c r="C1117" s="183">
        <v>20020668</v>
      </c>
    </row>
    <row r="1118" spans="1:4" x14ac:dyDescent="0.25">
      <c r="A1118" s="264">
        <f>HLOOKUP(Overview!$P$8,$B$1:$AI$1500,1118,FALSE)</f>
        <v>0</v>
      </c>
      <c r="C1118" s="183">
        <v>20020470</v>
      </c>
    </row>
    <row r="1119" spans="1:4" x14ac:dyDescent="0.25">
      <c r="A1119" s="264">
        <f>HLOOKUP(Overview!$P$8,$B$1:$AI$1500,1119,FALSE)</f>
        <v>0</v>
      </c>
      <c r="C1119" s="183">
        <v>20020467</v>
      </c>
    </row>
    <row r="1120" spans="1:4" x14ac:dyDescent="0.25">
      <c r="A1120" s="264">
        <f>HLOOKUP(Overview!$P$8,$B$1:$AI$1500,1120,FALSE)</f>
        <v>0</v>
      </c>
      <c r="C1120" s="183">
        <v>20026469</v>
      </c>
    </row>
    <row r="1121" spans="1:4" x14ac:dyDescent="0.25">
      <c r="A1121" s="264">
        <f>HLOOKUP(Overview!$P$8,$B$1:$AI$1500,1121,FALSE)</f>
        <v>0</v>
      </c>
      <c r="C1121" s="183">
        <v>20026470</v>
      </c>
    </row>
    <row r="1122" spans="1:4" x14ac:dyDescent="0.25">
      <c r="A1122" s="264">
        <f>HLOOKUP(Overview!$P$8,$B$1:$AI$1500,1122,FALSE)</f>
        <v>0</v>
      </c>
      <c r="C1122" s="183">
        <v>10078679</v>
      </c>
    </row>
    <row r="1123" spans="1:4" x14ac:dyDescent="0.25">
      <c r="A1123" s="264">
        <f>HLOOKUP(Overview!$P$8,$B$1:$AI$1500,1123,FALSE)</f>
        <v>0</v>
      </c>
      <c r="C1123" s="183">
        <v>10011921</v>
      </c>
    </row>
    <row r="1124" spans="1:4" x14ac:dyDescent="0.25">
      <c r="A1124" s="264">
        <f>HLOOKUP(Overview!$P$8,$B$1:$AI$1500,1124,FALSE)</f>
        <v>0</v>
      </c>
      <c r="C1124" s="183">
        <v>10011922</v>
      </c>
    </row>
    <row r="1125" spans="1:4" x14ac:dyDescent="0.25">
      <c r="A1125" s="264">
        <f>HLOOKUP(Overview!$P$8,$B$1:$AI$1500,1125,FALSE)</f>
        <v>0</v>
      </c>
      <c r="C1125" s="183">
        <v>10014793</v>
      </c>
    </row>
    <row r="1126" spans="1:4" x14ac:dyDescent="0.25">
      <c r="A1126" s="264">
        <f>HLOOKUP(Overview!$P$8,$B$1:$AI$1500,1126,FALSE)</f>
        <v>0</v>
      </c>
      <c r="C1126" s="183">
        <v>10002908</v>
      </c>
    </row>
    <row r="1127" spans="1:4" x14ac:dyDescent="0.25">
      <c r="A1127" s="264">
        <f>HLOOKUP(Overview!$P$8,$B$1:$AI$1500,1127,FALSE)</f>
        <v>0</v>
      </c>
      <c r="C1127" s="263">
        <v>10002905</v>
      </c>
      <c r="D1127" s="263"/>
    </row>
    <row r="1128" spans="1:4" x14ac:dyDescent="0.25">
      <c r="A1128" s="264">
        <f>HLOOKUP(Overview!$P$8,$B$1:$AI$1500,1128,FALSE)</f>
        <v>0</v>
      </c>
      <c r="C1128" s="183">
        <v>10002698</v>
      </c>
    </row>
    <row r="1129" spans="1:4" x14ac:dyDescent="0.25">
      <c r="A1129" s="264">
        <f>HLOOKUP(Overview!$P$8,$B$1:$AI$1500,1129,FALSE)</f>
        <v>0</v>
      </c>
      <c r="C1129" s="183">
        <v>10002752</v>
      </c>
    </row>
    <row r="1130" spans="1:4" x14ac:dyDescent="0.25">
      <c r="A1130" s="264">
        <f>HLOOKUP(Overview!$P$8,$B$1:$AI$1500,1130,FALSE)</f>
        <v>0</v>
      </c>
      <c r="C1130" s="183">
        <v>10002731</v>
      </c>
    </row>
    <row r="1131" spans="1:4" x14ac:dyDescent="0.25">
      <c r="A1131" s="264">
        <f>HLOOKUP(Overview!$P$8,$B$1:$AI$1500,1131,FALSE)</f>
        <v>0</v>
      </c>
      <c r="C1131" s="183">
        <v>10002760</v>
      </c>
    </row>
    <row r="1132" spans="1:4" x14ac:dyDescent="0.25">
      <c r="A1132" s="264">
        <f>HLOOKUP(Overview!$P$8,$B$1:$AI$1500,1132,FALSE)</f>
        <v>0</v>
      </c>
      <c r="C1132" s="183">
        <v>10088248</v>
      </c>
    </row>
    <row r="1133" spans="1:4" x14ac:dyDescent="0.25">
      <c r="A1133" s="264">
        <f>HLOOKUP(Overview!$P$8,$B$1:$AI$1500,1133,FALSE)</f>
        <v>0</v>
      </c>
      <c r="C1133" s="183">
        <v>10064436</v>
      </c>
    </row>
    <row r="1134" spans="1:4" x14ac:dyDescent="0.25">
      <c r="A1134" s="264">
        <f>HLOOKUP(Overview!$P$8,$B$1:$AI$1500,1134,FALSE)</f>
        <v>0</v>
      </c>
      <c r="C1134" s="263">
        <v>10002906</v>
      </c>
      <c r="D1134" s="263"/>
    </row>
    <row r="1135" spans="1:4" x14ac:dyDescent="0.25">
      <c r="A1135" s="264">
        <f>HLOOKUP(Overview!$P$8,$B$1:$AI$1500,1135,FALSE)</f>
        <v>0</v>
      </c>
      <c r="C1135" s="263">
        <v>10119612</v>
      </c>
      <c r="D1135" s="263"/>
    </row>
    <row r="1136" spans="1:4" x14ac:dyDescent="0.25">
      <c r="A1136" s="264">
        <f>HLOOKUP(Overview!$P$8,$B$1:$AI$1500,1136,FALSE)</f>
        <v>0</v>
      </c>
      <c r="C1136" s="263">
        <v>10028682</v>
      </c>
      <c r="D1136" s="263"/>
    </row>
    <row r="1137" spans="1:4" x14ac:dyDescent="0.25">
      <c r="A1137" s="264">
        <f>HLOOKUP(Overview!$P$8,$B$1:$AI$1500,1137,FALSE)</f>
        <v>0</v>
      </c>
      <c r="C1137" s="183">
        <v>10064435</v>
      </c>
    </row>
    <row r="1138" spans="1:4" x14ac:dyDescent="0.25">
      <c r="A1138" s="264">
        <f>HLOOKUP(Overview!$P$8,$B$1:$AI$1500,1138,FALSE)</f>
        <v>0</v>
      </c>
      <c r="C1138" s="263">
        <v>10031908</v>
      </c>
      <c r="D1138" s="263"/>
    </row>
    <row r="1139" spans="1:4" x14ac:dyDescent="0.25">
      <c r="A1139" s="264">
        <f>HLOOKUP(Overview!$P$8,$B$1:$AI$1500,1139,FALSE)</f>
        <v>0</v>
      </c>
      <c r="C1139" s="183">
        <v>10002907</v>
      </c>
    </row>
    <row r="1140" spans="1:4" x14ac:dyDescent="0.25">
      <c r="A1140" s="264">
        <f>HLOOKUP(Overview!$P$8,$B$1:$AI$1500,1140,FALSE)</f>
        <v>0</v>
      </c>
      <c r="C1140" s="183">
        <v>10109405</v>
      </c>
    </row>
    <row r="1141" spans="1:4" x14ac:dyDescent="0.25">
      <c r="A1141" s="264">
        <f>HLOOKUP(Overview!$P$8,$B$1:$AI$1500,1141,FALSE)</f>
        <v>0</v>
      </c>
      <c r="C1141" s="183">
        <v>10002904</v>
      </c>
    </row>
    <row r="1142" spans="1:4" x14ac:dyDescent="0.25">
      <c r="A1142" s="264">
        <f>HLOOKUP(Overview!$P$8,$B$1:$AI$1500,1142,FALSE)</f>
        <v>0</v>
      </c>
      <c r="C1142" s="263">
        <v>10064437</v>
      </c>
      <c r="D1142" s="263"/>
    </row>
    <row r="1143" spans="1:4" x14ac:dyDescent="0.25">
      <c r="A1143" s="264">
        <f>HLOOKUP(Overview!$P$8,$B$1:$AI$1500,1143,FALSE)</f>
        <v>0</v>
      </c>
      <c r="C1143" s="183">
        <v>10121083</v>
      </c>
    </row>
    <row r="1144" spans="1:4" x14ac:dyDescent="0.25">
      <c r="A1144" s="264">
        <f>HLOOKUP(Overview!$P$8,$B$1:$AI$1500,1144,FALSE)</f>
        <v>0</v>
      </c>
      <c r="C1144" s="263">
        <v>10121082</v>
      </c>
      <c r="D1144" s="263"/>
    </row>
    <row r="1145" spans="1:4" x14ac:dyDescent="0.25">
      <c r="A1145" s="264">
        <f>HLOOKUP(Overview!$P$8,$B$1:$AI$1500,1145,FALSE)</f>
        <v>0</v>
      </c>
      <c r="C1145" s="183">
        <v>10121081</v>
      </c>
    </row>
    <row r="1146" spans="1:4" x14ac:dyDescent="0.25">
      <c r="A1146" s="264">
        <f>HLOOKUP(Overview!$P$8,$B$1:$AI$1500,1146,FALSE)</f>
        <v>0</v>
      </c>
      <c r="C1146" s="183">
        <v>10128315</v>
      </c>
    </row>
    <row r="1147" spans="1:4" x14ac:dyDescent="0.25">
      <c r="A1147" s="264">
        <f>HLOOKUP(Overview!$P$8,$B$1:$AI$1500,1147,FALSE)</f>
        <v>0</v>
      </c>
      <c r="C1147" s="183">
        <v>10085412</v>
      </c>
    </row>
    <row r="1148" spans="1:4" x14ac:dyDescent="0.25">
      <c r="A1148" s="264">
        <f>HLOOKUP(Overview!$P$8,$B$1:$AI$1500,1148,FALSE)</f>
        <v>0</v>
      </c>
      <c r="C1148" s="183">
        <v>10130141</v>
      </c>
    </row>
    <row r="1149" spans="1:4" x14ac:dyDescent="0.25">
      <c r="A1149" s="264">
        <f>HLOOKUP(Overview!$P$8,$B$1:$AI$1500,1149,FALSE)</f>
        <v>0</v>
      </c>
      <c r="C1149" s="183">
        <v>10085415</v>
      </c>
    </row>
    <row r="1150" spans="1:4" x14ac:dyDescent="0.25">
      <c r="A1150" s="264">
        <f>HLOOKUP(Overview!$P$8,$B$1:$AI$1500,1150,FALSE)</f>
        <v>0</v>
      </c>
      <c r="C1150" s="183">
        <v>10130139</v>
      </c>
    </row>
    <row r="1151" spans="1:4" x14ac:dyDescent="0.25">
      <c r="A1151" s="264">
        <f>HLOOKUP(Overview!$P$8,$B$1:$AI$1500,1151,FALSE)</f>
        <v>0</v>
      </c>
      <c r="C1151" s="183">
        <v>10085703</v>
      </c>
    </row>
    <row r="1152" spans="1:4" x14ac:dyDescent="0.25">
      <c r="A1152" s="264">
        <f>HLOOKUP(Overview!$P$8,$B$1:$AI$1500,1152,FALSE)</f>
        <v>0</v>
      </c>
      <c r="C1152" s="183">
        <v>10126464</v>
      </c>
    </row>
    <row r="1153" spans="1:3" x14ac:dyDescent="0.25">
      <c r="A1153" s="264">
        <f>HLOOKUP(Overview!$P$8,$B$1:$AI$1500,1153,FALSE)</f>
        <v>0</v>
      </c>
      <c r="C1153" s="183">
        <v>10128316</v>
      </c>
    </row>
    <row r="1154" spans="1:3" x14ac:dyDescent="0.25">
      <c r="A1154" s="264">
        <f>HLOOKUP(Overview!$P$8,$B$1:$AI$1500,1154,FALSE)</f>
        <v>0</v>
      </c>
      <c r="C1154" s="183">
        <v>10085417</v>
      </c>
    </row>
    <row r="1155" spans="1:3" x14ac:dyDescent="0.25">
      <c r="A1155" s="264">
        <f>HLOOKUP(Overview!$P$8,$B$1:$AI$1500,1155,FALSE)</f>
        <v>0</v>
      </c>
      <c r="C1155" s="183">
        <v>10128313</v>
      </c>
    </row>
    <row r="1156" spans="1:3" x14ac:dyDescent="0.25">
      <c r="A1156" s="264">
        <f>HLOOKUP(Overview!$P$8,$B$1:$AI$1500,1156,FALSE)</f>
        <v>0</v>
      </c>
      <c r="C1156" s="183">
        <v>10085419</v>
      </c>
    </row>
    <row r="1157" spans="1:3" x14ac:dyDescent="0.25">
      <c r="A1157" s="264">
        <f>HLOOKUP(Overview!$P$8,$B$1:$AI$1500,1157,FALSE)</f>
        <v>0</v>
      </c>
      <c r="C1157" s="183">
        <v>10130138</v>
      </c>
    </row>
    <row r="1158" spans="1:3" x14ac:dyDescent="0.25">
      <c r="A1158" s="264">
        <f>HLOOKUP(Overview!$P$8,$B$1:$AI$1500,1158,FALSE)</f>
        <v>0</v>
      </c>
      <c r="C1158" s="183">
        <v>10085413</v>
      </c>
    </row>
    <row r="1159" spans="1:3" x14ac:dyDescent="0.25">
      <c r="A1159" s="264">
        <f>HLOOKUP(Overview!$P$8,$B$1:$AI$1500,1159,FALSE)</f>
        <v>0</v>
      </c>
      <c r="C1159" s="183">
        <v>10085416</v>
      </c>
    </row>
    <row r="1160" spans="1:3" x14ac:dyDescent="0.25">
      <c r="A1160" s="264">
        <f>HLOOKUP(Overview!$P$8,$B$1:$AI$1500,1160,FALSE)</f>
        <v>0</v>
      </c>
      <c r="C1160" s="183">
        <v>10130140</v>
      </c>
    </row>
    <row r="1161" spans="1:3" x14ac:dyDescent="0.25">
      <c r="A1161" s="264">
        <f>HLOOKUP(Overview!$P$8,$B$1:$AI$1500,1161,FALSE)</f>
        <v>0</v>
      </c>
      <c r="C1161" s="183">
        <v>10086588</v>
      </c>
    </row>
    <row r="1162" spans="1:3" x14ac:dyDescent="0.25">
      <c r="A1162" s="264">
        <f>HLOOKUP(Overview!$P$8,$B$1:$AI$1500,1162,FALSE)</f>
        <v>0</v>
      </c>
      <c r="C1162" s="183">
        <v>10130158</v>
      </c>
    </row>
    <row r="1163" spans="1:3" x14ac:dyDescent="0.25">
      <c r="A1163" s="264">
        <f>HLOOKUP(Overview!$P$8,$B$1:$AI$1500,1163,FALSE)</f>
        <v>0</v>
      </c>
      <c r="C1163" s="183">
        <v>10085420</v>
      </c>
    </row>
    <row r="1164" spans="1:3" x14ac:dyDescent="0.25">
      <c r="A1164" s="264">
        <f>HLOOKUP(Overview!$P$8,$B$1:$AI$1500,1164,FALSE)</f>
        <v>0</v>
      </c>
      <c r="C1164" s="183">
        <v>10085422</v>
      </c>
    </row>
    <row r="1165" spans="1:3" x14ac:dyDescent="0.25">
      <c r="A1165" s="264">
        <f>HLOOKUP(Overview!$P$8,$B$1:$AI$1500,1165,FALSE)</f>
        <v>0</v>
      </c>
      <c r="C1165" s="183">
        <v>10130143</v>
      </c>
    </row>
    <row r="1166" spans="1:3" x14ac:dyDescent="0.25">
      <c r="A1166" s="264">
        <f>HLOOKUP(Overview!$P$8,$B$1:$AI$1500,1166,FALSE)</f>
        <v>0</v>
      </c>
      <c r="C1166" s="183">
        <v>10085414</v>
      </c>
    </row>
    <row r="1167" spans="1:3" x14ac:dyDescent="0.25">
      <c r="A1167" s="264">
        <f>HLOOKUP(Overview!$P$8,$B$1:$AI$1500,1167,FALSE)</f>
        <v>0</v>
      </c>
      <c r="C1167" s="183">
        <v>10130144</v>
      </c>
    </row>
    <row r="1168" spans="1:3" x14ac:dyDescent="0.25">
      <c r="A1168" s="264">
        <f>HLOOKUP(Overview!$P$8,$B$1:$AI$1500,1168,FALSE)</f>
        <v>0</v>
      </c>
      <c r="C1168" s="183">
        <v>10085424</v>
      </c>
    </row>
    <row r="1169" spans="1:4" x14ac:dyDescent="0.25">
      <c r="A1169" s="264">
        <f>HLOOKUP(Overview!$P$8,$B$1:$AI$1500,1169,FALSE)</f>
        <v>0</v>
      </c>
      <c r="C1169" s="183">
        <v>10130142</v>
      </c>
    </row>
    <row r="1170" spans="1:4" x14ac:dyDescent="0.25">
      <c r="A1170" s="264">
        <f>HLOOKUP(Overview!$P$8,$B$1:$AI$1500,1170,FALSE)</f>
        <v>0</v>
      </c>
      <c r="C1170" s="183">
        <v>10085423</v>
      </c>
    </row>
    <row r="1171" spans="1:4" x14ac:dyDescent="0.25">
      <c r="A1171" s="264">
        <f>HLOOKUP(Overview!$P$8,$B$1:$AI$1500,1171,FALSE)</f>
        <v>0</v>
      </c>
      <c r="C1171" s="183">
        <v>10130137</v>
      </c>
    </row>
    <row r="1172" spans="1:4" x14ac:dyDescent="0.25">
      <c r="A1172" s="264">
        <f>HLOOKUP(Overview!$P$8,$B$1:$AI$1500,1172,FALSE)</f>
        <v>0</v>
      </c>
      <c r="C1172" s="183">
        <v>10085421</v>
      </c>
    </row>
    <row r="1173" spans="1:4" x14ac:dyDescent="0.25">
      <c r="A1173" s="264">
        <f>HLOOKUP(Overview!$P$8,$B$1:$AI$1500,1173,FALSE)</f>
        <v>0</v>
      </c>
      <c r="C1173" s="183">
        <v>20030589</v>
      </c>
    </row>
    <row r="1174" spans="1:4" x14ac:dyDescent="0.25">
      <c r="A1174" s="264">
        <f>HLOOKUP(Overview!$P$8,$B$1:$AI$1500,1174,FALSE)</f>
        <v>0</v>
      </c>
      <c r="C1174" s="183">
        <v>20028336</v>
      </c>
    </row>
    <row r="1175" spans="1:4" x14ac:dyDescent="0.25">
      <c r="A1175" s="264">
        <f>HLOOKUP(Overview!$P$8,$B$1:$AI$1500,1175,FALSE)</f>
        <v>0</v>
      </c>
      <c r="C1175" s="183">
        <v>20001316</v>
      </c>
    </row>
    <row r="1176" spans="1:4" x14ac:dyDescent="0.25">
      <c r="A1176" s="264">
        <f>HLOOKUP(Overview!$P$8,$B$1:$AI$1500,1176,FALSE)</f>
        <v>0</v>
      </c>
      <c r="C1176" s="183">
        <v>20001317</v>
      </c>
    </row>
    <row r="1177" spans="1:4" x14ac:dyDescent="0.25">
      <c r="A1177" s="264">
        <f>HLOOKUP(Overview!$P$8,$B$1:$AI$1500,1177,FALSE)</f>
        <v>0</v>
      </c>
      <c r="C1177" s="183">
        <v>20001318</v>
      </c>
    </row>
    <row r="1178" spans="1:4" x14ac:dyDescent="0.25">
      <c r="A1178" s="264">
        <f>HLOOKUP(Overview!$P$8,$B$1:$AI$1500,1178,FALSE)</f>
        <v>0</v>
      </c>
      <c r="C1178" s="263">
        <v>20009279</v>
      </c>
      <c r="D1178" s="263"/>
    </row>
    <row r="1179" spans="1:4" x14ac:dyDescent="0.25">
      <c r="A1179" s="264">
        <f>HLOOKUP(Overview!$P$8,$B$1:$AI$1500,1179,FALSE)</f>
        <v>0</v>
      </c>
      <c r="C1179" s="216">
        <v>20009281</v>
      </c>
      <c r="D1179" s="216"/>
    </row>
    <row r="1180" spans="1:4" x14ac:dyDescent="0.25">
      <c r="A1180" s="264">
        <f>HLOOKUP(Overview!$P$8,$B$1:$AI$1500,1180,FALSE)</f>
        <v>0</v>
      </c>
      <c r="C1180" s="263">
        <v>20009280</v>
      </c>
      <c r="D1180" s="263"/>
    </row>
    <row r="1181" spans="1:4" x14ac:dyDescent="0.25">
      <c r="A1181" s="264">
        <f>HLOOKUP(Overview!$P$8,$B$1:$AI$1500,1181,FALSE)</f>
        <v>0</v>
      </c>
      <c r="C1181" s="183">
        <v>10030587</v>
      </c>
    </row>
    <row r="1182" spans="1:4" x14ac:dyDescent="0.25">
      <c r="A1182" s="264">
        <f>HLOOKUP(Overview!$P$8,$B$1:$AI$1500,1182,FALSE)</f>
        <v>0</v>
      </c>
      <c r="C1182" s="183">
        <v>20023309</v>
      </c>
    </row>
    <row r="1183" spans="1:4" x14ac:dyDescent="0.25">
      <c r="A1183" s="264">
        <f>HLOOKUP(Overview!$P$8,$B$1:$AI$1500,1183,FALSE)</f>
        <v>0</v>
      </c>
      <c r="C1183" s="183">
        <v>20023321</v>
      </c>
    </row>
    <row r="1184" spans="1:4" x14ac:dyDescent="0.25">
      <c r="A1184" s="264">
        <f>HLOOKUP(Overview!$P$8,$B$1:$AI$1500,1184,FALSE)</f>
        <v>0</v>
      </c>
      <c r="C1184" s="183">
        <v>20028238</v>
      </c>
    </row>
    <row r="1185" spans="1:4" x14ac:dyDescent="0.25">
      <c r="A1185" s="264">
        <f>HLOOKUP(Overview!$P$8,$B$1:$AI$1500,1185,FALSE)</f>
        <v>0</v>
      </c>
      <c r="C1185" s="183">
        <v>20025475</v>
      </c>
    </row>
    <row r="1186" spans="1:4" x14ac:dyDescent="0.25">
      <c r="A1186" s="264">
        <f>HLOOKUP(Overview!$P$8,$B$1:$AI$1500,1186,FALSE)</f>
        <v>0</v>
      </c>
      <c r="C1186" s="183">
        <v>20023308</v>
      </c>
    </row>
    <row r="1187" spans="1:4" x14ac:dyDescent="0.25">
      <c r="A1187" s="264">
        <f>HLOOKUP(Overview!$P$8,$B$1:$AI$1500,1187,FALSE)</f>
        <v>0</v>
      </c>
      <c r="C1187" s="183">
        <v>20023318</v>
      </c>
    </row>
    <row r="1188" spans="1:4" x14ac:dyDescent="0.25">
      <c r="A1188" s="264">
        <f>HLOOKUP(Overview!$P$8,$B$1:$AI$1500,1188,FALSE)</f>
        <v>0</v>
      </c>
      <c r="C1188" s="183">
        <v>20023317</v>
      </c>
    </row>
    <row r="1189" spans="1:4" x14ac:dyDescent="0.25">
      <c r="A1189" s="264">
        <f>HLOOKUP(Overview!$P$8,$B$1:$AI$1500,1189,FALSE)</f>
        <v>0</v>
      </c>
      <c r="C1189" s="183">
        <v>20023307</v>
      </c>
    </row>
    <row r="1190" spans="1:4" x14ac:dyDescent="0.25">
      <c r="A1190" s="264">
        <f>HLOOKUP(Overview!$P$8,$B$1:$AI$1500,1190,FALSE)</f>
        <v>0</v>
      </c>
      <c r="C1190" s="183">
        <v>20023319</v>
      </c>
    </row>
    <row r="1191" spans="1:4" x14ac:dyDescent="0.25">
      <c r="A1191" s="264">
        <f>HLOOKUP(Overview!$P$8,$B$1:$AI$1500,1191,FALSE)</f>
        <v>0</v>
      </c>
      <c r="C1191" s="263">
        <v>20023320</v>
      </c>
      <c r="D1191" s="263"/>
    </row>
    <row r="1192" spans="1:4" x14ac:dyDescent="0.25">
      <c r="A1192" s="264">
        <f>HLOOKUP(Overview!$P$8,$B$1:$AI$1500,1192,FALSE)</f>
        <v>0</v>
      </c>
      <c r="C1192" s="183">
        <v>20028089</v>
      </c>
    </row>
    <row r="1193" spans="1:4" x14ac:dyDescent="0.25">
      <c r="A1193" s="264">
        <f>HLOOKUP(Overview!$P$8,$B$1:$AI$1500,1193,FALSE)</f>
        <v>0</v>
      </c>
      <c r="C1193" s="183">
        <v>20028087</v>
      </c>
    </row>
    <row r="1194" spans="1:4" x14ac:dyDescent="0.25">
      <c r="A1194" s="264">
        <f>HLOOKUP(Overview!$P$8,$B$1:$AI$1500,1194,FALSE)</f>
        <v>0</v>
      </c>
      <c r="C1194" s="183">
        <v>20028088</v>
      </c>
    </row>
    <row r="1195" spans="1:4" x14ac:dyDescent="0.25">
      <c r="A1195" s="264">
        <f>HLOOKUP(Overview!$P$8,$B$1:$AI$1500,1195,FALSE)</f>
        <v>0</v>
      </c>
      <c r="C1195" s="183">
        <v>20028090</v>
      </c>
    </row>
    <row r="1196" spans="1:4" x14ac:dyDescent="0.25">
      <c r="A1196" s="264">
        <f>HLOOKUP(Overview!$P$8,$B$1:$AI$1500,1196,FALSE)</f>
        <v>0</v>
      </c>
      <c r="C1196" s="183">
        <v>10002577</v>
      </c>
    </row>
    <row r="1197" spans="1:4" x14ac:dyDescent="0.25">
      <c r="A1197" s="264">
        <f>HLOOKUP(Overview!$P$8,$B$1:$AI$1500,1197,FALSE)</f>
        <v>0</v>
      </c>
      <c r="C1197" s="183">
        <v>10002695</v>
      </c>
    </row>
    <row r="1198" spans="1:4" x14ac:dyDescent="0.25">
      <c r="A1198" s="264">
        <f>HLOOKUP(Overview!$P$8,$B$1:$AI$1500,1198,FALSE)</f>
        <v>0</v>
      </c>
      <c r="C1198" s="263">
        <v>10002588</v>
      </c>
      <c r="D1198" s="263"/>
    </row>
    <row r="1199" spans="1:4" x14ac:dyDescent="0.25">
      <c r="A1199" s="264">
        <f>HLOOKUP(Overview!$P$8,$B$1:$AI$1500,1199,FALSE)</f>
        <v>0</v>
      </c>
    </row>
    <row r="1200" spans="1:4" x14ac:dyDescent="0.25">
      <c r="A1200" s="264">
        <f>HLOOKUP(Overview!$P$8,$B$1:$AI$1500,1200,FALSE)</f>
        <v>0</v>
      </c>
    </row>
    <row r="1201" spans="1:1" x14ac:dyDescent="0.25">
      <c r="A1201" s="264">
        <f>HLOOKUP(Overview!$P$8,$B$1:$AI$1500,1201,FALSE)</f>
        <v>0</v>
      </c>
    </row>
    <row r="1202" spans="1:1" x14ac:dyDescent="0.25">
      <c r="A1202" s="264">
        <f>HLOOKUP(Overview!$P$8,$B$1:$AI$1500,1202,FALSE)</f>
        <v>0</v>
      </c>
    </row>
    <row r="1203" spans="1:1" x14ac:dyDescent="0.25">
      <c r="A1203" s="264">
        <f>HLOOKUP(Overview!$P$8,$B$1:$AI$1500,1203,FALSE)</f>
        <v>0</v>
      </c>
    </row>
    <row r="1204" spans="1:1" x14ac:dyDescent="0.25">
      <c r="A1204" s="264">
        <f>HLOOKUP(Overview!$P$8,$B$1:$AI$1500,1204,FALSE)</f>
        <v>0</v>
      </c>
    </row>
    <row r="1205" spans="1:1" x14ac:dyDescent="0.25">
      <c r="A1205" s="264">
        <f>HLOOKUP(Overview!$P$8,$B$1:$AI$1500,1205,FALSE)</f>
        <v>0</v>
      </c>
    </row>
    <row r="1206" spans="1:1" x14ac:dyDescent="0.25">
      <c r="A1206" s="264">
        <f>HLOOKUP(Overview!$P$8,$B$1:$AI$1500,1206,FALSE)</f>
        <v>0</v>
      </c>
    </row>
    <row r="1207" spans="1:1" x14ac:dyDescent="0.25">
      <c r="A1207" s="264">
        <f>HLOOKUP(Overview!$P$8,$B$1:$AI$1500,1207,FALSE)</f>
        <v>0</v>
      </c>
    </row>
    <row r="1208" spans="1:1" x14ac:dyDescent="0.25">
      <c r="A1208" s="264">
        <f>HLOOKUP(Overview!$P$8,$B$1:$AI$1500,1208,FALSE)</f>
        <v>0</v>
      </c>
    </row>
    <row r="1209" spans="1:1" x14ac:dyDescent="0.25">
      <c r="A1209" s="264">
        <f>HLOOKUP(Overview!$P$8,$B$1:$AI$1500,1209,FALSE)</f>
        <v>0</v>
      </c>
    </row>
    <row r="1210" spans="1:1" x14ac:dyDescent="0.25">
      <c r="A1210" s="264">
        <f>HLOOKUP(Overview!$P$8,$B$1:$AI$1500,1210,FALSE)</f>
        <v>0</v>
      </c>
    </row>
    <row r="1211" spans="1:1" x14ac:dyDescent="0.25">
      <c r="A1211" s="264">
        <f>HLOOKUP(Overview!$P$8,$B$1:$AI$1500,1211,FALSE)</f>
        <v>0</v>
      </c>
    </row>
    <row r="1212" spans="1:1" x14ac:dyDescent="0.25">
      <c r="A1212" s="264">
        <f>HLOOKUP(Overview!$P$8,$B$1:$AI$1500,1212,FALSE)</f>
        <v>0</v>
      </c>
    </row>
    <row r="1213" spans="1:1" x14ac:dyDescent="0.25">
      <c r="A1213" s="264">
        <f>HLOOKUP(Overview!$P$8,$B$1:$AI$1500,1213,FALSE)</f>
        <v>0</v>
      </c>
    </row>
    <row r="1214" spans="1:1" x14ac:dyDescent="0.25">
      <c r="A1214" s="264">
        <f>HLOOKUP(Overview!$P$8,$B$1:$AI$1500,1214,FALSE)</f>
        <v>0</v>
      </c>
    </row>
    <row r="1215" spans="1:1" x14ac:dyDescent="0.25">
      <c r="A1215" s="264">
        <f>HLOOKUP(Overview!$P$8,$B$1:$AI$1500,1215,FALSE)</f>
        <v>0</v>
      </c>
    </row>
    <row r="1216" spans="1:1" x14ac:dyDescent="0.25">
      <c r="A1216" s="264">
        <f>HLOOKUP(Overview!$P$8,$B$1:$AI$1500,1216,FALSE)</f>
        <v>0</v>
      </c>
    </row>
    <row r="1217" spans="1:4" x14ac:dyDescent="0.25">
      <c r="A1217" s="264">
        <f>HLOOKUP(Overview!$P$8,$B$1:$AI$1500,1217,FALSE)</f>
        <v>0</v>
      </c>
    </row>
    <row r="1218" spans="1:4" x14ac:dyDescent="0.25">
      <c r="A1218" s="264">
        <f>HLOOKUP(Overview!$P$8,$B$1:$AI$1500,1218,FALSE)</f>
        <v>0</v>
      </c>
    </row>
    <row r="1219" spans="1:4" x14ac:dyDescent="0.25">
      <c r="A1219" s="264">
        <f>HLOOKUP(Overview!$P$8,$B$1:$AI$1500,1219,FALSE)</f>
        <v>0</v>
      </c>
    </row>
    <row r="1220" spans="1:4" x14ac:dyDescent="0.25">
      <c r="A1220" s="264">
        <f>HLOOKUP(Overview!$P$8,$B$1:$AI$1500,1220,FALSE)</f>
        <v>0</v>
      </c>
    </row>
    <row r="1221" spans="1:4" x14ac:dyDescent="0.25">
      <c r="A1221" s="264">
        <f>HLOOKUP(Overview!$P$8,$B$1:$AI$1500,1221,FALSE)</f>
        <v>0</v>
      </c>
    </row>
    <row r="1222" spans="1:4" x14ac:dyDescent="0.25">
      <c r="A1222" s="264">
        <f>HLOOKUP(Overview!$P$8,$B$1:$AI$1500,1222,FALSE)</f>
        <v>0</v>
      </c>
    </row>
    <row r="1223" spans="1:4" x14ac:dyDescent="0.25">
      <c r="A1223" s="264">
        <f>HLOOKUP(Overview!$P$8,$B$1:$AI$1500,1223,FALSE)</f>
        <v>0</v>
      </c>
    </row>
    <row r="1224" spans="1:4" x14ac:dyDescent="0.25">
      <c r="A1224" s="264">
        <f>HLOOKUP(Overview!$P$8,$B$1:$AI$1500,1224,FALSE)</f>
        <v>0</v>
      </c>
      <c r="C1224" s="263"/>
      <c r="D1224" s="263"/>
    </row>
    <row r="1225" spans="1:4" x14ac:dyDescent="0.25">
      <c r="A1225" s="264">
        <f>HLOOKUP(Overview!$P$8,$B$1:$AI$1500,1225,FALSE)</f>
        <v>0</v>
      </c>
    </row>
    <row r="1226" spans="1:4" x14ac:dyDescent="0.25">
      <c r="A1226" s="264">
        <f>HLOOKUP(Overview!$P$8,$B$1:$AI$1500,1226,FALSE)</f>
        <v>0</v>
      </c>
    </row>
    <row r="1227" spans="1:4" x14ac:dyDescent="0.25">
      <c r="A1227" s="264">
        <f>HLOOKUP(Overview!$P$8,$B$1:$AI$1500,1227,FALSE)</f>
        <v>0</v>
      </c>
      <c r="C1227" s="263"/>
      <c r="D1227" s="263"/>
    </row>
    <row r="1228" spans="1:4" x14ac:dyDescent="0.25">
      <c r="A1228" s="264">
        <f>HLOOKUP(Overview!$P$8,$B$1:$AI$1500,1228,FALSE)</f>
        <v>0</v>
      </c>
    </row>
    <row r="1229" spans="1:4" x14ac:dyDescent="0.25">
      <c r="A1229" s="264">
        <f>HLOOKUP(Overview!$P$8,$B$1:$AI$1500,1229,FALSE)</f>
        <v>0</v>
      </c>
    </row>
    <row r="1230" spans="1:4" x14ac:dyDescent="0.25">
      <c r="A1230" s="264">
        <f>HLOOKUP(Overview!$P$8,$B$1:$AI$1500,1230,FALSE)</f>
        <v>0</v>
      </c>
      <c r="C1230" s="216"/>
      <c r="D1230" s="216"/>
    </row>
    <row r="1231" spans="1:4" x14ac:dyDescent="0.25">
      <c r="A1231" s="264">
        <f>HLOOKUP(Overview!$P$8,$B$1:$AI$1500,1231,FALSE)</f>
        <v>0</v>
      </c>
      <c r="C1231" s="263"/>
      <c r="D1231" s="263"/>
    </row>
    <row r="1232" spans="1:4" x14ac:dyDescent="0.25">
      <c r="A1232" s="264">
        <f>HLOOKUP(Overview!$P$8,$B$1:$AI$1500,1232,FALSE)</f>
        <v>0</v>
      </c>
    </row>
    <row r="1233" spans="1:4" x14ac:dyDescent="0.25">
      <c r="A1233" s="264">
        <f>HLOOKUP(Overview!$P$8,$B$1:$AI$1500,1233,FALSE)</f>
        <v>0</v>
      </c>
    </row>
    <row r="1234" spans="1:4" x14ac:dyDescent="0.25">
      <c r="A1234" s="264">
        <f>HLOOKUP(Overview!$P$8,$B$1:$AI$1500,1234,FALSE)</f>
        <v>0</v>
      </c>
    </row>
    <row r="1235" spans="1:4" x14ac:dyDescent="0.25">
      <c r="A1235" s="264">
        <f>HLOOKUP(Overview!$P$8,$B$1:$AI$1500,1235,FALSE)</f>
        <v>0</v>
      </c>
    </row>
    <row r="1236" spans="1:4" x14ac:dyDescent="0.25">
      <c r="A1236" s="264">
        <f>HLOOKUP(Overview!$P$8,$B$1:$AI$1500,1236,FALSE)</f>
        <v>0</v>
      </c>
    </row>
    <row r="1237" spans="1:4" x14ac:dyDescent="0.25">
      <c r="A1237" s="264">
        <f>HLOOKUP(Overview!$P$8,$B$1:$AI$1500,1237,FALSE)</f>
        <v>0</v>
      </c>
    </row>
    <row r="1238" spans="1:4" x14ac:dyDescent="0.25">
      <c r="A1238" s="264">
        <f>HLOOKUP(Overview!$P$8,$B$1:$AI$1500,1238,FALSE)</f>
        <v>0</v>
      </c>
    </row>
    <row r="1239" spans="1:4" x14ac:dyDescent="0.25">
      <c r="A1239" s="264">
        <f>HLOOKUP(Overview!$P$8,$B$1:$AI$1500,1239,FALSE)</f>
        <v>0</v>
      </c>
      <c r="C1239" s="216"/>
      <c r="D1239" s="216"/>
    </row>
    <row r="1240" spans="1:4" x14ac:dyDescent="0.25">
      <c r="A1240" s="264">
        <f>HLOOKUP(Overview!$P$8,$B$1:$AI$1500,1240,FALSE)</f>
        <v>0</v>
      </c>
      <c r="C1240" s="216"/>
      <c r="D1240" s="216"/>
    </row>
    <row r="1241" spans="1:4" x14ac:dyDescent="0.25">
      <c r="A1241" s="264">
        <f>HLOOKUP(Overview!$P$8,$B$1:$AI$1500,1241,FALSE)</f>
        <v>0</v>
      </c>
      <c r="C1241" s="216"/>
      <c r="D1241" s="216"/>
    </row>
    <row r="1242" spans="1:4" x14ac:dyDescent="0.25">
      <c r="A1242" s="264">
        <f>HLOOKUP(Overview!$P$8,$B$1:$AI$1500,1242,FALSE)</f>
        <v>0</v>
      </c>
    </row>
    <row r="1243" spans="1:4" x14ac:dyDescent="0.25">
      <c r="A1243" s="264">
        <f>HLOOKUP(Overview!$P$8,$B$1:$AI$1500,1243,FALSE)</f>
        <v>0</v>
      </c>
    </row>
    <row r="1244" spans="1:4" x14ac:dyDescent="0.25">
      <c r="A1244" s="264">
        <f>HLOOKUP(Overview!$P$8,$B$1:$AI$1500,1244,FALSE)</f>
        <v>0</v>
      </c>
    </row>
    <row r="1245" spans="1:4" x14ac:dyDescent="0.25">
      <c r="A1245" s="264">
        <f>HLOOKUP(Overview!$P$8,$B$1:$AI$1500,1245,FALSE)</f>
        <v>0</v>
      </c>
    </row>
    <row r="1246" spans="1:4" x14ac:dyDescent="0.25">
      <c r="A1246" s="264">
        <f>HLOOKUP(Overview!$P$8,$B$1:$AI$1500,1246,FALSE)</f>
        <v>0</v>
      </c>
    </row>
    <row r="1247" spans="1:4" x14ac:dyDescent="0.25">
      <c r="A1247" s="264">
        <f>HLOOKUP(Overview!$P$8,$B$1:$AI$1500,1247,FALSE)</f>
        <v>0</v>
      </c>
    </row>
    <row r="1248" spans="1:4" x14ac:dyDescent="0.25">
      <c r="A1248" s="264">
        <f>HLOOKUP(Overview!$P$8,$B$1:$AI$1500,1248,FALSE)</f>
        <v>0</v>
      </c>
    </row>
    <row r="1249" spans="1:1" x14ac:dyDescent="0.25">
      <c r="A1249" s="264">
        <f>HLOOKUP(Overview!$P$8,$B$1:$AI$1500,1249,FALSE)</f>
        <v>0</v>
      </c>
    </row>
    <row r="1250" spans="1:1" x14ac:dyDescent="0.25">
      <c r="A1250" s="264">
        <f>HLOOKUP(Overview!$P$8,$B$1:$AI$1500,1250,FALSE)</f>
        <v>0</v>
      </c>
    </row>
    <row r="1251" spans="1:1" x14ac:dyDescent="0.25">
      <c r="A1251" s="264">
        <f>HLOOKUP(Overview!$P$8,$B$1:$AI$1500,1251,FALSE)</f>
        <v>0</v>
      </c>
    </row>
    <row r="1252" spans="1:1" x14ac:dyDescent="0.25">
      <c r="A1252" s="264">
        <f>HLOOKUP(Overview!$P$8,$B$1:$AI$1500,1252,FALSE)</f>
        <v>0</v>
      </c>
    </row>
    <row r="1253" spans="1:1" x14ac:dyDescent="0.25">
      <c r="A1253" s="264">
        <f>HLOOKUP(Overview!$P$8,$B$1:$AI$1500,1253,FALSE)</f>
        <v>0</v>
      </c>
    </row>
    <row r="1254" spans="1:1" x14ac:dyDescent="0.25">
      <c r="A1254" s="264">
        <f>HLOOKUP(Overview!$P$8,$B$1:$AI$1500,1254,FALSE)</f>
        <v>0</v>
      </c>
    </row>
    <row r="1255" spans="1:1" x14ac:dyDescent="0.25">
      <c r="A1255" s="264">
        <f>HLOOKUP(Overview!$P$8,$B$1:$AI$1500,1255,FALSE)</f>
        <v>0</v>
      </c>
    </row>
    <row r="1256" spans="1:1" x14ac:dyDescent="0.25">
      <c r="A1256" s="264">
        <f>HLOOKUP(Overview!$P$8,$B$1:$AI$1500,1256,FALSE)</f>
        <v>0</v>
      </c>
    </row>
    <row r="1257" spans="1:1" x14ac:dyDescent="0.25">
      <c r="A1257" s="264">
        <f>HLOOKUP(Overview!$P$8,$B$1:$AI$1500,1257,FALSE)</f>
        <v>0</v>
      </c>
    </row>
    <row r="1258" spans="1:1" x14ac:dyDescent="0.25">
      <c r="A1258" s="264">
        <f>HLOOKUP(Overview!$P$8,$B$1:$AI$1500,1258,FALSE)</f>
        <v>0</v>
      </c>
    </row>
    <row r="1259" spans="1:1" x14ac:dyDescent="0.25">
      <c r="A1259" s="264">
        <f>HLOOKUP(Overview!$P$8,$B$1:$AI$1500,1259,FALSE)</f>
        <v>0</v>
      </c>
    </row>
    <row r="1260" spans="1:1" x14ac:dyDescent="0.25">
      <c r="A1260" s="264">
        <f>HLOOKUP(Overview!$P$8,$B$1:$AI$1500,1260,FALSE)</f>
        <v>0</v>
      </c>
    </row>
    <row r="1261" spans="1:1" x14ac:dyDescent="0.25">
      <c r="A1261" s="264">
        <f>HLOOKUP(Overview!$P$8,$B$1:$AI$1500,1261,FALSE)</f>
        <v>0</v>
      </c>
    </row>
    <row r="1262" spans="1:1" x14ac:dyDescent="0.25">
      <c r="A1262" s="264">
        <f>HLOOKUP(Overview!$P$8,$B$1:$AI$1500,1262,FALSE)</f>
        <v>0</v>
      </c>
    </row>
    <row r="1263" spans="1:1" x14ac:dyDescent="0.25">
      <c r="A1263" s="264">
        <f>HLOOKUP(Overview!$P$8,$B$1:$AI$1500,1263,FALSE)</f>
        <v>0</v>
      </c>
    </row>
    <row r="1264" spans="1:1" x14ac:dyDescent="0.25">
      <c r="A1264" s="264">
        <f>HLOOKUP(Overview!$P$8,$B$1:$AI$1500,1264,FALSE)</f>
        <v>0</v>
      </c>
    </row>
    <row r="1265" spans="1:4" x14ac:dyDescent="0.25">
      <c r="A1265" s="264">
        <f>HLOOKUP(Overview!$P$8,$B$1:$AI$1500,1265,FALSE)</f>
        <v>0</v>
      </c>
    </row>
    <row r="1266" spans="1:4" x14ac:dyDescent="0.25">
      <c r="A1266" s="264">
        <f>HLOOKUP(Overview!$P$8,$B$1:$AI$1500,1266,FALSE)</f>
        <v>0</v>
      </c>
    </row>
    <row r="1267" spans="1:4" x14ac:dyDescent="0.25">
      <c r="A1267" s="264">
        <f>HLOOKUP(Overview!$P$8,$B$1:$AI$1500,1267,FALSE)</f>
        <v>0</v>
      </c>
    </row>
    <row r="1268" spans="1:4" x14ac:dyDescent="0.25">
      <c r="A1268" s="264">
        <f>HLOOKUP(Overview!$P$8,$B$1:$AI$1500,1268,FALSE)</f>
        <v>0</v>
      </c>
      <c r="C1268" s="263"/>
      <c r="D1268" s="263"/>
    </row>
    <row r="1269" spans="1:4" x14ac:dyDescent="0.25">
      <c r="A1269" s="264">
        <f>HLOOKUP(Overview!$P$8,$B$1:$AI$1500,1269,FALSE)</f>
        <v>0</v>
      </c>
    </row>
    <row r="1270" spans="1:4" x14ac:dyDescent="0.25">
      <c r="A1270" s="264">
        <f>HLOOKUP(Overview!$P$8,$B$1:$AI$1500,1270,FALSE)</f>
        <v>0</v>
      </c>
    </row>
    <row r="1271" spans="1:4" x14ac:dyDescent="0.25">
      <c r="A1271" s="264">
        <f>HLOOKUP(Overview!$P$8,$B$1:$AI$1500,1271,FALSE)</f>
        <v>0</v>
      </c>
    </row>
    <row r="1272" spans="1:4" x14ac:dyDescent="0.25">
      <c r="A1272" s="264">
        <f>HLOOKUP(Overview!$P$8,$B$1:$AI$1500,1272,FALSE)</f>
        <v>0</v>
      </c>
    </row>
    <row r="1273" spans="1:4" x14ac:dyDescent="0.25">
      <c r="A1273" s="264">
        <f>HLOOKUP(Overview!$P$8,$B$1:$AI$1500,1273,FALSE)</f>
        <v>0</v>
      </c>
    </row>
    <row r="1274" spans="1:4" x14ac:dyDescent="0.25">
      <c r="A1274" s="264">
        <f>HLOOKUP(Overview!$P$8,$B$1:$AI$1500,1274,FALSE)</f>
        <v>0</v>
      </c>
    </row>
    <row r="1275" spans="1:4" x14ac:dyDescent="0.25">
      <c r="A1275" s="264">
        <f>HLOOKUP(Overview!$P$8,$B$1:$AI$1500,1275,FALSE)</f>
        <v>0</v>
      </c>
    </row>
    <row r="1276" spans="1:4" x14ac:dyDescent="0.25">
      <c r="A1276" s="264">
        <f>HLOOKUP(Overview!$P$8,$B$1:$AI$1500,1276,FALSE)</f>
        <v>0</v>
      </c>
    </row>
    <row r="1277" spans="1:4" x14ac:dyDescent="0.25">
      <c r="A1277" s="264">
        <f>HLOOKUP(Overview!$P$8,$B$1:$AI$1500,1277,FALSE)</f>
        <v>0</v>
      </c>
    </row>
    <row r="1278" spans="1:4" x14ac:dyDescent="0.25">
      <c r="A1278" s="264">
        <f>HLOOKUP(Overview!$P$8,$B$1:$AI$1500,1278,FALSE)</f>
        <v>0</v>
      </c>
    </row>
    <row r="1279" spans="1:4" x14ac:dyDescent="0.25">
      <c r="A1279" s="264">
        <f>HLOOKUP(Overview!$P$8,$B$1:$AI$1500,1279,FALSE)</f>
        <v>0</v>
      </c>
      <c r="C1279" s="263"/>
      <c r="D1279" s="263"/>
    </row>
    <row r="1280" spans="1:4" x14ac:dyDescent="0.25">
      <c r="A1280" s="264">
        <f>HLOOKUP(Overview!$P$8,$B$1:$AI$1500,1280,FALSE)</f>
        <v>0</v>
      </c>
    </row>
    <row r="1281" spans="1:4" x14ac:dyDescent="0.25">
      <c r="A1281" s="264">
        <f>HLOOKUP(Overview!$P$8,$B$1:$AI$1500,1281,FALSE)</f>
        <v>0</v>
      </c>
    </row>
    <row r="1282" spans="1:4" x14ac:dyDescent="0.25">
      <c r="A1282" s="264">
        <f>HLOOKUP(Overview!$P$8,$B$1:$AI$1500,1282,FALSE)</f>
        <v>0</v>
      </c>
    </row>
    <row r="1283" spans="1:4" x14ac:dyDescent="0.25">
      <c r="A1283" s="264">
        <f>HLOOKUP(Overview!$P$8,$B$1:$AI$1500,1283,FALSE)</f>
        <v>0</v>
      </c>
    </row>
    <row r="1284" spans="1:4" x14ac:dyDescent="0.25">
      <c r="A1284" s="264">
        <f>HLOOKUP(Overview!$P$8,$B$1:$AI$1500,1284,FALSE)</f>
        <v>0</v>
      </c>
    </row>
    <row r="1285" spans="1:4" x14ac:dyDescent="0.25">
      <c r="A1285" s="264">
        <f>HLOOKUP(Overview!$P$8,$B$1:$AI$1500,1285,FALSE)</f>
        <v>0</v>
      </c>
    </row>
    <row r="1286" spans="1:4" x14ac:dyDescent="0.25">
      <c r="A1286" s="264">
        <f>HLOOKUP(Overview!$P$8,$B$1:$AI$1500,1286,FALSE)</f>
        <v>0</v>
      </c>
    </row>
    <row r="1287" spans="1:4" x14ac:dyDescent="0.25">
      <c r="A1287" s="264">
        <f>HLOOKUP(Overview!$P$8,$B$1:$AI$1500,1287,FALSE)</f>
        <v>0</v>
      </c>
    </row>
    <row r="1288" spans="1:4" x14ac:dyDescent="0.25">
      <c r="A1288" s="264">
        <f>HLOOKUP(Overview!$P$8,$B$1:$AI$1500,1288,FALSE)</f>
        <v>0</v>
      </c>
      <c r="C1288" s="263"/>
      <c r="D1288" s="263"/>
    </row>
    <row r="1289" spans="1:4" x14ac:dyDescent="0.25">
      <c r="A1289" s="264">
        <f>HLOOKUP(Overview!$P$8,$B$1:$AI$1500,1289,FALSE)</f>
        <v>0</v>
      </c>
    </row>
    <row r="1290" spans="1:4" x14ac:dyDescent="0.25">
      <c r="A1290" s="264">
        <f>HLOOKUP(Overview!$P$8,$B$1:$AI$1500,1290,FALSE)</f>
        <v>0</v>
      </c>
      <c r="C1290" s="263"/>
      <c r="D1290" s="263"/>
    </row>
    <row r="1291" spans="1:4" x14ac:dyDescent="0.25">
      <c r="A1291" s="264">
        <f>HLOOKUP(Overview!$P$8,$B$1:$AI$1500,1291,FALSE)</f>
        <v>0</v>
      </c>
      <c r="C1291" s="216"/>
      <c r="D1291" s="216"/>
    </row>
    <row r="1292" spans="1:4" x14ac:dyDescent="0.25">
      <c r="A1292" s="264">
        <f>HLOOKUP(Overview!$P$8,$B$1:$AI$1500,1292,FALSE)</f>
        <v>0</v>
      </c>
    </row>
    <row r="1293" spans="1:4" x14ac:dyDescent="0.25">
      <c r="A1293" s="264">
        <f>HLOOKUP(Overview!$P$8,$B$1:$AI$1500,1293,FALSE)</f>
        <v>0</v>
      </c>
      <c r="C1293" s="263"/>
      <c r="D1293" s="263"/>
    </row>
    <row r="1294" spans="1:4" x14ac:dyDescent="0.25">
      <c r="A1294" s="264">
        <f>HLOOKUP(Overview!$P$8,$B$1:$AI$1500,1294,FALSE)</f>
        <v>0</v>
      </c>
      <c r="C1294" s="216"/>
      <c r="D1294" s="216"/>
    </row>
    <row r="1295" spans="1:4" x14ac:dyDescent="0.25">
      <c r="A1295" s="264">
        <f>HLOOKUP(Overview!$P$8,$B$1:$AI$1500,1295,FALSE)</f>
        <v>0</v>
      </c>
    </row>
    <row r="1296" spans="1:4" x14ac:dyDescent="0.25">
      <c r="A1296" s="264">
        <f>HLOOKUP(Overview!$P$8,$B$1:$AI$1500,1296,FALSE)</f>
        <v>0</v>
      </c>
      <c r="C1296" s="263"/>
      <c r="D1296" s="263"/>
    </row>
    <row r="1297" spans="1:1" x14ac:dyDescent="0.25">
      <c r="A1297" s="264">
        <f>HLOOKUP(Overview!$P$8,$B$1:$AI$1500,1297,FALSE)</f>
        <v>0</v>
      </c>
    </row>
    <row r="1298" spans="1:1" x14ac:dyDescent="0.25">
      <c r="A1298" s="264">
        <f>HLOOKUP(Overview!$P$8,$B$1:$AI$1500,1298,FALSE)</f>
        <v>0</v>
      </c>
    </row>
    <row r="1299" spans="1:1" x14ac:dyDescent="0.25">
      <c r="A1299" s="264">
        <f>HLOOKUP(Overview!$P$8,$B$1:$AI$1500,1299,FALSE)</f>
        <v>0</v>
      </c>
    </row>
    <row r="1300" spans="1:1" x14ac:dyDescent="0.25">
      <c r="A1300" s="264">
        <f>HLOOKUP(Overview!$P$8,$B$1:$AI$1500,1300,FALSE)</f>
        <v>0</v>
      </c>
    </row>
    <row r="1301" spans="1:1" x14ac:dyDescent="0.25">
      <c r="A1301" s="264">
        <f>HLOOKUP(Overview!$P$8,$B$1:$AI$1500,1301,FALSE)</f>
        <v>0</v>
      </c>
    </row>
    <row r="1302" spans="1:1" x14ac:dyDescent="0.25">
      <c r="A1302" s="264">
        <f>HLOOKUP(Overview!$P$8,$B$1:$AI$1500,1302,FALSE)</f>
        <v>0</v>
      </c>
    </row>
    <row r="1303" spans="1:1" x14ac:dyDescent="0.25">
      <c r="A1303" s="264">
        <f>HLOOKUP(Overview!$P$8,$B$1:$AI$1500,1303,FALSE)</f>
        <v>0</v>
      </c>
    </row>
    <row r="1304" spans="1:1" x14ac:dyDescent="0.25">
      <c r="A1304" s="264">
        <f>HLOOKUP(Overview!$P$8,$B$1:$AI$1500,1304,FALSE)</f>
        <v>0</v>
      </c>
    </row>
    <row r="1305" spans="1:1" x14ac:dyDescent="0.25">
      <c r="A1305" s="264">
        <f>HLOOKUP(Overview!$P$8,$B$1:$AI$1500,1305,FALSE)</f>
        <v>0</v>
      </c>
    </row>
    <row r="1306" spans="1:1" x14ac:dyDescent="0.25">
      <c r="A1306" s="264">
        <f>HLOOKUP(Overview!$P$8,$B$1:$AI$1500,1306,FALSE)</f>
        <v>0</v>
      </c>
    </row>
    <row r="1307" spans="1:1" x14ac:dyDescent="0.25">
      <c r="A1307" s="264">
        <f>HLOOKUP(Overview!$P$8,$B$1:$AI$1500,1307,FALSE)</f>
        <v>0</v>
      </c>
    </row>
    <row r="1308" spans="1:1" x14ac:dyDescent="0.25">
      <c r="A1308" s="264">
        <f>HLOOKUP(Overview!$P$8,$B$1:$AI$1500,1308,FALSE)</f>
        <v>0</v>
      </c>
    </row>
    <row r="1309" spans="1:1" x14ac:dyDescent="0.25">
      <c r="A1309" s="264">
        <f>HLOOKUP(Overview!$P$8,$B$1:$AI$1500,1309,FALSE)</f>
        <v>0</v>
      </c>
    </row>
    <row r="1310" spans="1:1" x14ac:dyDescent="0.25">
      <c r="A1310" s="264">
        <f>HLOOKUP(Overview!$P$8,$B$1:$AI$1500,1310,FALSE)</f>
        <v>0</v>
      </c>
    </row>
    <row r="1311" spans="1:1" x14ac:dyDescent="0.25">
      <c r="A1311" s="264">
        <f>HLOOKUP(Overview!$P$8,$B$1:$AI$1500,1311,FALSE)</f>
        <v>0</v>
      </c>
    </row>
    <row r="1312" spans="1:1" x14ac:dyDescent="0.25">
      <c r="A1312" s="264">
        <f>HLOOKUP(Overview!$P$8,$B$1:$AI$1500,1312,FALSE)</f>
        <v>0</v>
      </c>
    </row>
    <row r="1313" spans="1:1" x14ac:dyDescent="0.25">
      <c r="A1313" s="264">
        <f>HLOOKUP(Overview!$P$8,$B$1:$AI$1500,1313,FALSE)</f>
        <v>0</v>
      </c>
    </row>
    <row r="1314" spans="1:1" x14ac:dyDescent="0.25">
      <c r="A1314" s="264">
        <f>HLOOKUP(Overview!$P$8,$B$1:$AI$1500,1314,FALSE)</f>
        <v>0</v>
      </c>
    </row>
    <row r="1315" spans="1:1" x14ac:dyDescent="0.25">
      <c r="A1315" s="264">
        <f>HLOOKUP(Overview!$P$8,$B$1:$AI$1500,1315,FALSE)</f>
        <v>0</v>
      </c>
    </row>
    <row r="1316" spans="1:1" x14ac:dyDescent="0.25">
      <c r="A1316" s="264">
        <f>HLOOKUP(Overview!$P$8,$B$1:$AI$1500,1316,FALSE)</f>
        <v>0</v>
      </c>
    </row>
    <row r="1317" spans="1:1" x14ac:dyDescent="0.25">
      <c r="A1317" s="264">
        <f>HLOOKUP(Overview!$P$8,$B$1:$AI$1500,1317,FALSE)</f>
        <v>0</v>
      </c>
    </row>
    <row r="1318" spans="1:1" x14ac:dyDescent="0.25">
      <c r="A1318" s="264">
        <f>HLOOKUP(Overview!$P$8,$B$1:$AI$1500,1318,FALSE)</f>
        <v>0</v>
      </c>
    </row>
    <row r="1319" spans="1:1" x14ac:dyDescent="0.25">
      <c r="A1319" s="264">
        <f>HLOOKUP(Overview!$P$8,$B$1:$AI$1500,1319,FALSE)</f>
        <v>0</v>
      </c>
    </row>
    <row r="1320" spans="1:1" x14ac:dyDescent="0.25">
      <c r="A1320" s="264">
        <f>HLOOKUP(Overview!$P$8,$B$1:$AI$1500,1320,FALSE)</f>
        <v>0</v>
      </c>
    </row>
    <row r="1321" spans="1:1" x14ac:dyDescent="0.25">
      <c r="A1321" s="264">
        <f>HLOOKUP(Overview!$P$8,$B$1:$AI$1500,1321,FALSE)</f>
        <v>0</v>
      </c>
    </row>
    <row r="1322" spans="1:1" x14ac:dyDescent="0.25">
      <c r="A1322" s="264">
        <f>HLOOKUP(Overview!$P$8,$B$1:$AI$1500,1322,FALSE)</f>
        <v>0</v>
      </c>
    </row>
    <row r="1323" spans="1:1" x14ac:dyDescent="0.25">
      <c r="A1323" s="264">
        <f>HLOOKUP(Overview!$P$8,$B$1:$AI$1500,1323,FALSE)</f>
        <v>0</v>
      </c>
    </row>
    <row r="1324" spans="1:1" x14ac:dyDescent="0.25">
      <c r="A1324" s="264">
        <f>HLOOKUP(Overview!$P$8,$B$1:$AI$1500,1324,FALSE)</f>
        <v>0</v>
      </c>
    </row>
    <row r="1325" spans="1:1" x14ac:dyDescent="0.25">
      <c r="A1325" s="264">
        <f>HLOOKUP(Overview!$P$8,$B$1:$AI$1500,1325,FALSE)</f>
        <v>0</v>
      </c>
    </row>
    <row r="1326" spans="1:1" x14ac:dyDescent="0.25">
      <c r="A1326" s="264">
        <f>HLOOKUP(Overview!$P$8,$B$1:$AI$1500,1326,FALSE)</f>
        <v>0</v>
      </c>
    </row>
    <row r="1327" spans="1:1" x14ac:dyDescent="0.25">
      <c r="A1327" s="264">
        <f>HLOOKUP(Overview!$P$8,$B$1:$AI$1500,1327,FALSE)</f>
        <v>0</v>
      </c>
    </row>
    <row r="1328" spans="1:1" x14ac:dyDescent="0.25">
      <c r="A1328" s="264">
        <f>HLOOKUP(Overview!$P$8,$B$1:$AI$1500,1328,FALSE)</f>
        <v>0</v>
      </c>
    </row>
    <row r="1329" spans="1:1" x14ac:dyDescent="0.25">
      <c r="A1329" s="264">
        <f>HLOOKUP(Overview!$P$8,$B$1:$AI$1500,1329,FALSE)</f>
        <v>0</v>
      </c>
    </row>
    <row r="1330" spans="1:1" x14ac:dyDescent="0.25">
      <c r="A1330" s="264">
        <f>HLOOKUP(Overview!$P$8,$B$1:$AI$1500,1330,FALSE)</f>
        <v>0</v>
      </c>
    </row>
    <row r="1331" spans="1:1" x14ac:dyDescent="0.25">
      <c r="A1331" s="264">
        <f>HLOOKUP(Overview!$P$8,$B$1:$AI$1500,1331,FALSE)</f>
        <v>0</v>
      </c>
    </row>
    <row r="1332" spans="1:1" x14ac:dyDescent="0.25">
      <c r="A1332" s="264">
        <f>HLOOKUP(Overview!$P$8,$B$1:$AI$1500,1332,FALSE)</f>
        <v>0</v>
      </c>
    </row>
    <row r="1333" spans="1:1" x14ac:dyDescent="0.25">
      <c r="A1333" s="264">
        <f>HLOOKUP(Overview!$P$8,$B$1:$AI$1500,1333,FALSE)</f>
        <v>0</v>
      </c>
    </row>
    <row r="1334" spans="1:1" x14ac:dyDescent="0.25">
      <c r="A1334" s="264">
        <f>HLOOKUP(Overview!$P$8,$B$1:$AI$1500,1334,FALSE)</f>
        <v>0</v>
      </c>
    </row>
    <row r="1335" spans="1:1" x14ac:dyDescent="0.25">
      <c r="A1335" s="264">
        <f>HLOOKUP(Overview!$P$8,$B$1:$AI$1500,1335,FALSE)</f>
        <v>0</v>
      </c>
    </row>
    <row r="1336" spans="1:1" x14ac:dyDescent="0.25">
      <c r="A1336" s="264">
        <f>HLOOKUP(Overview!$P$8,$B$1:$AI$1500,1336,FALSE)</f>
        <v>0</v>
      </c>
    </row>
    <row r="1337" spans="1:1" x14ac:dyDescent="0.25">
      <c r="A1337" s="264">
        <f>HLOOKUP(Overview!$P$8,$B$1:$AI$1500,1337,FALSE)</f>
        <v>0</v>
      </c>
    </row>
    <row r="1338" spans="1:1" x14ac:dyDescent="0.25">
      <c r="A1338" s="264">
        <f>HLOOKUP(Overview!$P$8,$B$1:$AI$1500,1338,FALSE)</f>
        <v>0</v>
      </c>
    </row>
    <row r="1339" spans="1:1" x14ac:dyDescent="0.25">
      <c r="A1339" s="264">
        <f>HLOOKUP(Overview!$P$8,$B$1:$AI$1500,1339,FALSE)</f>
        <v>0</v>
      </c>
    </row>
    <row r="1340" spans="1:1" x14ac:dyDescent="0.25">
      <c r="A1340" s="264">
        <f>HLOOKUP(Overview!$P$8,$B$1:$AI$1500,1340,FALSE)</f>
        <v>0</v>
      </c>
    </row>
    <row r="1341" spans="1:1" x14ac:dyDescent="0.25">
      <c r="A1341" s="264">
        <f>HLOOKUP(Overview!$P$8,$B$1:$AI$1500,1341,FALSE)</f>
        <v>0</v>
      </c>
    </row>
    <row r="1342" spans="1:1" x14ac:dyDescent="0.25">
      <c r="A1342" s="264">
        <f>HLOOKUP(Overview!$P$8,$B$1:$AI$1500,1342,FALSE)</f>
        <v>0</v>
      </c>
    </row>
    <row r="1343" spans="1:1" x14ac:dyDescent="0.25">
      <c r="A1343" s="264">
        <f>HLOOKUP(Overview!$P$8,$B$1:$AI$1500,1343,FALSE)</f>
        <v>0</v>
      </c>
    </row>
    <row r="1344" spans="1:1" x14ac:dyDescent="0.25">
      <c r="A1344" s="264">
        <f>HLOOKUP(Overview!$P$8,$B$1:$AI$1500,1344,FALSE)</f>
        <v>0</v>
      </c>
    </row>
    <row r="1345" spans="1:1" x14ac:dyDescent="0.25">
      <c r="A1345" s="264">
        <f>HLOOKUP(Overview!$P$8,$B$1:$AI$1500,1345,FALSE)</f>
        <v>0</v>
      </c>
    </row>
    <row r="1346" spans="1:1" x14ac:dyDescent="0.25">
      <c r="A1346" s="264">
        <f>HLOOKUP(Overview!$P$8,$B$1:$AI$1500,1346,FALSE)</f>
        <v>0</v>
      </c>
    </row>
    <row r="1347" spans="1:1" x14ac:dyDescent="0.25">
      <c r="A1347" s="264">
        <f>HLOOKUP(Overview!$P$8,$B$1:$AI$1500,1347,FALSE)</f>
        <v>0</v>
      </c>
    </row>
    <row r="1348" spans="1:1" x14ac:dyDescent="0.25">
      <c r="A1348" s="264">
        <f>HLOOKUP(Overview!$P$8,$B$1:$AI$1500,1348,FALSE)</f>
        <v>0</v>
      </c>
    </row>
    <row r="1349" spans="1:1" x14ac:dyDescent="0.25">
      <c r="A1349" s="264">
        <f>HLOOKUP(Overview!$P$8,$B$1:$AI$1500,1349,FALSE)</f>
        <v>0</v>
      </c>
    </row>
    <row r="1350" spans="1:1" x14ac:dyDescent="0.25">
      <c r="A1350" s="264">
        <f>HLOOKUP(Overview!$P$8,$B$1:$AI$1500,1350,FALSE)</f>
        <v>0</v>
      </c>
    </row>
    <row r="1351" spans="1:1" x14ac:dyDescent="0.25">
      <c r="A1351" s="264">
        <f>HLOOKUP(Overview!$P$8,$B$1:$AI$1500,1351,FALSE)</f>
        <v>0</v>
      </c>
    </row>
    <row r="1352" spans="1:1" x14ac:dyDescent="0.25">
      <c r="A1352" s="264">
        <f>HLOOKUP(Overview!$P$8,$B$1:$AI$1500,1352,FALSE)</f>
        <v>0</v>
      </c>
    </row>
    <row r="1353" spans="1:1" x14ac:dyDescent="0.25">
      <c r="A1353" s="264">
        <f>HLOOKUP(Overview!$P$8,$B$1:$AI$1500,1353,FALSE)</f>
        <v>0</v>
      </c>
    </row>
    <row r="1354" spans="1:1" x14ac:dyDescent="0.25">
      <c r="A1354" s="264">
        <f>HLOOKUP(Overview!$P$8,$B$1:$AI$1500,1354,FALSE)</f>
        <v>0</v>
      </c>
    </row>
    <row r="1355" spans="1:1" x14ac:dyDescent="0.25">
      <c r="A1355" s="264">
        <f>HLOOKUP(Overview!$P$8,$B$1:$AI$1500,1355,FALSE)</f>
        <v>0</v>
      </c>
    </row>
    <row r="1356" spans="1:1" x14ac:dyDescent="0.25">
      <c r="A1356" s="264">
        <f>HLOOKUP(Overview!$P$8,$B$1:$AI$1500,1356,FALSE)</f>
        <v>0</v>
      </c>
    </row>
    <row r="1357" spans="1:1" x14ac:dyDescent="0.25">
      <c r="A1357" s="264">
        <f>HLOOKUP(Overview!$P$8,$B$1:$AI$1500,1357,FALSE)</f>
        <v>0</v>
      </c>
    </row>
    <row r="1358" spans="1:1" x14ac:dyDescent="0.25">
      <c r="A1358" s="264">
        <f>HLOOKUP(Overview!$P$8,$B$1:$AI$1500,1358,FALSE)</f>
        <v>0</v>
      </c>
    </row>
    <row r="1359" spans="1:1" x14ac:dyDescent="0.25">
      <c r="A1359" s="264">
        <f>HLOOKUP(Overview!$P$8,$B$1:$AI$1500,1359,FALSE)</f>
        <v>0</v>
      </c>
    </row>
    <row r="1360" spans="1:1" x14ac:dyDescent="0.25">
      <c r="A1360" s="264">
        <f>HLOOKUP(Overview!$P$8,$B$1:$AI$1500,1360,FALSE)</f>
        <v>0</v>
      </c>
    </row>
    <row r="1361" spans="1:1" x14ac:dyDescent="0.25">
      <c r="A1361" s="264">
        <f>HLOOKUP(Overview!$P$8,$B$1:$AI$1500,1361,FALSE)</f>
        <v>0</v>
      </c>
    </row>
    <row r="1362" spans="1:1" x14ac:dyDescent="0.25">
      <c r="A1362" s="264">
        <f>HLOOKUP(Overview!$P$8,$B$1:$AI$1500,1362,FALSE)</f>
        <v>0</v>
      </c>
    </row>
    <row r="1363" spans="1:1" x14ac:dyDescent="0.25">
      <c r="A1363" s="264">
        <f>HLOOKUP(Overview!$P$8,$B$1:$AI$1500,1363,FALSE)</f>
        <v>0</v>
      </c>
    </row>
    <row r="1364" spans="1:1" x14ac:dyDescent="0.25">
      <c r="A1364" s="264">
        <f>HLOOKUP(Overview!$P$8,$B$1:$AI$1500,1364,FALSE)</f>
        <v>0</v>
      </c>
    </row>
    <row r="1365" spans="1:1" x14ac:dyDescent="0.25">
      <c r="A1365" s="264">
        <f>HLOOKUP(Overview!$P$8,$B$1:$AI$1500,1365,FALSE)</f>
        <v>0</v>
      </c>
    </row>
    <row r="1366" spans="1:1" x14ac:dyDescent="0.25">
      <c r="A1366" s="264">
        <f>HLOOKUP(Overview!$P$8,$B$1:$AI$1500,1366,FALSE)</f>
        <v>0</v>
      </c>
    </row>
    <row r="1367" spans="1:1" x14ac:dyDescent="0.25">
      <c r="A1367" s="264">
        <f>HLOOKUP(Overview!$P$8,$B$1:$AI$1500,1367,FALSE)</f>
        <v>0</v>
      </c>
    </row>
    <row r="1368" spans="1:1" x14ac:dyDescent="0.25">
      <c r="A1368" s="264">
        <f>HLOOKUP(Overview!$P$8,$B$1:$AI$1500,1368,FALSE)</f>
        <v>0</v>
      </c>
    </row>
    <row r="1369" spans="1:1" x14ac:dyDescent="0.25">
      <c r="A1369" s="264">
        <f>HLOOKUP(Overview!$P$8,$B$1:$AI$1500,1369,FALSE)</f>
        <v>0</v>
      </c>
    </row>
    <row r="1370" spans="1:1" x14ac:dyDescent="0.25">
      <c r="A1370" s="264">
        <f>HLOOKUP(Overview!$P$8,$B$1:$AI$1500,1370,FALSE)</f>
        <v>0</v>
      </c>
    </row>
    <row r="1371" spans="1:1" x14ac:dyDescent="0.25">
      <c r="A1371" s="264">
        <f>HLOOKUP(Overview!$P$8,$B$1:$AI$1500,1371,FALSE)</f>
        <v>0</v>
      </c>
    </row>
    <row r="1372" spans="1:1" x14ac:dyDescent="0.25">
      <c r="A1372" s="264">
        <f>HLOOKUP(Overview!$P$8,$B$1:$AI$1500,1372,FALSE)</f>
        <v>0</v>
      </c>
    </row>
    <row r="1373" spans="1:1" x14ac:dyDescent="0.25">
      <c r="A1373" s="264">
        <f>HLOOKUP(Overview!$P$8,$B$1:$AI$1500,1373,FALSE)</f>
        <v>0</v>
      </c>
    </row>
    <row r="1374" spans="1:1" x14ac:dyDescent="0.25">
      <c r="A1374" s="264">
        <f>HLOOKUP(Overview!$P$8,$B$1:$AI$1500,1374,FALSE)</f>
        <v>0</v>
      </c>
    </row>
    <row r="1375" spans="1:1" x14ac:dyDescent="0.25">
      <c r="A1375" s="264">
        <f>HLOOKUP(Overview!$P$8,$B$1:$AI$1500,1375,FALSE)</f>
        <v>0</v>
      </c>
    </row>
    <row r="1376" spans="1:1" x14ac:dyDescent="0.25">
      <c r="A1376" s="264">
        <f>HLOOKUP(Overview!$P$8,$B$1:$AI$1500,1376,FALSE)</f>
        <v>0</v>
      </c>
    </row>
    <row r="1377" spans="1:1" x14ac:dyDescent="0.25">
      <c r="A1377" s="264">
        <f>HLOOKUP(Overview!$P$8,$B$1:$AI$1500,1377,FALSE)</f>
        <v>0</v>
      </c>
    </row>
    <row r="1378" spans="1:1" x14ac:dyDescent="0.25">
      <c r="A1378" s="264">
        <f>HLOOKUP(Overview!$P$8,$B$1:$AI$1500,1378,FALSE)</f>
        <v>0</v>
      </c>
    </row>
    <row r="1379" spans="1:1" x14ac:dyDescent="0.25">
      <c r="A1379" s="264">
        <f>HLOOKUP(Overview!$P$8,$B$1:$AI$1500,1379,FALSE)</f>
        <v>0</v>
      </c>
    </row>
    <row r="1380" spans="1:1" x14ac:dyDescent="0.25">
      <c r="A1380" s="264">
        <f>HLOOKUP(Overview!$P$8,$B$1:$AI$1500,1380,FALSE)</f>
        <v>0</v>
      </c>
    </row>
    <row r="1381" spans="1:1" x14ac:dyDescent="0.25">
      <c r="A1381" s="264">
        <f>HLOOKUP(Overview!$P$8,$B$1:$AI$1500,1381,FALSE)</f>
        <v>0</v>
      </c>
    </row>
    <row r="1382" spans="1:1" x14ac:dyDescent="0.25">
      <c r="A1382" s="264">
        <f>HLOOKUP(Overview!$P$8,$B$1:$AI$1500,1382,FALSE)</f>
        <v>0</v>
      </c>
    </row>
    <row r="1383" spans="1:1" x14ac:dyDescent="0.25">
      <c r="A1383" s="264">
        <f>HLOOKUP(Overview!$P$8,$B$1:$AI$1500,1383,FALSE)</f>
        <v>0</v>
      </c>
    </row>
    <row r="1384" spans="1:1" x14ac:dyDescent="0.25">
      <c r="A1384" s="264">
        <f>HLOOKUP(Overview!$P$8,$B$1:$AI$1500,1384,FALSE)</f>
        <v>0</v>
      </c>
    </row>
    <row r="1385" spans="1:1" x14ac:dyDescent="0.25">
      <c r="A1385" s="264">
        <f>HLOOKUP(Overview!$P$8,$B$1:$AI$1500,1385,FALSE)</f>
        <v>0</v>
      </c>
    </row>
    <row r="1386" spans="1:1" x14ac:dyDescent="0.25">
      <c r="A1386" s="264">
        <f>HLOOKUP(Overview!$P$8,$B$1:$AI$1500,1386,FALSE)</f>
        <v>0</v>
      </c>
    </row>
    <row r="1387" spans="1:1" x14ac:dyDescent="0.25">
      <c r="A1387" s="264">
        <f>HLOOKUP(Overview!$P$8,$B$1:$AI$1500,1387,FALSE)</f>
        <v>0</v>
      </c>
    </row>
    <row r="1388" spans="1:1" x14ac:dyDescent="0.25">
      <c r="A1388" s="264">
        <f>HLOOKUP(Overview!$P$8,$B$1:$AI$1500,1388,FALSE)</f>
        <v>0</v>
      </c>
    </row>
    <row r="1389" spans="1:1" x14ac:dyDescent="0.25">
      <c r="A1389" s="264">
        <f>HLOOKUP(Overview!$P$8,$B$1:$AI$1500,1389,FALSE)</f>
        <v>0</v>
      </c>
    </row>
    <row r="1390" spans="1:1" x14ac:dyDescent="0.25">
      <c r="A1390" s="264">
        <f>HLOOKUP(Overview!$P$8,$B$1:$AI$1500,1390,FALSE)</f>
        <v>0</v>
      </c>
    </row>
    <row r="1391" spans="1:1" x14ac:dyDescent="0.25">
      <c r="A1391" s="264">
        <f>HLOOKUP(Overview!$P$8,$B$1:$AI$1500,1391,FALSE)</f>
        <v>0</v>
      </c>
    </row>
    <row r="1392" spans="1:1" x14ac:dyDescent="0.25">
      <c r="A1392" s="264">
        <f>HLOOKUP(Overview!$P$8,$B$1:$AI$1500,1392,FALSE)</f>
        <v>0</v>
      </c>
    </row>
    <row r="1393" spans="1:1" x14ac:dyDescent="0.25">
      <c r="A1393" s="264">
        <f>HLOOKUP(Overview!$P$8,$B$1:$AI$1500,1393,FALSE)</f>
        <v>0</v>
      </c>
    </row>
    <row r="1394" spans="1:1" x14ac:dyDescent="0.25">
      <c r="A1394" s="264">
        <f>HLOOKUP(Overview!$P$8,$B$1:$AI$1500,1394,FALSE)</f>
        <v>0</v>
      </c>
    </row>
    <row r="1395" spans="1:1" x14ac:dyDescent="0.25">
      <c r="A1395" s="264">
        <f>HLOOKUP(Overview!$P$8,$B$1:$AI$1500,1395,FALSE)</f>
        <v>0</v>
      </c>
    </row>
    <row r="1396" spans="1:1" x14ac:dyDescent="0.25">
      <c r="A1396" s="264">
        <f>HLOOKUP(Overview!$P$8,$B$1:$AI$1500,1396,FALSE)</f>
        <v>0</v>
      </c>
    </row>
    <row r="1397" spans="1:1" x14ac:dyDescent="0.25">
      <c r="A1397" s="264">
        <f>HLOOKUP(Overview!$P$8,$B$1:$AI$1500,1397,FALSE)</f>
        <v>0</v>
      </c>
    </row>
    <row r="1398" spans="1:1" x14ac:dyDescent="0.25">
      <c r="A1398" s="264">
        <f>HLOOKUP(Overview!$P$8,$B$1:$AI$1500,1398,FALSE)</f>
        <v>0</v>
      </c>
    </row>
    <row r="1399" spans="1:1" x14ac:dyDescent="0.25">
      <c r="A1399" s="264">
        <f>HLOOKUP(Overview!$P$8,$B$1:$AI$1500,1399,FALSE)</f>
        <v>0</v>
      </c>
    </row>
    <row r="1400" spans="1:1" x14ac:dyDescent="0.25">
      <c r="A1400" s="264">
        <f>HLOOKUP(Overview!$P$8,$B$1:$AI$1500,1400,FALSE)</f>
        <v>0</v>
      </c>
    </row>
    <row r="1401" spans="1:1" x14ac:dyDescent="0.25">
      <c r="A1401" s="264">
        <f>HLOOKUP(Overview!$P$8,$B$1:$AI$1500,1401,FALSE)</f>
        <v>0</v>
      </c>
    </row>
    <row r="1402" spans="1:1" x14ac:dyDescent="0.25">
      <c r="A1402" s="264">
        <f>HLOOKUP(Overview!$P$8,$B$1:$AI$1500,1402,FALSE)</f>
        <v>0</v>
      </c>
    </row>
    <row r="1403" spans="1:1" x14ac:dyDescent="0.25">
      <c r="A1403" s="264">
        <f>HLOOKUP(Overview!$P$8,$B$1:$AI$1500,1403,FALSE)</f>
        <v>0</v>
      </c>
    </row>
    <row r="1404" spans="1:1" x14ac:dyDescent="0.25">
      <c r="A1404" s="264">
        <f>HLOOKUP(Overview!$P$8,$B$1:$AI$1500,1404,FALSE)</f>
        <v>0</v>
      </c>
    </row>
    <row r="1405" spans="1:1" x14ac:dyDescent="0.25">
      <c r="A1405" s="264">
        <f>HLOOKUP(Overview!$P$8,$B$1:$AI$1500,1405,FALSE)</f>
        <v>0</v>
      </c>
    </row>
    <row r="1406" spans="1:1" x14ac:dyDescent="0.25">
      <c r="A1406" s="264">
        <f>HLOOKUP(Overview!$P$8,$B$1:$AI$1500,1406,FALSE)</f>
        <v>0</v>
      </c>
    </row>
    <row r="1407" spans="1:1" x14ac:dyDescent="0.25">
      <c r="A1407" s="264">
        <f>HLOOKUP(Overview!$P$8,$B$1:$AI$1500,1407,FALSE)</f>
        <v>0</v>
      </c>
    </row>
    <row r="1408" spans="1:1" x14ac:dyDescent="0.25">
      <c r="A1408" s="264">
        <f>HLOOKUP(Overview!$P$8,$B$1:$AI$1500,1408,FALSE)</f>
        <v>0</v>
      </c>
    </row>
    <row r="1409" spans="1:1" x14ac:dyDescent="0.25">
      <c r="A1409" s="264">
        <f>HLOOKUP(Overview!$P$8,$B$1:$AI$1500,1409,FALSE)</f>
        <v>0</v>
      </c>
    </row>
    <row r="1410" spans="1:1" x14ac:dyDescent="0.25">
      <c r="A1410" s="264">
        <f>HLOOKUP(Overview!$P$8,$B$1:$AI$1500,1410,FALSE)</f>
        <v>0</v>
      </c>
    </row>
    <row r="1411" spans="1:1" x14ac:dyDescent="0.25">
      <c r="A1411" s="264">
        <f>HLOOKUP(Overview!$P$8,$B$1:$AI$1500,1411,FALSE)</f>
        <v>0</v>
      </c>
    </row>
    <row r="1412" spans="1:1" x14ac:dyDescent="0.25">
      <c r="A1412" s="264">
        <f>HLOOKUP(Overview!$P$8,$B$1:$AI$1500,1412,FALSE)</f>
        <v>0</v>
      </c>
    </row>
    <row r="1413" spans="1:1" x14ac:dyDescent="0.25">
      <c r="A1413" s="264">
        <f>HLOOKUP(Overview!$P$8,$B$1:$AI$1500,1413,FALSE)</f>
        <v>0</v>
      </c>
    </row>
    <row r="1414" spans="1:1" x14ac:dyDescent="0.25">
      <c r="A1414" s="264">
        <f>HLOOKUP(Overview!$P$8,$B$1:$AI$1500,1414,FALSE)</f>
        <v>0</v>
      </c>
    </row>
    <row r="1415" spans="1:1" x14ac:dyDescent="0.25">
      <c r="A1415" s="264">
        <f>HLOOKUP(Overview!$P$8,$B$1:$AI$1500,1415,FALSE)</f>
        <v>0</v>
      </c>
    </row>
    <row r="1416" spans="1:1" x14ac:dyDescent="0.25">
      <c r="A1416" s="264">
        <f>HLOOKUP(Overview!$P$8,$B$1:$AI$1500,1416,FALSE)</f>
        <v>0</v>
      </c>
    </row>
    <row r="1417" spans="1:1" x14ac:dyDescent="0.25">
      <c r="A1417" s="264">
        <f>HLOOKUP(Overview!$P$8,$B$1:$AI$1500,1417,FALSE)</f>
        <v>0</v>
      </c>
    </row>
    <row r="1418" spans="1:1" x14ac:dyDescent="0.25">
      <c r="A1418" s="264">
        <f>HLOOKUP(Overview!$P$8,$B$1:$AI$1500,1418,FALSE)</f>
        <v>0</v>
      </c>
    </row>
    <row r="1419" spans="1:1" x14ac:dyDescent="0.25">
      <c r="A1419" s="264">
        <f>HLOOKUP(Overview!$P$8,$B$1:$AI$1500,1419,FALSE)</f>
        <v>0</v>
      </c>
    </row>
    <row r="1420" spans="1:1" x14ac:dyDescent="0.25">
      <c r="A1420" s="264">
        <f>HLOOKUP(Overview!$P$8,$B$1:$AI$1500,1420,FALSE)</f>
        <v>0</v>
      </c>
    </row>
    <row r="1421" spans="1:1" x14ac:dyDescent="0.25">
      <c r="A1421" s="264">
        <f>HLOOKUP(Overview!$P$8,$B$1:$AI$1500,1421,FALSE)</f>
        <v>0</v>
      </c>
    </row>
    <row r="1422" spans="1:1" x14ac:dyDescent="0.25">
      <c r="A1422" s="264">
        <f>HLOOKUP(Overview!$P$8,$B$1:$AI$1500,1422,FALSE)</f>
        <v>0</v>
      </c>
    </row>
    <row r="1423" spans="1:1" x14ac:dyDescent="0.25">
      <c r="A1423" s="264">
        <f>HLOOKUP(Overview!$P$8,$B$1:$AI$1500,1423,FALSE)</f>
        <v>0</v>
      </c>
    </row>
    <row r="1424" spans="1:1" x14ac:dyDescent="0.25">
      <c r="A1424" s="264">
        <f>HLOOKUP(Overview!$P$8,$B$1:$AI$1500,1424,FALSE)</f>
        <v>0</v>
      </c>
    </row>
    <row r="1425" spans="1:1" x14ac:dyDescent="0.25">
      <c r="A1425" s="264">
        <f>HLOOKUP(Overview!$P$8,$B$1:$AI$1500,1425,FALSE)</f>
        <v>0</v>
      </c>
    </row>
    <row r="1426" spans="1:1" x14ac:dyDescent="0.25">
      <c r="A1426" s="264">
        <f>HLOOKUP(Overview!$P$8,$B$1:$AI$1500,1426,FALSE)</f>
        <v>0</v>
      </c>
    </row>
    <row r="1427" spans="1:1" x14ac:dyDescent="0.25">
      <c r="A1427" s="264">
        <f>HLOOKUP(Overview!$P$8,$B$1:$AI$1500,1427,FALSE)</f>
        <v>0</v>
      </c>
    </row>
    <row r="1428" spans="1:1" x14ac:dyDescent="0.25">
      <c r="A1428" s="264">
        <f>HLOOKUP(Overview!$P$8,$B$1:$AI$1500,1428,FALSE)</f>
        <v>0</v>
      </c>
    </row>
    <row r="1429" spans="1:1" x14ac:dyDescent="0.25">
      <c r="A1429" s="264">
        <f>HLOOKUP(Overview!$P$8,$B$1:$AI$1500,1429,FALSE)</f>
        <v>0</v>
      </c>
    </row>
    <row r="1430" spans="1:1" x14ac:dyDescent="0.25">
      <c r="A1430" s="264">
        <f>HLOOKUP(Overview!$P$8,$B$1:$AI$1500,1430,FALSE)</f>
        <v>0</v>
      </c>
    </row>
    <row r="1431" spans="1:1" x14ac:dyDescent="0.25">
      <c r="A1431" s="264">
        <f>HLOOKUP(Overview!$P$8,$B$1:$AI$1500,1431,FALSE)</f>
        <v>0</v>
      </c>
    </row>
    <row r="1432" spans="1:1" x14ac:dyDescent="0.25">
      <c r="A1432" s="264">
        <f>HLOOKUP(Overview!$P$8,$B$1:$AI$1500,1432,FALSE)</f>
        <v>0</v>
      </c>
    </row>
    <row r="1433" spans="1:1" x14ac:dyDescent="0.25">
      <c r="A1433" s="264">
        <f>HLOOKUP(Overview!$P$8,$B$1:$AI$1500,1433,FALSE)</f>
        <v>0</v>
      </c>
    </row>
    <row r="1434" spans="1:1" x14ac:dyDescent="0.25">
      <c r="A1434" s="264">
        <f>HLOOKUP(Overview!$P$8,$B$1:$AI$1500,1434,FALSE)</f>
        <v>0</v>
      </c>
    </row>
    <row r="1435" spans="1:1" x14ac:dyDescent="0.25">
      <c r="A1435" s="264">
        <f>HLOOKUP(Overview!$P$8,$B$1:$AI$1500,1435,FALSE)</f>
        <v>0</v>
      </c>
    </row>
    <row r="1436" spans="1:1" x14ac:dyDescent="0.25">
      <c r="A1436" s="264">
        <f>HLOOKUP(Overview!$P$8,$B$1:$AI$1500,1436,FALSE)</f>
        <v>0</v>
      </c>
    </row>
    <row r="1437" spans="1:1" x14ac:dyDescent="0.25">
      <c r="A1437" s="264">
        <f>HLOOKUP(Overview!$P$8,$B$1:$AI$1500,1437,FALSE)</f>
        <v>0</v>
      </c>
    </row>
    <row r="1438" spans="1:1" x14ac:dyDescent="0.25">
      <c r="A1438" s="264">
        <f>HLOOKUP(Overview!$P$8,$B$1:$AI$1500,1438,FALSE)</f>
        <v>0</v>
      </c>
    </row>
    <row r="1439" spans="1:1" x14ac:dyDescent="0.25">
      <c r="A1439" s="264">
        <f>HLOOKUP(Overview!$P$8,$B$1:$AI$1500,1439,FALSE)</f>
        <v>0</v>
      </c>
    </row>
    <row r="1440" spans="1:1" x14ac:dyDescent="0.25">
      <c r="A1440" s="264">
        <f>HLOOKUP(Overview!$P$8,$B$1:$AI$1500,1440,FALSE)</f>
        <v>0</v>
      </c>
    </row>
    <row r="1441" spans="1:1" x14ac:dyDescent="0.25">
      <c r="A1441" s="264">
        <f>HLOOKUP(Overview!$P$8,$B$1:$AI$1500,1441,FALSE)</f>
        <v>0</v>
      </c>
    </row>
    <row r="1442" spans="1:1" x14ac:dyDescent="0.25">
      <c r="A1442" s="264">
        <f>HLOOKUP(Overview!$P$8,$B$1:$AI$1500,1442,FALSE)</f>
        <v>0</v>
      </c>
    </row>
    <row r="1443" spans="1:1" x14ac:dyDescent="0.25">
      <c r="A1443" s="264">
        <f>HLOOKUP(Overview!$P$8,$B$1:$AI$1500,1443,FALSE)</f>
        <v>0</v>
      </c>
    </row>
    <row r="1444" spans="1:1" x14ac:dyDescent="0.25">
      <c r="A1444" s="264">
        <f>HLOOKUP(Overview!$P$8,$B$1:$AI$1500,1444,FALSE)</f>
        <v>0</v>
      </c>
    </row>
    <row r="1445" spans="1:1" x14ac:dyDescent="0.25">
      <c r="A1445" s="264">
        <f>HLOOKUP(Overview!$P$8,$B$1:$AI$1500,1445,FALSE)</f>
        <v>0</v>
      </c>
    </row>
    <row r="1446" spans="1:1" x14ac:dyDescent="0.25">
      <c r="A1446" s="264">
        <f>HLOOKUP(Overview!$P$8,$B$1:$AI$1500,1446,FALSE)</f>
        <v>0</v>
      </c>
    </row>
    <row r="1447" spans="1:1" x14ac:dyDescent="0.25">
      <c r="A1447" s="264">
        <f>HLOOKUP(Overview!$P$8,$B$1:$AI$1500,1447,FALSE)</f>
        <v>0</v>
      </c>
    </row>
    <row r="1448" spans="1:1" x14ac:dyDescent="0.25">
      <c r="A1448" s="264">
        <f>HLOOKUP(Overview!$P$8,$B$1:$AI$1500,1448,FALSE)</f>
        <v>0</v>
      </c>
    </row>
    <row r="1449" spans="1:1" x14ac:dyDescent="0.25">
      <c r="A1449" s="264">
        <f>HLOOKUP(Overview!$P$8,$B$1:$AI$1500,1449,FALSE)</f>
        <v>0</v>
      </c>
    </row>
    <row r="1450" spans="1:1" x14ac:dyDescent="0.25">
      <c r="A1450" s="264">
        <f>HLOOKUP(Overview!$P$8,$B$1:$AI$1500,1450,FALSE)</f>
        <v>0</v>
      </c>
    </row>
    <row r="1451" spans="1:1" x14ac:dyDescent="0.25">
      <c r="A1451" s="264">
        <f>HLOOKUP(Overview!$P$8,$B$1:$AI$1500,1451,FALSE)</f>
        <v>0</v>
      </c>
    </row>
    <row r="1452" spans="1:1" x14ac:dyDescent="0.25">
      <c r="A1452" s="264">
        <f>HLOOKUP(Overview!$P$8,$B$1:$AI$1500,1452,FALSE)</f>
        <v>0</v>
      </c>
    </row>
    <row r="1453" spans="1:1" x14ac:dyDescent="0.25">
      <c r="A1453" s="264">
        <f>HLOOKUP(Overview!$P$8,$B$1:$AI$1500,1453,FALSE)</f>
        <v>0</v>
      </c>
    </row>
    <row r="1454" spans="1:1" x14ac:dyDescent="0.25">
      <c r="A1454" s="264">
        <f>HLOOKUP(Overview!$P$8,$B$1:$AI$1500,1454,FALSE)</f>
        <v>0</v>
      </c>
    </row>
    <row r="1455" spans="1:1" x14ac:dyDescent="0.25">
      <c r="A1455" s="264">
        <f>HLOOKUP(Overview!$P$8,$B$1:$AI$1500,1455,FALSE)</f>
        <v>0</v>
      </c>
    </row>
    <row r="1456" spans="1:1" x14ac:dyDescent="0.25">
      <c r="A1456" s="264">
        <f>HLOOKUP(Overview!$P$8,$B$1:$AI$1500,1456,FALSE)</f>
        <v>0</v>
      </c>
    </row>
    <row r="1457" spans="1:1" x14ac:dyDescent="0.25">
      <c r="A1457" s="264">
        <f>HLOOKUP(Overview!$P$8,$B$1:$AI$1500,1457,FALSE)</f>
        <v>0</v>
      </c>
    </row>
    <row r="1458" spans="1:1" x14ac:dyDescent="0.25">
      <c r="A1458" s="264">
        <f>HLOOKUP(Overview!$P$8,$B$1:$AI$1500,1458,FALSE)</f>
        <v>0</v>
      </c>
    </row>
    <row r="1459" spans="1:1" x14ac:dyDescent="0.25">
      <c r="A1459" s="264">
        <f>HLOOKUP(Overview!$P$8,$B$1:$AI$1500,1459,FALSE)</f>
        <v>0</v>
      </c>
    </row>
    <row r="1460" spans="1:1" x14ac:dyDescent="0.25">
      <c r="A1460" s="264">
        <f>HLOOKUP(Overview!$P$8,$B$1:$AI$1500,1460,FALSE)</f>
        <v>0</v>
      </c>
    </row>
    <row r="1461" spans="1:1" x14ac:dyDescent="0.25">
      <c r="A1461" s="264">
        <f>HLOOKUP(Overview!$P$8,$B$1:$AI$1500,1461,FALSE)</f>
        <v>0</v>
      </c>
    </row>
    <row r="1462" spans="1:1" x14ac:dyDescent="0.25">
      <c r="A1462" s="264">
        <f>HLOOKUP(Overview!$P$8,$B$1:$AI$1500,1462,FALSE)</f>
        <v>0</v>
      </c>
    </row>
    <row r="1463" spans="1:1" x14ac:dyDescent="0.25">
      <c r="A1463" s="264">
        <f>HLOOKUP(Overview!$P$8,$B$1:$AI$1500,1463,FALSE)</f>
        <v>0</v>
      </c>
    </row>
    <row r="1464" spans="1:1" x14ac:dyDescent="0.25">
      <c r="A1464" s="264">
        <f>HLOOKUP(Overview!$P$8,$B$1:$AI$1500,1464,FALSE)</f>
        <v>0</v>
      </c>
    </row>
    <row r="1465" spans="1:1" x14ac:dyDescent="0.25">
      <c r="A1465" s="264">
        <f>HLOOKUP(Overview!$P$8,$B$1:$AI$1500,1465,FALSE)</f>
        <v>0</v>
      </c>
    </row>
    <row r="1466" spans="1:1" x14ac:dyDescent="0.25">
      <c r="A1466" s="264">
        <f>HLOOKUP(Overview!$P$8,$B$1:$AI$1500,1466,FALSE)</f>
        <v>0</v>
      </c>
    </row>
    <row r="1467" spans="1:1" x14ac:dyDescent="0.25">
      <c r="A1467" s="264">
        <f>HLOOKUP(Overview!$P$8,$B$1:$AI$1500,1467,FALSE)</f>
        <v>0</v>
      </c>
    </row>
    <row r="1468" spans="1:1" x14ac:dyDescent="0.25">
      <c r="A1468" s="264">
        <f>HLOOKUP(Overview!$P$8,$B$1:$AI$1500,1468,FALSE)</f>
        <v>0</v>
      </c>
    </row>
    <row r="1469" spans="1:1" x14ac:dyDescent="0.25">
      <c r="A1469" s="264">
        <f>HLOOKUP(Overview!$P$8,$B$1:$AI$1500,1469,FALSE)</f>
        <v>0</v>
      </c>
    </row>
    <row r="1470" spans="1:1" x14ac:dyDescent="0.25">
      <c r="A1470" s="264">
        <f>HLOOKUP(Overview!$P$8,$B$1:$AI$1500,1470,FALSE)</f>
        <v>0</v>
      </c>
    </row>
    <row r="1471" spans="1:1" x14ac:dyDescent="0.25">
      <c r="A1471" s="264">
        <f>HLOOKUP(Overview!$P$8,$B$1:$AI$1500,1471,FALSE)</f>
        <v>0</v>
      </c>
    </row>
    <row r="1472" spans="1:1" x14ac:dyDescent="0.25">
      <c r="A1472" s="264">
        <f>HLOOKUP(Overview!$P$8,$B$1:$AI$1500,1472,FALSE)</f>
        <v>0</v>
      </c>
    </row>
    <row r="1473" spans="1:1" x14ac:dyDescent="0.25">
      <c r="A1473" s="264">
        <f>HLOOKUP(Overview!$P$8,$B$1:$AI$1500,1473,FALSE)</f>
        <v>0</v>
      </c>
    </row>
    <row r="1474" spans="1:1" x14ac:dyDescent="0.25">
      <c r="A1474" s="264">
        <f>HLOOKUP(Overview!$P$8,$B$1:$AI$1500,1474,FALSE)</f>
        <v>0</v>
      </c>
    </row>
    <row r="1475" spans="1:1" x14ac:dyDescent="0.25">
      <c r="A1475" s="264">
        <f>HLOOKUP(Overview!$P$8,$B$1:$AI$1500,1475,FALSE)</f>
        <v>0</v>
      </c>
    </row>
    <row r="1476" spans="1:1" x14ac:dyDescent="0.25">
      <c r="A1476" s="264">
        <f>HLOOKUP(Overview!$P$8,$B$1:$AI$1500,1476,FALSE)</f>
        <v>0</v>
      </c>
    </row>
    <row r="1477" spans="1:1" x14ac:dyDescent="0.25">
      <c r="A1477" s="264">
        <f>HLOOKUP(Overview!$P$8,$B$1:$AI$1500,1477,FALSE)</f>
        <v>0</v>
      </c>
    </row>
    <row r="1478" spans="1:1" x14ac:dyDescent="0.25">
      <c r="A1478" s="264">
        <f>HLOOKUP(Overview!$P$8,$B$1:$AI$1500,1478,FALSE)</f>
        <v>0</v>
      </c>
    </row>
    <row r="1479" spans="1:1" x14ac:dyDescent="0.25">
      <c r="A1479" s="264">
        <f>HLOOKUP(Overview!$P$8,$B$1:$AI$1500,1479,FALSE)</f>
        <v>0</v>
      </c>
    </row>
    <row r="1480" spans="1:1" x14ac:dyDescent="0.25">
      <c r="A1480" s="264">
        <f>HLOOKUP(Overview!$P$8,$B$1:$AI$1500,1480,FALSE)</f>
        <v>0</v>
      </c>
    </row>
    <row r="1481" spans="1:1" x14ac:dyDescent="0.25">
      <c r="A1481" s="264">
        <f>HLOOKUP(Overview!$P$8,$B$1:$AI$1500,1481,FALSE)</f>
        <v>0</v>
      </c>
    </row>
    <row r="1482" spans="1:1" x14ac:dyDescent="0.25">
      <c r="A1482" s="264">
        <f>HLOOKUP(Overview!$P$8,$B$1:$AI$1500,1482,FALSE)</f>
        <v>0</v>
      </c>
    </row>
    <row r="1483" spans="1:1" x14ac:dyDescent="0.25">
      <c r="A1483" s="264">
        <f>HLOOKUP(Overview!$P$8,$B$1:$AI$1500,1483,FALSE)</f>
        <v>0</v>
      </c>
    </row>
    <row r="1484" spans="1:1" x14ac:dyDescent="0.25">
      <c r="A1484" s="264">
        <f>HLOOKUP(Overview!$P$8,$B$1:$AI$1500,1484,FALSE)</f>
        <v>0</v>
      </c>
    </row>
    <row r="1485" spans="1:1" x14ac:dyDescent="0.25">
      <c r="A1485" s="264">
        <f>HLOOKUP(Overview!$P$8,$B$1:$AI$1500,1485,FALSE)</f>
        <v>0</v>
      </c>
    </row>
    <row r="1486" spans="1:1" x14ac:dyDescent="0.25">
      <c r="A1486" s="264">
        <f>HLOOKUP(Overview!$P$8,$B$1:$AI$1500,1486,FALSE)</f>
        <v>0</v>
      </c>
    </row>
    <row r="1487" spans="1:1" x14ac:dyDescent="0.25">
      <c r="A1487" s="264">
        <f>HLOOKUP(Overview!$P$8,$B$1:$AI$1500,1487,FALSE)</f>
        <v>0</v>
      </c>
    </row>
    <row r="1488" spans="1:1" x14ac:dyDescent="0.25">
      <c r="A1488" s="264">
        <f>HLOOKUP(Overview!$P$8,$B$1:$AI$1500,1488,FALSE)</f>
        <v>0</v>
      </c>
    </row>
    <row r="1489" spans="1:1" x14ac:dyDescent="0.25">
      <c r="A1489" s="264">
        <f>HLOOKUP(Overview!$P$8,$B$1:$AI$1500,1489,FALSE)</f>
        <v>0</v>
      </c>
    </row>
    <row r="1490" spans="1:1" x14ac:dyDescent="0.25">
      <c r="A1490" s="264">
        <f>HLOOKUP(Overview!$P$8,$B$1:$AI$1500,1490,FALSE)</f>
        <v>0</v>
      </c>
    </row>
    <row r="1491" spans="1:1" x14ac:dyDescent="0.25">
      <c r="A1491" s="264">
        <f>HLOOKUP(Overview!$P$8,$B$1:$AI$1500,1491,FALSE)</f>
        <v>0</v>
      </c>
    </row>
    <row r="1492" spans="1:1" x14ac:dyDescent="0.25">
      <c r="A1492" s="264">
        <f>HLOOKUP(Overview!$P$8,$B$1:$AI$1500,1492,FALSE)</f>
        <v>0</v>
      </c>
    </row>
    <row r="1493" spans="1:1" x14ac:dyDescent="0.25">
      <c r="A1493" s="264">
        <f>HLOOKUP(Overview!$P$8,$B$1:$AI$1500,1493,FALSE)</f>
        <v>0</v>
      </c>
    </row>
    <row r="1494" spans="1:1" x14ac:dyDescent="0.25">
      <c r="A1494" s="264">
        <f>HLOOKUP(Overview!$P$8,$B$1:$AI$1500,1494,FALSE)</f>
        <v>0</v>
      </c>
    </row>
    <row r="1495" spans="1:1" x14ac:dyDescent="0.25">
      <c r="A1495" s="264">
        <f>HLOOKUP(Overview!$P$8,$B$1:$AI$1500,1495,FALSE)</f>
        <v>0</v>
      </c>
    </row>
    <row r="1496" spans="1:1" x14ac:dyDescent="0.25">
      <c r="A1496" s="264">
        <f>HLOOKUP(Overview!$P$8,$B$1:$AI$1500,1496,FALSE)</f>
        <v>0</v>
      </c>
    </row>
    <row r="1497" spans="1:1" x14ac:dyDescent="0.25">
      <c r="A1497" s="264">
        <f>HLOOKUP(Overview!$P$8,$B$1:$AI$1500,1497,FALSE)</f>
        <v>0</v>
      </c>
    </row>
    <row r="1498" spans="1:1" x14ac:dyDescent="0.25">
      <c r="A1498" s="264">
        <f>HLOOKUP(Overview!$P$8,$B$1:$AI$1500,1498,FALSE)</f>
        <v>0</v>
      </c>
    </row>
    <row r="1499" spans="1:1" x14ac:dyDescent="0.25">
      <c r="A1499" s="264">
        <f>HLOOKUP(Overview!$P$8,$B$1:$AI$1500,1499,FALSE)</f>
        <v>0</v>
      </c>
    </row>
    <row r="1500" spans="1:1" x14ac:dyDescent="0.25">
      <c r="A1500" s="264">
        <f>HLOOKUP(Overview!$P$8,$B$1:$AI$1500,1500,FALSE)</f>
        <v>0</v>
      </c>
    </row>
  </sheetData>
  <sortState ref="A539:H644">
    <sortCondition ref="F539:F644"/>
  </sortState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13"/>
  <sheetViews>
    <sheetView workbookViewId="0"/>
  </sheetViews>
  <sheetFormatPr defaultRowHeight="15" x14ac:dyDescent="0.25"/>
  <cols>
    <col min="1" max="1" width="13.42578125" style="142" bestFit="1" customWidth="1"/>
    <col min="2" max="2" width="45.28515625" style="142" bestFit="1" customWidth="1"/>
    <col min="3" max="3" width="20.42578125" style="142" bestFit="1" customWidth="1"/>
    <col min="4" max="4" width="29.42578125" style="142" bestFit="1" customWidth="1"/>
    <col min="5" max="5" width="13.140625" style="142" bestFit="1" customWidth="1"/>
    <col min="6" max="6" width="7.5703125" style="142" bestFit="1" customWidth="1"/>
  </cols>
  <sheetData>
    <row r="1" spans="1:6" x14ac:dyDescent="0.25">
      <c r="A1" s="252" t="s">
        <v>1825</v>
      </c>
      <c r="B1" s="252" t="s">
        <v>1826</v>
      </c>
      <c r="C1" s="147"/>
      <c r="D1" s="147"/>
      <c r="E1" s="147"/>
      <c r="F1" s="224"/>
    </row>
    <row r="2" spans="1:6" x14ac:dyDescent="0.25">
      <c r="A2" s="252" t="s">
        <v>3555</v>
      </c>
      <c r="B2" s="252" t="s">
        <v>3556</v>
      </c>
      <c r="C2" s="147"/>
      <c r="D2" s="147"/>
      <c r="E2" s="147"/>
      <c r="F2" s="224"/>
    </row>
    <row r="3" spans="1:6" x14ac:dyDescent="0.25">
      <c r="A3" s="252" t="s">
        <v>1923</v>
      </c>
      <c r="B3" s="252" t="s">
        <v>1924</v>
      </c>
      <c r="C3" s="147"/>
      <c r="D3" s="147"/>
      <c r="E3" s="147"/>
      <c r="F3" s="224"/>
    </row>
    <row r="4" spans="1:6" x14ac:dyDescent="0.25">
      <c r="A4" s="252" t="s">
        <v>1899</v>
      </c>
      <c r="B4" s="252" t="s">
        <v>1900</v>
      </c>
      <c r="C4" s="147"/>
      <c r="D4" s="147"/>
      <c r="E4" s="147"/>
      <c r="F4" s="224"/>
    </row>
    <row r="5" spans="1:6" x14ac:dyDescent="0.25">
      <c r="A5" s="252" t="s">
        <v>1884</v>
      </c>
      <c r="B5" s="252" t="s">
        <v>1885</v>
      </c>
      <c r="C5" s="147"/>
      <c r="D5" s="147"/>
      <c r="E5" s="147"/>
      <c r="F5" s="224"/>
    </row>
    <row r="6" spans="1:6" x14ac:dyDescent="0.25">
      <c r="A6" s="252" t="s">
        <v>1839</v>
      </c>
      <c r="B6" s="252" t="s">
        <v>1840</v>
      </c>
      <c r="C6" s="147"/>
      <c r="D6" s="147"/>
      <c r="E6" s="147"/>
      <c r="F6" s="224"/>
    </row>
    <row r="7" spans="1:6" x14ac:dyDescent="0.25">
      <c r="A7" s="252" t="s">
        <v>1879</v>
      </c>
      <c r="B7" s="252" t="s">
        <v>1880</v>
      </c>
      <c r="C7" s="147"/>
      <c r="D7" s="147"/>
      <c r="E7" s="147"/>
      <c r="F7" s="224"/>
    </row>
    <row r="8" spans="1:6" x14ac:dyDescent="0.25">
      <c r="A8" s="252" t="s">
        <v>2130</v>
      </c>
      <c r="B8" s="252" t="s">
        <v>2131</v>
      </c>
      <c r="C8" s="147"/>
      <c r="D8" s="147"/>
      <c r="E8" s="147"/>
      <c r="F8" s="224"/>
    </row>
    <row r="9" spans="1:6" x14ac:dyDescent="0.25">
      <c r="A9" s="252" t="s">
        <v>1951</v>
      </c>
      <c r="B9" s="252" t="s">
        <v>1952</v>
      </c>
      <c r="C9" s="147"/>
      <c r="D9" s="147"/>
      <c r="E9" s="147"/>
      <c r="F9" s="224"/>
    </row>
    <row r="10" spans="1:6" x14ac:dyDescent="0.25">
      <c r="A10" s="252" t="s">
        <v>1888</v>
      </c>
      <c r="B10" s="252" t="s">
        <v>1889</v>
      </c>
      <c r="C10" s="147"/>
      <c r="D10" s="147"/>
      <c r="E10" s="147"/>
      <c r="F10" s="224"/>
    </row>
    <row r="11" spans="1:6" x14ac:dyDescent="0.25">
      <c r="A11" s="252" t="s">
        <v>1863</v>
      </c>
      <c r="B11" s="252" t="s">
        <v>1864</v>
      </c>
      <c r="C11" s="147"/>
      <c r="D11" s="147"/>
      <c r="E11" s="147"/>
      <c r="F11" s="224"/>
    </row>
    <row r="12" spans="1:6" x14ac:dyDescent="0.25">
      <c r="A12" s="252" t="s">
        <v>1807</v>
      </c>
      <c r="B12" s="252" t="s">
        <v>1808</v>
      </c>
      <c r="C12" s="147"/>
      <c r="D12" s="147"/>
      <c r="E12" s="147"/>
      <c r="F12" s="224"/>
    </row>
    <row r="13" spans="1:6" x14ac:dyDescent="0.25">
      <c r="A13" s="252" t="s">
        <v>1979</v>
      </c>
      <c r="B13" s="252" t="s">
        <v>1980</v>
      </c>
      <c r="C13" s="147"/>
      <c r="D13" s="147"/>
      <c r="E13" s="147"/>
      <c r="F13" s="224"/>
    </row>
    <row r="14" spans="1:6" x14ac:dyDescent="0.25">
      <c r="A14" s="252" t="s">
        <v>1912</v>
      </c>
      <c r="B14" s="252" t="s">
        <v>1913</v>
      </c>
      <c r="C14" s="147"/>
      <c r="D14" s="147"/>
      <c r="E14" s="147"/>
      <c r="F14" s="224"/>
    </row>
    <row r="15" spans="1:6" x14ac:dyDescent="0.25">
      <c r="A15" s="252" t="s">
        <v>1821</v>
      </c>
      <c r="B15" s="252" t="s">
        <v>1822</v>
      </c>
      <c r="C15" s="147"/>
      <c r="D15" s="147"/>
      <c r="E15" s="147"/>
      <c r="F15" s="224"/>
    </row>
    <row r="16" spans="1:6" x14ac:dyDescent="0.25">
      <c r="A16" s="252" t="s">
        <v>2027</v>
      </c>
      <c r="B16" s="252" t="s">
        <v>2028</v>
      </c>
      <c r="C16" s="147"/>
      <c r="D16" s="147"/>
      <c r="E16" s="147"/>
      <c r="F16" s="224"/>
    </row>
    <row r="17" spans="1:6" x14ac:dyDescent="0.25">
      <c r="A17" s="252" t="s">
        <v>3545</v>
      </c>
      <c r="B17" s="252" t="s">
        <v>3546</v>
      </c>
      <c r="C17" s="147"/>
      <c r="D17" s="147"/>
      <c r="E17" s="147"/>
      <c r="F17" s="224"/>
    </row>
    <row r="18" spans="1:6" x14ac:dyDescent="0.25">
      <c r="A18" s="252" t="s">
        <v>1833</v>
      </c>
      <c r="B18" s="252" t="s">
        <v>1834</v>
      </c>
      <c r="C18" s="147"/>
      <c r="D18" s="147"/>
      <c r="E18" s="147"/>
      <c r="F18" s="224"/>
    </row>
    <row r="19" spans="1:6" x14ac:dyDescent="0.25">
      <c r="A19" s="252" t="s">
        <v>1969</v>
      </c>
      <c r="B19" s="252" t="s">
        <v>1970</v>
      </c>
      <c r="C19" s="147"/>
      <c r="D19" s="147"/>
      <c r="E19" s="147"/>
      <c r="F19" s="224"/>
    </row>
    <row r="20" spans="1:6" x14ac:dyDescent="0.25">
      <c r="A20" s="252" t="s">
        <v>1869</v>
      </c>
      <c r="B20" s="252" t="s">
        <v>1870</v>
      </c>
      <c r="C20" s="147"/>
      <c r="D20" s="147"/>
      <c r="E20" s="147"/>
      <c r="F20" s="224"/>
    </row>
    <row r="21" spans="1:6" x14ac:dyDescent="0.25">
      <c r="A21" s="252" t="s">
        <v>1942</v>
      </c>
      <c r="B21" s="252" t="s">
        <v>551</v>
      </c>
      <c r="C21" s="147"/>
      <c r="D21" s="147"/>
      <c r="E21" s="147"/>
      <c r="F21" s="224"/>
    </row>
    <row r="22" spans="1:6" x14ac:dyDescent="0.25">
      <c r="A22" s="252" t="s">
        <v>1959</v>
      </c>
      <c r="B22" s="252" t="s">
        <v>555</v>
      </c>
      <c r="C22" s="147"/>
      <c r="D22" s="147"/>
      <c r="E22" s="147"/>
      <c r="F22" s="224"/>
    </row>
    <row r="23" spans="1:6" x14ac:dyDescent="0.25">
      <c r="A23" s="252" t="s">
        <v>1932</v>
      </c>
      <c r="B23" s="252" t="s">
        <v>1933</v>
      </c>
      <c r="C23" s="147"/>
      <c r="D23" s="147"/>
      <c r="E23" s="147"/>
      <c r="F23" s="224"/>
    </row>
    <row r="24" spans="1:6" x14ac:dyDescent="0.25">
      <c r="A24" s="252" t="s">
        <v>3559</v>
      </c>
      <c r="B24" s="252" t="s">
        <v>3560</v>
      </c>
      <c r="C24" s="147"/>
      <c r="D24" s="147"/>
      <c r="E24" s="147"/>
      <c r="F24" s="224"/>
    </row>
    <row r="25" spans="1:6" x14ac:dyDescent="0.25">
      <c r="A25" s="252" t="s">
        <v>1955</v>
      </c>
      <c r="B25" s="252" t="s">
        <v>1956</v>
      </c>
      <c r="C25" s="147"/>
      <c r="D25" s="147"/>
      <c r="E25" s="147"/>
      <c r="F25" s="224"/>
    </row>
    <row r="26" spans="1:6" x14ac:dyDescent="0.25">
      <c r="A26" s="252" t="s">
        <v>1892</v>
      </c>
      <c r="B26" s="252" t="s">
        <v>1893</v>
      </c>
      <c r="C26" s="147"/>
      <c r="D26" s="147"/>
      <c r="E26" s="147"/>
      <c r="F26" s="224"/>
    </row>
    <row r="27" spans="1:6" x14ac:dyDescent="0.25">
      <c r="A27" s="252" t="s">
        <v>2082</v>
      </c>
      <c r="B27" s="252" t="s">
        <v>2083</v>
      </c>
      <c r="C27" s="147"/>
      <c r="D27" s="147"/>
      <c r="E27" s="147"/>
      <c r="F27" s="224"/>
    </row>
    <row r="28" spans="1:6" x14ac:dyDescent="0.25">
      <c r="A28" s="252" t="s">
        <v>1947</v>
      </c>
      <c r="B28" s="252" t="s">
        <v>1948</v>
      </c>
      <c r="C28" s="147"/>
      <c r="D28" s="147"/>
      <c r="E28" s="147"/>
      <c r="F28" s="224"/>
    </row>
    <row r="29" spans="1:6" x14ac:dyDescent="0.25">
      <c r="A29" s="252" t="s">
        <v>1873</v>
      </c>
      <c r="B29" s="252" t="s">
        <v>1874</v>
      </c>
      <c r="C29" s="147"/>
      <c r="D29" s="147"/>
      <c r="E29" s="147"/>
      <c r="F29" s="224"/>
    </row>
    <row r="30" spans="1:6" x14ac:dyDescent="0.25">
      <c r="A30" s="252" t="s">
        <v>3566</v>
      </c>
      <c r="B30" s="252" t="s">
        <v>3567</v>
      </c>
      <c r="C30" s="147"/>
      <c r="D30" s="147"/>
      <c r="E30" s="147"/>
      <c r="F30" s="224"/>
    </row>
    <row r="31" spans="1:6" x14ac:dyDescent="0.25">
      <c r="A31" s="252" t="s">
        <v>2017</v>
      </c>
      <c r="B31" s="252" t="s">
        <v>569</v>
      </c>
      <c r="C31" s="147"/>
      <c r="D31" s="147"/>
      <c r="E31" s="147"/>
      <c r="F31" s="224"/>
    </row>
    <row r="32" spans="1:6" x14ac:dyDescent="0.25">
      <c r="A32" s="252" t="s">
        <v>2089</v>
      </c>
      <c r="B32" s="252" t="s">
        <v>2090</v>
      </c>
      <c r="C32" s="147"/>
      <c r="D32" s="147"/>
      <c r="E32" s="147"/>
      <c r="F32" s="224"/>
    </row>
    <row r="33" spans="1:6" x14ac:dyDescent="0.25">
      <c r="A33" s="252" t="s">
        <v>1925</v>
      </c>
      <c r="B33" s="252" t="s">
        <v>844</v>
      </c>
      <c r="C33" s="147"/>
      <c r="D33" s="147"/>
      <c r="E33" s="147"/>
      <c r="F33" s="224"/>
    </row>
    <row r="34" spans="1:6" x14ac:dyDescent="0.25">
      <c r="A34" s="252" t="s">
        <v>1931</v>
      </c>
      <c r="B34" s="252" t="s">
        <v>840</v>
      </c>
      <c r="C34" s="147"/>
      <c r="D34" s="147"/>
      <c r="E34" s="147"/>
      <c r="F34" s="224"/>
    </row>
    <row r="35" spans="1:6" x14ac:dyDescent="0.25">
      <c r="A35" s="252" t="s">
        <v>1998</v>
      </c>
      <c r="B35" s="252" t="s">
        <v>557</v>
      </c>
      <c r="C35" s="147"/>
      <c r="D35" s="147"/>
      <c r="E35" s="147"/>
      <c r="F35" s="224"/>
    </row>
    <row r="36" spans="1:6" x14ac:dyDescent="0.25">
      <c r="A36" s="252" t="s">
        <v>2267</v>
      </c>
      <c r="B36" s="252" t="s">
        <v>2268</v>
      </c>
      <c r="C36" s="147"/>
      <c r="D36" s="147"/>
      <c r="E36" s="147"/>
      <c r="F36" s="224"/>
    </row>
    <row r="37" spans="1:6" x14ac:dyDescent="0.25">
      <c r="A37" s="252" t="s">
        <v>2015</v>
      </c>
      <c r="B37" s="252" t="s">
        <v>2016</v>
      </c>
      <c r="C37" s="147"/>
      <c r="D37" s="147"/>
      <c r="E37" s="147"/>
      <c r="F37" s="224"/>
    </row>
    <row r="38" spans="1:6" x14ac:dyDescent="0.25">
      <c r="A38" s="252" t="s">
        <v>1877</v>
      </c>
      <c r="B38" s="252" t="s">
        <v>1878</v>
      </c>
      <c r="C38" s="147"/>
      <c r="D38" s="147"/>
      <c r="E38" s="147"/>
      <c r="F38" s="224"/>
    </row>
    <row r="39" spans="1:6" x14ac:dyDescent="0.25">
      <c r="A39" s="252" t="s">
        <v>2218</v>
      </c>
      <c r="B39" s="252" t="s">
        <v>2219</v>
      </c>
      <c r="C39" s="147"/>
      <c r="D39" s="147"/>
      <c r="E39" s="147"/>
      <c r="F39" s="224"/>
    </row>
    <row r="40" spans="1:6" x14ac:dyDescent="0.25">
      <c r="A40" s="252" t="s">
        <v>1906</v>
      </c>
      <c r="B40" s="252" t="s">
        <v>1907</v>
      </c>
      <c r="C40" s="147"/>
      <c r="D40" s="147"/>
      <c r="E40" s="147"/>
      <c r="F40" s="224"/>
    </row>
    <row r="41" spans="1:6" x14ac:dyDescent="0.25">
      <c r="A41" s="252" t="s">
        <v>1811</v>
      </c>
      <c r="B41" s="252" t="s">
        <v>1812</v>
      </c>
      <c r="C41" s="147"/>
      <c r="D41" s="147"/>
      <c r="E41" s="147"/>
      <c r="F41" s="224"/>
    </row>
    <row r="42" spans="1:6" x14ac:dyDescent="0.25">
      <c r="A42" s="252" t="s">
        <v>1936</v>
      </c>
      <c r="B42" s="252" t="s">
        <v>1937</v>
      </c>
      <c r="C42" s="147"/>
      <c r="D42" s="147"/>
      <c r="E42" s="147"/>
      <c r="F42" s="224"/>
    </row>
    <row r="43" spans="1:6" x14ac:dyDescent="0.25">
      <c r="A43" s="252" t="s">
        <v>1835</v>
      </c>
      <c r="B43" s="252" t="s">
        <v>1836</v>
      </c>
      <c r="C43" s="147"/>
      <c r="D43" s="147"/>
      <c r="E43" s="147"/>
      <c r="F43" s="224"/>
    </row>
    <row r="44" spans="1:6" x14ac:dyDescent="0.25">
      <c r="A44" s="252" t="s">
        <v>3547</v>
      </c>
      <c r="B44" s="252" t="s">
        <v>3548</v>
      </c>
      <c r="C44" s="147"/>
      <c r="D44" s="147"/>
      <c r="E44" s="147"/>
      <c r="F44" s="224"/>
    </row>
    <row r="45" spans="1:6" x14ac:dyDescent="0.25">
      <c r="A45" s="252" t="s">
        <v>2073</v>
      </c>
      <c r="B45" s="252" t="s">
        <v>2074</v>
      </c>
      <c r="C45" s="147"/>
      <c r="D45" s="147"/>
      <c r="E45" s="147"/>
      <c r="F45" s="224"/>
    </row>
    <row r="46" spans="1:6" x14ac:dyDescent="0.25">
      <c r="A46" s="252" t="s">
        <v>1960</v>
      </c>
      <c r="B46" s="252" t="s">
        <v>573</v>
      </c>
      <c r="C46" s="147"/>
      <c r="D46" s="147"/>
      <c r="E46" s="147"/>
      <c r="F46" s="224"/>
    </row>
    <row r="47" spans="1:6" x14ac:dyDescent="0.25">
      <c r="A47" s="252" t="s">
        <v>2091</v>
      </c>
      <c r="B47" s="252" t="s">
        <v>559</v>
      </c>
      <c r="C47" s="147"/>
      <c r="D47" s="147"/>
      <c r="E47" s="147"/>
      <c r="F47" s="224"/>
    </row>
    <row r="48" spans="1:6" x14ac:dyDescent="0.25">
      <c r="A48" s="252" t="s">
        <v>2087</v>
      </c>
      <c r="B48" s="252" t="s">
        <v>2088</v>
      </c>
      <c r="C48" s="147"/>
      <c r="D48" s="147"/>
      <c r="E48" s="147"/>
      <c r="F48" s="224"/>
    </row>
    <row r="49" spans="1:6" x14ac:dyDescent="0.25">
      <c r="A49" s="252" t="s">
        <v>2043</v>
      </c>
      <c r="B49" s="252" t="s">
        <v>2044</v>
      </c>
      <c r="C49" s="147"/>
      <c r="D49" s="147"/>
      <c r="E49" s="147"/>
      <c r="F49" s="224"/>
    </row>
    <row r="50" spans="1:6" x14ac:dyDescent="0.25">
      <c r="A50" s="252" t="s">
        <v>1940</v>
      </c>
      <c r="B50" s="252" t="s">
        <v>1941</v>
      </c>
      <c r="C50" s="147"/>
      <c r="D50" s="147"/>
      <c r="E50" s="147"/>
      <c r="F50" s="224"/>
    </row>
    <row r="51" spans="1:6" x14ac:dyDescent="0.25">
      <c r="A51" s="252" t="s">
        <v>2125</v>
      </c>
      <c r="B51" s="252" t="s">
        <v>2126</v>
      </c>
      <c r="C51" s="147"/>
      <c r="D51" s="147"/>
      <c r="E51" s="147"/>
      <c r="F51" s="224"/>
    </row>
    <row r="52" spans="1:6" x14ac:dyDescent="0.25">
      <c r="A52" s="252" t="s">
        <v>1927</v>
      </c>
      <c r="B52" s="252" t="s">
        <v>1928</v>
      </c>
      <c r="C52" s="147"/>
      <c r="D52" s="147"/>
      <c r="E52" s="147"/>
      <c r="F52" s="224"/>
    </row>
    <row r="53" spans="1:6" x14ac:dyDescent="0.25">
      <c r="A53" s="252" t="s">
        <v>2070</v>
      </c>
      <c r="B53" s="252" t="s">
        <v>553</v>
      </c>
      <c r="C53" s="147"/>
      <c r="D53" s="147"/>
      <c r="E53" s="147"/>
      <c r="F53" s="224"/>
    </row>
    <row r="54" spans="1:6" x14ac:dyDescent="0.25">
      <c r="A54" s="252" t="s">
        <v>1983</v>
      </c>
      <c r="B54" s="252" t="s">
        <v>852</v>
      </c>
      <c r="C54" s="147"/>
      <c r="D54" s="147"/>
      <c r="E54" s="147"/>
      <c r="F54" s="224"/>
    </row>
    <row r="55" spans="1:6" x14ac:dyDescent="0.25">
      <c r="A55" s="252" t="s">
        <v>2198</v>
      </c>
      <c r="B55" s="252" t="s">
        <v>2199</v>
      </c>
      <c r="C55" s="147"/>
      <c r="D55" s="147"/>
      <c r="E55" s="147"/>
      <c r="F55" s="224"/>
    </row>
    <row r="56" spans="1:6" x14ac:dyDescent="0.25">
      <c r="A56" s="252" t="s">
        <v>1921</v>
      </c>
      <c r="B56" s="252" t="s">
        <v>1922</v>
      </c>
      <c r="C56" s="147"/>
      <c r="D56" s="147"/>
      <c r="E56" s="147"/>
      <c r="F56" s="224"/>
    </row>
    <row r="57" spans="1:6" x14ac:dyDescent="0.25">
      <c r="A57" s="252" t="s">
        <v>2086</v>
      </c>
      <c r="B57" s="252" t="s">
        <v>563</v>
      </c>
      <c r="C57" s="147"/>
      <c r="D57" s="147"/>
      <c r="E57" s="147"/>
      <c r="F57" s="224"/>
    </row>
    <row r="58" spans="1:6" x14ac:dyDescent="0.25">
      <c r="A58" s="252" t="s">
        <v>1953</v>
      </c>
      <c r="B58" s="252" t="s">
        <v>1954</v>
      </c>
      <c r="C58" s="147"/>
      <c r="D58" s="147"/>
      <c r="E58" s="147"/>
      <c r="F58" s="224"/>
    </row>
    <row r="59" spans="1:6" x14ac:dyDescent="0.25">
      <c r="A59" s="252" t="s">
        <v>2124</v>
      </c>
      <c r="B59" s="252" t="s">
        <v>565</v>
      </c>
      <c r="C59" s="147"/>
      <c r="D59" s="147"/>
      <c r="E59" s="147"/>
      <c r="F59" s="224"/>
    </row>
    <row r="60" spans="1:6" x14ac:dyDescent="0.25">
      <c r="A60" s="252" t="s">
        <v>2092</v>
      </c>
      <c r="B60" s="252" t="s">
        <v>2093</v>
      </c>
      <c r="C60" s="147"/>
      <c r="D60" s="147"/>
      <c r="E60" s="147"/>
      <c r="F60" s="224"/>
    </row>
    <row r="61" spans="1:6" x14ac:dyDescent="0.25">
      <c r="A61" s="252" t="s">
        <v>2020</v>
      </c>
      <c r="B61" s="252" t="s">
        <v>2021</v>
      </c>
      <c r="C61" s="147"/>
      <c r="D61" s="147"/>
      <c r="E61" s="147"/>
      <c r="F61" s="224"/>
    </row>
    <row r="62" spans="1:6" x14ac:dyDescent="0.25">
      <c r="A62" s="252" t="s">
        <v>2032</v>
      </c>
      <c r="B62" s="252" t="s">
        <v>846</v>
      </c>
      <c r="C62" s="147"/>
      <c r="D62" s="147"/>
      <c r="E62" s="147"/>
      <c r="F62" s="224"/>
    </row>
    <row r="63" spans="1:6" x14ac:dyDescent="0.25">
      <c r="A63" s="252" t="s">
        <v>2098</v>
      </c>
      <c r="B63" s="252" t="s">
        <v>2099</v>
      </c>
      <c r="C63" s="147"/>
      <c r="D63" s="147"/>
      <c r="E63" s="147"/>
      <c r="F63" s="224"/>
    </row>
    <row r="64" spans="1:6" x14ac:dyDescent="0.25">
      <c r="A64" s="252" t="s">
        <v>1963</v>
      </c>
      <c r="B64" s="252" t="s">
        <v>1964</v>
      </c>
      <c r="C64" s="147"/>
      <c r="D64" s="147"/>
      <c r="E64" s="147"/>
      <c r="F64" s="224"/>
    </row>
    <row r="65" spans="1:6" x14ac:dyDescent="0.25">
      <c r="A65" s="252" t="s">
        <v>2059</v>
      </c>
      <c r="B65" s="252" t="s">
        <v>2060</v>
      </c>
      <c r="C65" s="147"/>
      <c r="D65" s="147"/>
      <c r="E65" s="147"/>
      <c r="F65" s="224"/>
    </row>
    <row r="66" spans="1:6" x14ac:dyDescent="0.25">
      <c r="A66" s="252" t="s">
        <v>2013</v>
      </c>
      <c r="B66" s="252" t="s">
        <v>2014</v>
      </c>
      <c r="C66" s="147"/>
      <c r="D66" s="147"/>
      <c r="E66" s="147"/>
      <c r="F66" s="224"/>
    </row>
    <row r="67" spans="1:6" x14ac:dyDescent="0.25">
      <c r="A67" s="252" t="s">
        <v>1977</v>
      </c>
      <c r="B67" s="252" t="s">
        <v>1978</v>
      </c>
      <c r="C67" s="147"/>
      <c r="D67" s="147"/>
      <c r="E67" s="147"/>
      <c r="F67" s="224"/>
    </row>
    <row r="68" spans="1:6" x14ac:dyDescent="0.25">
      <c r="A68" s="252" t="s">
        <v>2342</v>
      </c>
      <c r="B68" s="252" t="s">
        <v>2343</v>
      </c>
      <c r="C68" s="147"/>
      <c r="D68" s="147"/>
      <c r="E68" s="147"/>
      <c r="F68" s="224"/>
    </row>
    <row r="69" spans="1:6" x14ac:dyDescent="0.25">
      <c r="A69" s="252" t="s">
        <v>2119</v>
      </c>
      <c r="B69" s="252" t="s">
        <v>2120</v>
      </c>
      <c r="C69" s="147"/>
      <c r="D69" s="147"/>
      <c r="E69" s="147"/>
      <c r="F69" s="224"/>
    </row>
    <row r="70" spans="1:6" x14ac:dyDescent="0.25">
      <c r="A70" s="252" t="s">
        <v>2096</v>
      </c>
      <c r="B70" s="252" t="s">
        <v>2097</v>
      </c>
      <c r="C70" s="147"/>
      <c r="D70" s="147"/>
      <c r="E70" s="147"/>
      <c r="F70" s="224"/>
    </row>
    <row r="71" spans="1:6" x14ac:dyDescent="0.25">
      <c r="A71" s="252" t="s">
        <v>2140</v>
      </c>
      <c r="B71" s="252" t="s">
        <v>2141</v>
      </c>
      <c r="C71" s="147"/>
      <c r="D71" s="147"/>
      <c r="E71" s="147"/>
      <c r="F71" s="224"/>
    </row>
    <row r="72" spans="1:6" x14ac:dyDescent="0.25">
      <c r="A72" s="252" t="s">
        <v>2280</v>
      </c>
      <c r="B72" s="252" t="s">
        <v>2281</v>
      </c>
      <c r="C72" s="147"/>
      <c r="D72" s="147"/>
      <c r="E72" s="147"/>
      <c r="F72" s="224"/>
    </row>
    <row r="73" spans="1:6" x14ac:dyDescent="0.25">
      <c r="A73" s="252" t="s">
        <v>2071</v>
      </c>
      <c r="B73" s="252" t="s">
        <v>2072</v>
      </c>
      <c r="C73" s="147"/>
      <c r="D73" s="147"/>
      <c r="E73" s="147"/>
      <c r="F73" s="224"/>
    </row>
    <row r="74" spans="1:6" x14ac:dyDescent="0.25">
      <c r="A74" s="252" t="s">
        <v>2123</v>
      </c>
      <c r="B74" s="252" t="s">
        <v>501</v>
      </c>
      <c r="C74" s="147"/>
      <c r="D74" s="147"/>
      <c r="E74" s="147"/>
      <c r="F74" s="224"/>
    </row>
    <row r="75" spans="1:6" x14ac:dyDescent="0.25">
      <c r="A75" s="252" t="s">
        <v>1809</v>
      </c>
      <c r="B75" s="252" t="s">
        <v>1810</v>
      </c>
      <c r="C75" s="147"/>
      <c r="D75" s="147"/>
      <c r="E75" s="147"/>
      <c r="F75" s="224"/>
    </row>
    <row r="76" spans="1:6" x14ac:dyDescent="0.25">
      <c r="A76" s="252" t="s">
        <v>1823</v>
      </c>
      <c r="B76" s="252" t="s">
        <v>1824</v>
      </c>
      <c r="C76" s="147"/>
      <c r="D76" s="147"/>
      <c r="E76" s="147"/>
      <c r="F76" s="224"/>
    </row>
    <row r="77" spans="1:6" x14ac:dyDescent="0.25">
      <c r="A77" s="252" t="s">
        <v>2296</v>
      </c>
      <c r="B77" s="252" t="s">
        <v>2297</v>
      </c>
      <c r="C77" s="147"/>
      <c r="D77" s="147"/>
      <c r="E77" s="147"/>
      <c r="F77" s="224"/>
    </row>
    <row r="78" spans="1:6" x14ac:dyDescent="0.25">
      <c r="A78" s="252" t="s">
        <v>2304</v>
      </c>
      <c r="B78" s="252" t="s">
        <v>2305</v>
      </c>
      <c r="C78" s="147"/>
      <c r="D78" s="147"/>
      <c r="E78" s="147"/>
      <c r="F78" s="224"/>
    </row>
    <row r="79" spans="1:6" x14ac:dyDescent="0.25">
      <c r="A79" s="252" t="s">
        <v>2005</v>
      </c>
      <c r="B79" s="252" t="s">
        <v>2006</v>
      </c>
      <c r="C79" s="147"/>
      <c r="D79" s="147"/>
      <c r="E79" s="147"/>
      <c r="F79" s="224"/>
    </row>
    <row r="80" spans="1:6" x14ac:dyDescent="0.25">
      <c r="A80" s="252" t="s">
        <v>1829</v>
      </c>
      <c r="B80" s="252" t="s">
        <v>1830</v>
      </c>
      <c r="C80" s="147"/>
      <c r="D80" s="147"/>
      <c r="E80" s="147"/>
      <c r="F80" s="224"/>
    </row>
    <row r="81" spans="1:6" x14ac:dyDescent="0.25">
      <c r="A81" s="252" t="s">
        <v>2102</v>
      </c>
      <c r="B81" s="252" t="s">
        <v>2103</v>
      </c>
      <c r="C81" s="147"/>
      <c r="D81" s="147"/>
      <c r="E81" s="147"/>
      <c r="F81" s="224"/>
    </row>
    <row r="82" spans="1:6" x14ac:dyDescent="0.25">
      <c r="A82" s="252" t="s">
        <v>1817</v>
      </c>
      <c r="B82" s="252" t="s">
        <v>1818</v>
      </c>
      <c r="C82" s="147"/>
      <c r="D82" s="147"/>
      <c r="E82" s="147"/>
      <c r="F82" s="224"/>
    </row>
    <row r="83" spans="1:6" x14ac:dyDescent="0.25">
      <c r="A83" s="252" t="s">
        <v>2115</v>
      </c>
      <c r="B83" s="252" t="s">
        <v>2116</v>
      </c>
      <c r="C83" s="147"/>
      <c r="D83" s="147"/>
      <c r="E83" s="147"/>
      <c r="F83" s="224"/>
    </row>
    <row r="84" spans="1:6" x14ac:dyDescent="0.25">
      <c r="A84" s="252" t="s">
        <v>1857</v>
      </c>
      <c r="B84" s="252" t="s">
        <v>1858</v>
      </c>
      <c r="C84" s="147"/>
      <c r="D84" s="147"/>
      <c r="E84" s="147"/>
      <c r="F84" s="224"/>
    </row>
    <row r="85" spans="1:6" x14ac:dyDescent="0.25">
      <c r="A85" s="252" t="s">
        <v>2223</v>
      </c>
      <c r="B85" s="252" t="s">
        <v>2224</v>
      </c>
      <c r="C85" s="147"/>
      <c r="D85" s="147"/>
      <c r="E85" s="147"/>
      <c r="F85" s="224"/>
    </row>
    <row r="86" spans="1:6" x14ac:dyDescent="0.25">
      <c r="A86" s="252" t="s">
        <v>3557</v>
      </c>
      <c r="B86" s="252" t="s">
        <v>3558</v>
      </c>
      <c r="C86" s="147"/>
      <c r="D86" s="147"/>
      <c r="E86" s="147"/>
      <c r="F86" s="224"/>
    </row>
    <row r="87" spans="1:6" x14ac:dyDescent="0.25">
      <c r="A87" s="252" t="s">
        <v>2011</v>
      </c>
      <c r="B87" s="252" t="s">
        <v>2012</v>
      </c>
      <c r="C87" s="147"/>
      <c r="D87" s="147"/>
      <c r="E87" s="147"/>
      <c r="F87" s="224"/>
    </row>
    <row r="88" spans="1:6" x14ac:dyDescent="0.25">
      <c r="A88" s="252" t="s">
        <v>1861</v>
      </c>
      <c r="B88" s="252" t="s">
        <v>1862</v>
      </c>
      <c r="C88" s="147"/>
      <c r="D88" s="147"/>
      <c r="E88" s="147"/>
      <c r="F88" s="224"/>
    </row>
    <row r="89" spans="1:6" x14ac:dyDescent="0.25">
      <c r="A89" s="252" t="s">
        <v>2234</v>
      </c>
      <c r="B89" s="252" t="s">
        <v>2235</v>
      </c>
      <c r="C89" s="147"/>
      <c r="D89" s="147"/>
      <c r="E89" s="147"/>
      <c r="F89" s="224"/>
    </row>
    <row r="90" spans="1:6" x14ac:dyDescent="0.25">
      <c r="A90" s="252" t="s">
        <v>2221</v>
      </c>
      <c r="B90" s="252" t="s">
        <v>2222</v>
      </c>
      <c r="C90" s="147"/>
      <c r="D90" s="147"/>
      <c r="E90" s="147"/>
      <c r="F90" s="224"/>
    </row>
    <row r="91" spans="1:6" x14ac:dyDescent="0.25">
      <c r="A91" s="252" t="s">
        <v>3587</v>
      </c>
      <c r="B91" s="252" t="s">
        <v>3588</v>
      </c>
      <c r="C91" s="147"/>
      <c r="D91" s="147"/>
      <c r="E91" s="147"/>
      <c r="F91" s="224"/>
    </row>
    <row r="92" spans="1:6" x14ac:dyDescent="0.25">
      <c r="A92" s="252" t="s">
        <v>2205</v>
      </c>
      <c r="B92" s="252" t="s">
        <v>2206</v>
      </c>
      <c r="C92" s="147"/>
      <c r="D92" s="147"/>
      <c r="E92" s="147"/>
      <c r="F92" s="224"/>
    </row>
    <row r="93" spans="1:6" x14ac:dyDescent="0.25">
      <c r="A93" s="252" t="s">
        <v>2117</v>
      </c>
      <c r="B93" s="252" t="s">
        <v>2118</v>
      </c>
      <c r="C93" s="147"/>
      <c r="D93" s="147"/>
      <c r="E93" s="147"/>
      <c r="F93" s="224"/>
    </row>
    <row r="94" spans="1:6" x14ac:dyDescent="0.25">
      <c r="A94" s="252" t="s">
        <v>2080</v>
      </c>
      <c r="B94" s="252" t="s">
        <v>2081</v>
      </c>
      <c r="C94" s="147"/>
      <c r="D94" s="147"/>
      <c r="E94" s="147"/>
      <c r="F94" s="224"/>
    </row>
    <row r="95" spans="1:6" x14ac:dyDescent="0.25">
      <c r="A95" s="252" t="s">
        <v>2111</v>
      </c>
      <c r="B95" s="252" t="s">
        <v>2112</v>
      </c>
      <c r="C95" s="147"/>
      <c r="D95" s="147"/>
      <c r="E95" s="147"/>
      <c r="F95" s="224"/>
    </row>
    <row r="96" spans="1:6" x14ac:dyDescent="0.25">
      <c r="A96" s="252" t="s">
        <v>1945</v>
      </c>
      <c r="B96" s="252" t="s">
        <v>1946</v>
      </c>
      <c r="C96" s="147"/>
      <c r="D96" s="147"/>
      <c r="E96" s="147"/>
      <c r="F96" s="224"/>
    </row>
    <row r="97" spans="1:6" x14ac:dyDescent="0.25">
      <c r="A97" s="252" t="s">
        <v>2214</v>
      </c>
      <c r="B97" s="252" t="s">
        <v>2215</v>
      </c>
      <c r="C97" s="147"/>
      <c r="D97" s="147"/>
      <c r="E97" s="147"/>
      <c r="F97" s="224"/>
    </row>
    <row r="98" spans="1:6" x14ac:dyDescent="0.25">
      <c r="A98" s="252" t="s">
        <v>2057</v>
      </c>
      <c r="B98" s="252" t="s">
        <v>2058</v>
      </c>
      <c r="C98" s="147"/>
      <c r="D98" s="147"/>
      <c r="E98" s="147"/>
      <c r="F98" s="224"/>
    </row>
    <row r="99" spans="1:6" x14ac:dyDescent="0.25">
      <c r="A99" s="252" t="s">
        <v>2254</v>
      </c>
      <c r="B99" s="252" t="s">
        <v>2255</v>
      </c>
      <c r="C99" s="147"/>
      <c r="D99" s="147"/>
      <c r="E99" s="147"/>
      <c r="F99" s="224"/>
    </row>
    <row r="100" spans="1:6" x14ac:dyDescent="0.25">
      <c r="A100" s="252" t="s">
        <v>2382</v>
      </c>
      <c r="B100" s="252" t="s">
        <v>2383</v>
      </c>
      <c r="C100" s="147"/>
      <c r="D100" s="147"/>
      <c r="E100" s="147"/>
      <c r="F100" s="224"/>
    </row>
    <row r="101" spans="1:6" x14ac:dyDescent="0.25">
      <c r="A101" s="252" t="s">
        <v>2037</v>
      </c>
      <c r="B101" s="252" t="s">
        <v>2038</v>
      </c>
      <c r="C101" s="147"/>
      <c r="D101" s="147"/>
      <c r="E101" s="147"/>
      <c r="F101" s="224"/>
    </row>
    <row r="102" spans="1:6" x14ac:dyDescent="0.25">
      <c r="A102" s="252" t="s">
        <v>2121</v>
      </c>
      <c r="B102" s="252" t="s">
        <v>2122</v>
      </c>
      <c r="C102" s="147"/>
      <c r="D102" s="147"/>
      <c r="E102" s="147"/>
      <c r="F102" s="224"/>
    </row>
    <row r="103" spans="1:6" x14ac:dyDescent="0.25">
      <c r="A103" s="252" t="s">
        <v>2190</v>
      </c>
      <c r="B103" s="252" t="s">
        <v>2191</v>
      </c>
      <c r="C103" s="147"/>
      <c r="D103" s="147"/>
      <c r="E103" s="147"/>
      <c r="F103" s="224"/>
    </row>
    <row r="104" spans="1:6" x14ac:dyDescent="0.25">
      <c r="A104" s="252" t="s">
        <v>1867</v>
      </c>
      <c r="B104" s="252" t="s">
        <v>1868</v>
      </c>
      <c r="C104" s="147"/>
      <c r="D104" s="147"/>
      <c r="E104" s="147"/>
      <c r="F104" s="224"/>
    </row>
    <row r="105" spans="1:6" x14ac:dyDescent="0.25">
      <c r="A105" s="252" t="s">
        <v>1847</v>
      </c>
      <c r="B105" s="252" t="s">
        <v>1848</v>
      </c>
      <c r="C105" s="147"/>
      <c r="D105" s="147"/>
      <c r="E105" s="147"/>
      <c r="F105" s="224"/>
    </row>
    <row r="106" spans="1:6" x14ac:dyDescent="0.25">
      <c r="A106" s="252" t="s">
        <v>1819</v>
      </c>
      <c r="B106" s="252" t="s">
        <v>1820</v>
      </c>
      <c r="C106" s="147"/>
      <c r="D106" s="147"/>
      <c r="E106" s="147"/>
      <c r="F106" s="224"/>
    </row>
    <row r="107" spans="1:6" x14ac:dyDescent="0.25">
      <c r="A107" s="252" t="s">
        <v>1987</v>
      </c>
      <c r="B107" s="252" t="s">
        <v>1988</v>
      </c>
      <c r="C107" s="147"/>
      <c r="D107" s="147"/>
      <c r="E107" s="147"/>
      <c r="F107" s="224"/>
    </row>
    <row r="108" spans="1:6" x14ac:dyDescent="0.25">
      <c r="A108" s="252" t="s">
        <v>1871</v>
      </c>
      <c r="B108" s="252" t="s">
        <v>1872</v>
      </c>
      <c r="C108" s="147"/>
      <c r="D108" s="147"/>
      <c r="E108" s="147"/>
      <c r="F108" s="224"/>
    </row>
    <row r="109" spans="1:6" x14ac:dyDescent="0.25">
      <c r="A109" s="252" t="s">
        <v>2055</v>
      </c>
      <c r="B109" s="252" t="s">
        <v>842</v>
      </c>
      <c r="C109" s="147"/>
      <c r="D109" s="147"/>
      <c r="E109" s="147"/>
      <c r="F109" s="224"/>
    </row>
    <row r="110" spans="1:6" x14ac:dyDescent="0.25">
      <c r="A110" s="252" t="s">
        <v>2156</v>
      </c>
      <c r="B110" s="252" t="s">
        <v>850</v>
      </c>
      <c r="C110" s="147"/>
      <c r="D110" s="147"/>
      <c r="E110" s="147"/>
      <c r="F110" s="224"/>
    </row>
    <row r="111" spans="1:6" x14ac:dyDescent="0.25">
      <c r="A111" s="252" t="s">
        <v>2085</v>
      </c>
      <c r="B111" s="252" t="s">
        <v>862</v>
      </c>
      <c r="C111" s="147"/>
      <c r="D111" s="147"/>
      <c r="E111" s="147"/>
      <c r="F111" s="224"/>
    </row>
    <row r="112" spans="1:6" x14ac:dyDescent="0.25">
      <c r="A112" s="252" t="s">
        <v>2388</v>
      </c>
      <c r="B112" s="252" t="s">
        <v>2389</v>
      </c>
      <c r="C112" s="147"/>
      <c r="D112" s="147"/>
      <c r="E112" s="147"/>
      <c r="F112" s="224"/>
    </row>
    <row r="113" spans="1:6" x14ac:dyDescent="0.25">
      <c r="A113" s="252" t="s">
        <v>2279</v>
      </c>
      <c r="B113" s="252" t="s">
        <v>570</v>
      </c>
      <c r="C113" s="147"/>
      <c r="D113" s="147"/>
      <c r="E113" s="147"/>
      <c r="F113" s="224"/>
    </row>
    <row r="114" spans="1:6" x14ac:dyDescent="0.25">
      <c r="A114" s="252" t="s">
        <v>2084</v>
      </c>
      <c r="B114" s="252" t="s">
        <v>836</v>
      </c>
      <c r="C114" s="147"/>
      <c r="D114" s="147"/>
      <c r="E114" s="147"/>
      <c r="F114" s="224"/>
    </row>
    <row r="115" spans="1:6" x14ac:dyDescent="0.25">
      <c r="A115" s="252" t="s">
        <v>2173</v>
      </c>
      <c r="B115" s="252" t="s">
        <v>2174</v>
      </c>
      <c r="C115" s="147"/>
      <c r="D115" s="147"/>
      <c r="E115" s="147"/>
      <c r="F115" s="224"/>
    </row>
    <row r="116" spans="1:6" x14ac:dyDescent="0.25">
      <c r="A116" s="252" t="s">
        <v>2257</v>
      </c>
      <c r="B116" s="252" t="s">
        <v>2258</v>
      </c>
      <c r="C116" s="147"/>
      <c r="D116" s="147"/>
      <c r="E116" s="147"/>
      <c r="F116" s="224"/>
    </row>
    <row r="117" spans="1:6" x14ac:dyDescent="0.25">
      <c r="A117" s="252" t="s">
        <v>1967</v>
      </c>
      <c r="B117" s="252" t="s">
        <v>1968</v>
      </c>
      <c r="C117" s="147"/>
      <c r="D117" s="147"/>
      <c r="E117" s="147"/>
      <c r="F117" s="224"/>
    </row>
    <row r="118" spans="1:6" x14ac:dyDescent="0.25">
      <c r="A118" s="252" t="s">
        <v>2203</v>
      </c>
      <c r="B118" s="252" t="s">
        <v>2204</v>
      </c>
      <c r="C118" s="147"/>
      <c r="D118" s="147"/>
      <c r="E118" s="147"/>
      <c r="F118" s="224"/>
    </row>
    <row r="119" spans="1:6" x14ac:dyDescent="0.25">
      <c r="A119" s="252" t="s">
        <v>2160</v>
      </c>
      <c r="B119" s="252" t="s">
        <v>2161</v>
      </c>
      <c r="C119" s="147"/>
      <c r="D119" s="147"/>
      <c r="E119" s="147"/>
      <c r="F119" s="224"/>
    </row>
    <row r="120" spans="1:6" x14ac:dyDescent="0.25">
      <c r="A120" s="252" t="s">
        <v>2104</v>
      </c>
      <c r="B120" s="252" t="s">
        <v>807</v>
      </c>
      <c r="C120" s="147"/>
      <c r="D120" s="147"/>
      <c r="E120" s="147"/>
      <c r="F120" s="224"/>
    </row>
    <row r="121" spans="1:6" x14ac:dyDescent="0.25">
      <c r="A121" s="252" t="s">
        <v>2212</v>
      </c>
      <c r="B121" s="252" t="s">
        <v>543</v>
      </c>
      <c r="C121" s="147"/>
      <c r="D121" s="147"/>
      <c r="E121" s="147"/>
      <c r="F121" s="224"/>
    </row>
    <row r="122" spans="1:6" x14ac:dyDescent="0.25">
      <c r="A122" s="252" t="s">
        <v>2192</v>
      </c>
      <c r="B122" s="252" t="s">
        <v>2193</v>
      </c>
      <c r="C122" s="147"/>
      <c r="D122" s="147"/>
      <c r="E122" s="147"/>
      <c r="F122" s="224"/>
    </row>
    <row r="123" spans="1:6" x14ac:dyDescent="0.25">
      <c r="A123" s="252" t="s">
        <v>2263</v>
      </c>
      <c r="B123" s="252" t="s">
        <v>2264</v>
      </c>
      <c r="C123" s="147"/>
      <c r="D123" s="147"/>
      <c r="E123" s="147"/>
      <c r="F123" s="224"/>
    </row>
    <row r="124" spans="1:6" x14ac:dyDescent="0.25">
      <c r="A124" s="252" t="s">
        <v>2230</v>
      </c>
      <c r="B124" s="252" t="s">
        <v>2231</v>
      </c>
      <c r="C124" s="147"/>
      <c r="D124" s="147"/>
      <c r="E124" s="147"/>
      <c r="F124" s="224"/>
    </row>
    <row r="125" spans="1:6" x14ac:dyDescent="0.25">
      <c r="A125" s="252" t="s">
        <v>2137</v>
      </c>
      <c r="B125" s="252" t="s">
        <v>2138</v>
      </c>
      <c r="C125" s="147"/>
      <c r="D125" s="147"/>
      <c r="E125" s="147"/>
      <c r="F125" s="224"/>
    </row>
    <row r="126" spans="1:6" x14ac:dyDescent="0.25">
      <c r="A126" s="252" t="s">
        <v>2315</v>
      </c>
      <c r="B126" s="252" t="s">
        <v>2316</v>
      </c>
      <c r="C126" s="147"/>
      <c r="D126" s="147"/>
      <c r="E126" s="147"/>
      <c r="F126" s="224"/>
    </row>
    <row r="127" spans="1:6" x14ac:dyDescent="0.25">
      <c r="A127" s="252" t="s">
        <v>2064</v>
      </c>
      <c r="B127" s="252" t="s">
        <v>2065</v>
      </c>
      <c r="C127" s="147"/>
      <c r="D127" s="147"/>
      <c r="E127" s="147"/>
      <c r="F127" s="224"/>
    </row>
    <row r="128" spans="1:6" x14ac:dyDescent="0.25">
      <c r="A128" s="252" t="s">
        <v>1919</v>
      </c>
      <c r="B128" s="252" t="s">
        <v>1920</v>
      </c>
      <c r="C128" s="147"/>
      <c r="D128" s="147"/>
      <c r="E128" s="147"/>
      <c r="F128" s="224"/>
    </row>
    <row r="129" spans="1:6" x14ac:dyDescent="0.25">
      <c r="A129" s="252" t="s">
        <v>2024</v>
      </c>
      <c r="B129" s="252" t="s">
        <v>2025</v>
      </c>
      <c r="C129" s="147"/>
      <c r="D129" s="147"/>
      <c r="E129" s="147"/>
      <c r="F129" s="224"/>
    </row>
    <row r="130" spans="1:6" x14ac:dyDescent="0.25">
      <c r="A130" s="252" t="s">
        <v>2384</v>
      </c>
      <c r="B130" s="252" t="s">
        <v>2385</v>
      </c>
      <c r="C130" s="147"/>
      <c r="D130" s="147"/>
      <c r="E130" s="147"/>
      <c r="F130" s="224"/>
    </row>
    <row r="131" spans="1:6" x14ac:dyDescent="0.25">
      <c r="A131" s="252" t="s">
        <v>1875</v>
      </c>
      <c r="B131" s="252" t="s">
        <v>1876</v>
      </c>
      <c r="C131" s="147"/>
      <c r="D131" s="147"/>
      <c r="E131" s="147"/>
      <c r="F131" s="224"/>
    </row>
    <row r="132" spans="1:6" x14ac:dyDescent="0.25">
      <c r="A132" s="252" t="s">
        <v>1859</v>
      </c>
      <c r="B132" s="252" t="s">
        <v>1860</v>
      </c>
      <c r="C132" s="147"/>
      <c r="D132" s="147"/>
      <c r="E132" s="147"/>
      <c r="F132" s="224"/>
    </row>
    <row r="133" spans="1:6" x14ac:dyDescent="0.25">
      <c r="A133" s="252" t="s">
        <v>2105</v>
      </c>
      <c r="B133" s="252" t="s">
        <v>2106</v>
      </c>
      <c r="C133" s="147"/>
      <c r="D133" s="147"/>
      <c r="E133" s="147"/>
      <c r="F133" s="224"/>
    </row>
    <row r="134" spans="1:6" x14ac:dyDescent="0.25">
      <c r="A134" s="252" t="s">
        <v>2142</v>
      </c>
      <c r="B134" s="252" t="s">
        <v>2143</v>
      </c>
      <c r="C134" s="147"/>
      <c r="D134" s="147"/>
      <c r="E134" s="147"/>
      <c r="F134" s="224"/>
    </row>
    <row r="135" spans="1:6" x14ac:dyDescent="0.25">
      <c r="A135" s="252" t="s">
        <v>3573</v>
      </c>
      <c r="B135" s="252" t="s">
        <v>3574</v>
      </c>
      <c r="C135" s="147"/>
      <c r="D135" s="147"/>
      <c r="E135" s="147"/>
      <c r="F135" s="224"/>
    </row>
    <row r="136" spans="1:6" x14ac:dyDescent="0.25">
      <c r="A136" s="252" t="s">
        <v>2270</v>
      </c>
      <c r="B136" s="252" t="s">
        <v>2271</v>
      </c>
      <c r="C136" s="147"/>
      <c r="D136" s="147"/>
      <c r="E136" s="147"/>
      <c r="F136" s="224"/>
    </row>
    <row r="137" spans="1:6" x14ac:dyDescent="0.25">
      <c r="A137" s="252" t="s">
        <v>1992</v>
      </c>
      <c r="B137" s="252" t="s">
        <v>1993</v>
      </c>
      <c r="C137" s="147"/>
      <c r="D137" s="147"/>
      <c r="E137" s="147"/>
      <c r="F137" s="224"/>
    </row>
    <row r="138" spans="1:6" x14ac:dyDescent="0.25">
      <c r="A138" s="252" t="s">
        <v>3579</v>
      </c>
      <c r="B138" s="252" t="s">
        <v>3580</v>
      </c>
      <c r="C138" s="147"/>
      <c r="D138" s="147"/>
      <c r="E138" s="147"/>
      <c r="F138" s="224"/>
    </row>
    <row r="139" spans="1:6" x14ac:dyDescent="0.25">
      <c r="A139" s="252" t="s">
        <v>2213</v>
      </c>
      <c r="B139" s="252" t="s">
        <v>545</v>
      </c>
      <c r="C139" s="147"/>
      <c r="D139" s="147"/>
      <c r="E139" s="147"/>
      <c r="F139" s="224"/>
    </row>
    <row r="140" spans="1:6" x14ac:dyDescent="0.25">
      <c r="A140" s="252" t="s">
        <v>2179</v>
      </c>
      <c r="B140" s="252" t="s">
        <v>2180</v>
      </c>
      <c r="C140" s="147"/>
      <c r="D140" s="147"/>
      <c r="E140" s="147"/>
      <c r="F140" s="224"/>
    </row>
    <row r="141" spans="1:6" x14ac:dyDescent="0.25">
      <c r="A141" s="252" t="s">
        <v>2109</v>
      </c>
      <c r="B141" s="252" t="s">
        <v>2110</v>
      </c>
      <c r="C141" s="147"/>
      <c r="D141" s="147"/>
      <c r="E141" s="147"/>
      <c r="F141" s="224"/>
    </row>
    <row r="142" spans="1:6" x14ac:dyDescent="0.25">
      <c r="A142" s="252" t="s">
        <v>1886</v>
      </c>
      <c r="B142" s="252" t="s">
        <v>1887</v>
      </c>
      <c r="C142" s="147"/>
      <c r="D142" s="147"/>
      <c r="E142" s="147"/>
      <c r="F142" s="224"/>
    </row>
    <row r="143" spans="1:6" x14ac:dyDescent="0.25">
      <c r="A143" s="252" t="s">
        <v>2061</v>
      </c>
      <c r="B143" s="252" t="s">
        <v>2062</v>
      </c>
      <c r="C143" s="147"/>
      <c r="D143" s="147"/>
      <c r="E143" s="147"/>
      <c r="F143" s="224"/>
    </row>
    <row r="144" spans="1:6" x14ac:dyDescent="0.25">
      <c r="A144" s="252" t="s">
        <v>2216</v>
      </c>
      <c r="B144" s="252" t="s">
        <v>2217</v>
      </c>
      <c r="C144" s="147"/>
      <c r="D144" s="147"/>
      <c r="E144" s="147"/>
      <c r="F144" s="224"/>
    </row>
    <row r="145" spans="1:6" x14ac:dyDescent="0.25">
      <c r="A145" s="252" t="s">
        <v>2146</v>
      </c>
      <c r="B145" s="252" t="s">
        <v>2147</v>
      </c>
      <c r="C145" s="147"/>
      <c r="D145" s="147"/>
      <c r="E145" s="147"/>
      <c r="F145" s="224"/>
    </row>
    <row r="146" spans="1:6" x14ac:dyDescent="0.25">
      <c r="A146" s="252" t="s">
        <v>2127</v>
      </c>
      <c r="B146" s="252" t="s">
        <v>571</v>
      </c>
      <c r="C146" s="147"/>
      <c r="D146" s="147"/>
      <c r="E146" s="147"/>
      <c r="F146" s="224"/>
    </row>
    <row r="147" spans="1:6" x14ac:dyDescent="0.25">
      <c r="A147" s="252" t="s">
        <v>2151</v>
      </c>
      <c r="B147" s="252" t="s">
        <v>2152</v>
      </c>
      <c r="C147" s="147"/>
      <c r="D147" s="147"/>
      <c r="E147" s="147"/>
      <c r="F147" s="224"/>
    </row>
    <row r="148" spans="1:6" x14ac:dyDescent="0.25">
      <c r="A148" s="252" t="s">
        <v>2047</v>
      </c>
      <c r="B148" s="252" t="s">
        <v>2048</v>
      </c>
      <c r="C148" s="147"/>
      <c r="D148" s="147"/>
      <c r="E148" s="147"/>
      <c r="F148" s="224"/>
    </row>
    <row r="149" spans="1:6" x14ac:dyDescent="0.25">
      <c r="A149" s="252" t="s">
        <v>2327</v>
      </c>
      <c r="B149" s="252" t="s">
        <v>2328</v>
      </c>
      <c r="C149" s="147"/>
      <c r="D149" s="147"/>
      <c r="E149" s="147"/>
      <c r="F149" s="224"/>
    </row>
    <row r="150" spans="1:6" x14ac:dyDescent="0.25">
      <c r="A150" s="252" t="s">
        <v>1815</v>
      </c>
      <c r="B150" s="252" t="s">
        <v>1816</v>
      </c>
      <c r="C150" s="147"/>
      <c r="D150" s="147"/>
      <c r="E150" s="147"/>
      <c r="F150" s="224"/>
    </row>
    <row r="151" spans="1:6" x14ac:dyDescent="0.25">
      <c r="A151" s="252" t="s">
        <v>1957</v>
      </c>
      <c r="B151" s="252" t="s">
        <v>1958</v>
      </c>
      <c r="C151" s="147"/>
      <c r="D151" s="147"/>
      <c r="E151" s="147"/>
      <c r="F151" s="224"/>
    </row>
    <row r="152" spans="1:6" x14ac:dyDescent="0.25">
      <c r="A152" s="252" t="s">
        <v>2169</v>
      </c>
      <c r="B152" s="252" t="s">
        <v>2170</v>
      </c>
      <c r="C152" s="147"/>
      <c r="D152" s="147"/>
      <c r="E152" s="147"/>
      <c r="F152" s="224"/>
    </row>
    <row r="153" spans="1:6" x14ac:dyDescent="0.25">
      <c r="A153" s="252" t="s">
        <v>2372</v>
      </c>
      <c r="B153" s="252" t="s">
        <v>2373</v>
      </c>
      <c r="C153" s="147"/>
      <c r="D153" s="147"/>
      <c r="E153" s="147"/>
      <c r="F153" s="224"/>
    </row>
    <row r="154" spans="1:6" x14ac:dyDescent="0.25">
      <c r="A154" s="252" t="s">
        <v>2132</v>
      </c>
      <c r="B154" s="252" t="s">
        <v>2133</v>
      </c>
      <c r="C154" s="147"/>
      <c r="D154" s="147"/>
      <c r="E154" s="147"/>
      <c r="F154" s="224"/>
    </row>
    <row r="155" spans="1:6" x14ac:dyDescent="0.25">
      <c r="A155" s="252" t="s">
        <v>3551</v>
      </c>
      <c r="B155" s="252" t="s">
        <v>3552</v>
      </c>
      <c r="C155" s="147"/>
      <c r="D155" s="147"/>
      <c r="E155" s="147"/>
      <c r="F155" s="224"/>
    </row>
    <row r="156" spans="1:6" x14ac:dyDescent="0.25">
      <c r="A156" s="252" t="s">
        <v>1989</v>
      </c>
      <c r="B156" s="252" t="s">
        <v>1990</v>
      </c>
      <c r="C156" s="147"/>
      <c r="D156" s="147"/>
      <c r="E156" s="147"/>
      <c r="F156" s="224"/>
    </row>
    <row r="157" spans="1:6" x14ac:dyDescent="0.25">
      <c r="A157" s="252" t="s">
        <v>2181</v>
      </c>
      <c r="B157" s="252" t="s">
        <v>2182</v>
      </c>
      <c r="C157" s="147"/>
      <c r="D157" s="147"/>
      <c r="E157" s="147"/>
      <c r="F157" s="224"/>
    </row>
    <row r="158" spans="1:6" x14ac:dyDescent="0.25">
      <c r="A158" s="252" t="s">
        <v>2370</v>
      </c>
      <c r="B158" s="252" t="s">
        <v>2371</v>
      </c>
      <c r="C158" s="147"/>
      <c r="D158" s="147"/>
      <c r="E158" s="147"/>
      <c r="F158" s="224"/>
    </row>
    <row r="159" spans="1:6" x14ac:dyDescent="0.25">
      <c r="A159" s="252" t="s">
        <v>2378</v>
      </c>
      <c r="B159" s="252" t="s">
        <v>2379</v>
      </c>
      <c r="C159" s="147"/>
      <c r="D159" s="147"/>
      <c r="E159" s="147"/>
      <c r="F159" s="224"/>
    </row>
    <row r="160" spans="1:6" x14ac:dyDescent="0.25">
      <c r="A160" s="252" t="s">
        <v>2325</v>
      </c>
      <c r="B160" s="252" t="s">
        <v>2326</v>
      </c>
      <c r="C160" s="147"/>
      <c r="D160" s="147"/>
      <c r="E160" s="147"/>
      <c r="F160" s="224"/>
    </row>
    <row r="161" spans="1:6" x14ac:dyDescent="0.25">
      <c r="A161" s="252" t="s">
        <v>1949</v>
      </c>
      <c r="B161" s="252" t="s">
        <v>1950</v>
      </c>
      <c r="C161" s="147"/>
      <c r="D161" s="147"/>
      <c r="E161" s="147"/>
      <c r="F161" s="224"/>
    </row>
    <row r="162" spans="1:6" x14ac:dyDescent="0.25">
      <c r="A162" s="252" t="s">
        <v>2406</v>
      </c>
      <c r="B162" s="252" t="s">
        <v>2407</v>
      </c>
      <c r="C162" s="147"/>
      <c r="D162" s="147"/>
      <c r="E162" s="147"/>
      <c r="F162" s="224"/>
    </row>
    <row r="163" spans="1:6" x14ac:dyDescent="0.25">
      <c r="A163" s="252" t="s">
        <v>2207</v>
      </c>
      <c r="B163" s="252" t="s">
        <v>624</v>
      </c>
      <c r="C163" s="147"/>
      <c r="D163" s="147"/>
      <c r="E163" s="147"/>
      <c r="F163" s="224"/>
    </row>
    <row r="164" spans="1:6" x14ac:dyDescent="0.25">
      <c r="A164" s="252" t="s">
        <v>2068</v>
      </c>
      <c r="B164" s="252" t="s">
        <v>2069</v>
      </c>
      <c r="C164" s="147"/>
      <c r="D164" s="147"/>
      <c r="E164" s="147"/>
      <c r="F164" s="224"/>
    </row>
    <row r="165" spans="1:6" x14ac:dyDescent="0.25">
      <c r="A165" s="252" t="s">
        <v>2208</v>
      </c>
      <c r="B165" s="252" t="s">
        <v>2209</v>
      </c>
      <c r="C165" s="147"/>
      <c r="D165" s="147"/>
      <c r="E165" s="147"/>
      <c r="F165" s="224"/>
    </row>
    <row r="166" spans="1:6" x14ac:dyDescent="0.25">
      <c r="A166" s="252" t="s">
        <v>2306</v>
      </c>
      <c r="B166" s="252" t="s">
        <v>2307</v>
      </c>
      <c r="C166" s="147"/>
      <c r="D166" s="147"/>
      <c r="E166" s="147"/>
      <c r="F166" s="224"/>
    </row>
    <row r="167" spans="1:6" x14ac:dyDescent="0.25">
      <c r="A167" s="252" t="s">
        <v>2266</v>
      </c>
      <c r="B167" s="252" t="s">
        <v>854</v>
      </c>
      <c r="C167" s="147"/>
      <c r="D167" s="147"/>
      <c r="E167" s="147"/>
      <c r="F167" s="224"/>
    </row>
    <row r="168" spans="1:6" x14ac:dyDescent="0.25">
      <c r="A168" s="252" t="s">
        <v>2289</v>
      </c>
      <c r="B168" s="252" t="s">
        <v>2290</v>
      </c>
      <c r="C168" s="147"/>
      <c r="D168" s="147"/>
      <c r="E168" s="147"/>
      <c r="F168" s="224"/>
    </row>
    <row r="169" spans="1:6" x14ac:dyDescent="0.25">
      <c r="A169" s="252" t="s">
        <v>2041</v>
      </c>
      <c r="B169" s="252" t="s">
        <v>2042</v>
      </c>
      <c r="C169" s="147"/>
      <c r="D169" s="147"/>
      <c r="E169" s="147"/>
      <c r="F169" s="224"/>
    </row>
    <row r="170" spans="1:6" x14ac:dyDescent="0.25">
      <c r="A170" s="252" t="s">
        <v>2225</v>
      </c>
      <c r="B170" s="252" t="s">
        <v>2226</v>
      </c>
      <c r="C170" s="147"/>
      <c r="D170" s="147"/>
      <c r="E170" s="147"/>
      <c r="F170" s="224"/>
    </row>
    <row r="171" spans="1:6" x14ac:dyDescent="0.25">
      <c r="A171" s="252" t="s">
        <v>2157</v>
      </c>
      <c r="B171" s="252" t="s">
        <v>2158</v>
      </c>
      <c r="C171" s="147"/>
      <c r="D171" s="147"/>
      <c r="E171" s="147"/>
      <c r="F171" s="224"/>
    </row>
    <row r="172" spans="1:6" x14ac:dyDescent="0.25">
      <c r="A172" s="252" t="s">
        <v>2245</v>
      </c>
      <c r="B172" s="252" t="s">
        <v>2246</v>
      </c>
      <c r="C172" s="147"/>
      <c r="D172" s="147"/>
      <c r="E172" s="147"/>
      <c r="F172" s="224"/>
    </row>
    <row r="173" spans="1:6" x14ac:dyDescent="0.25">
      <c r="A173" s="252" t="s">
        <v>2362</v>
      </c>
      <c r="B173" s="252" t="s">
        <v>2363</v>
      </c>
      <c r="C173" s="147"/>
      <c r="D173" s="147"/>
      <c r="E173" s="147"/>
      <c r="F173" s="224"/>
    </row>
    <row r="174" spans="1:6" x14ac:dyDescent="0.25">
      <c r="A174" s="252" t="s">
        <v>2148</v>
      </c>
      <c r="B174" s="252" t="s">
        <v>2149</v>
      </c>
      <c r="C174" s="147"/>
      <c r="D174" s="147"/>
      <c r="E174" s="147"/>
      <c r="F174" s="224"/>
    </row>
    <row r="175" spans="1:6" x14ac:dyDescent="0.25">
      <c r="A175" s="252" t="s">
        <v>2282</v>
      </c>
      <c r="B175" s="252" t="s">
        <v>2283</v>
      </c>
      <c r="C175" s="147"/>
      <c r="D175" s="147"/>
      <c r="E175" s="147"/>
      <c r="F175" s="224"/>
    </row>
    <row r="176" spans="1:6" x14ac:dyDescent="0.25">
      <c r="A176" s="252" t="s">
        <v>2239</v>
      </c>
      <c r="B176" s="252" t="s">
        <v>838</v>
      </c>
      <c r="C176" s="147"/>
      <c r="D176" s="147"/>
      <c r="E176" s="147"/>
      <c r="F176" s="224"/>
    </row>
    <row r="177" spans="1:6" x14ac:dyDescent="0.25">
      <c r="A177" s="252" t="s">
        <v>2354</v>
      </c>
      <c r="B177" s="252" t="s">
        <v>2355</v>
      </c>
      <c r="C177" s="147"/>
      <c r="D177" s="147"/>
      <c r="E177" s="147"/>
      <c r="F177" s="224"/>
    </row>
    <row r="178" spans="1:6" x14ac:dyDescent="0.25">
      <c r="A178" s="252" t="s">
        <v>2344</v>
      </c>
      <c r="B178" s="252" t="s">
        <v>2345</v>
      </c>
      <c r="C178" s="147"/>
      <c r="D178" s="147"/>
      <c r="E178" s="147"/>
      <c r="F178" s="224"/>
    </row>
    <row r="179" spans="1:6" x14ac:dyDescent="0.25">
      <c r="A179" s="252" t="s">
        <v>2380</v>
      </c>
      <c r="B179" s="252" t="s">
        <v>2381</v>
      </c>
      <c r="C179" s="147"/>
      <c r="D179" s="147"/>
      <c r="E179" s="147"/>
      <c r="F179" s="224"/>
    </row>
    <row r="180" spans="1:6" x14ac:dyDescent="0.25">
      <c r="A180" s="252" t="s">
        <v>2242</v>
      </c>
      <c r="B180" s="252" t="s">
        <v>819</v>
      </c>
      <c r="C180" s="147"/>
      <c r="D180" s="147"/>
      <c r="E180" s="147"/>
      <c r="F180" s="224"/>
    </row>
    <row r="181" spans="1:6" x14ac:dyDescent="0.25">
      <c r="A181" s="252" t="s">
        <v>2066</v>
      </c>
      <c r="B181" s="252" t="s">
        <v>2067</v>
      </c>
      <c r="C181" s="147"/>
      <c r="D181" s="147"/>
      <c r="E181" s="147"/>
      <c r="F181" s="224"/>
    </row>
    <row r="182" spans="1:6" x14ac:dyDescent="0.25">
      <c r="A182" s="252" t="s">
        <v>2350</v>
      </c>
      <c r="B182" s="252" t="s">
        <v>2351</v>
      </c>
      <c r="C182" s="147"/>
      <c r="D182" s="147"/>
      <c r="E182" s="147"/>
      <c r="F182" s="224"/>
    </row>
    <row r="183" spans="1:6" x14ac:dyDescent="0.25">
      <c r="A183" s="252" t="s">
        <v>2166</v>
      </c>
      <c r="B183" s="252" t="s">
        <v>2167</v>
      </c>
      <c r="C183" s="147"/>
      <c r="D183" s="147"/>
      <c r="E183" s="147"/>
      <c r="F183" s="224"/>
    </row>
    <row r="184" spans="1:6" x14ac:dyDescent="0.25">
      <c r="A184" s="252" t="s">
        <v>2356</v>
      </c>
      <c r="B184" s="252" t="s">
        <v>2357</v>
      </c>
      <c r="C184" s="147"/>
      <c r="D184" s="147"/>
      <c r="E184" s="147"/>
      <c r="F184" s="224"/>
    </row>
    <row r="185" spans="1:6" x14ac:dyDescent="0.25">
      <c r="A185" s="252" t="s">
        <v>2210</v>
      </c>
      <c r="B185" s="252" t="s">
        <v>2211</v>
      </c>
      <c r="C185" s="147"/>
      <c r="D185" s="147"/>
      <c r="E185" s="147"/>
      <c r="F185" s="224"/>
    </row>
    <row r="186" spans="1:6" x14ac:dyDescent="0.25">
      <c r="A186" s="252" t="s">
        <v>2153</v>
      </c>
      <c r="B186" s="252" t="s">
        <v>2154</v>
      </c>
      <c r="C186" s="147"/>
      <c r="D186" s="147"/>
      <c r="E186" s="147"/>
      <c r="F186" s="224"/>
    </row>
    <row r="187" spans="1:6" x14ac:dyDescent="0.25">
      <c r="A187" s="252" t="s">
        <v>2186</v>
      </c>
      <c r="B187" s="252" t="s">
        <v>2187</v>
      </c>
      <c r="C187" s="147"/>
      <c r="D187" s="147"/>
      <c r="E187" s="147"/>
      <c r="F187" s="224"/>
    </row>
    <row r="188" spans="1:6" x14ac:dyDescent="0.25">
      <c r="A188" s="252" t="s">
        <v>2386</v>
      </c>
      <c r="B188" s="252" t="s">
        <v>2387</v>
      </c>
      <c r="C188" s="147"/>
      <c r="D188" s="147"/>
      <c r="E188" s="147"/>
      <c r="F188" s="224"/>
    </row>
    <row r="189" spans="1:6" x14ac:dyDescent="0.25">
      <c r="A189" s="252" t="s">
        <v>2313</v>
      </c>
      <c r="B189" s="252" t="s">
        <v>2314</v>
      </c>
      <c r="C189" s="147"/>
      <c r="D189" s="147"/>
      <c r="E189" s="147"/>
      <c r="F189" s="224"/>
    </row>
    <row r="190" spans="1:6" x14ac:dyDescent="0.25">
      <c r="A190" s="252" t="s">
        <v>2348</v>
      </c>
      <c r="B190" s="252" t="s">
        <v>2349</v>
      </c>
      <c r="C190" s="147"/>
      <c r="D190" s="147"/>
      <c r="E190" s="147"/>
      <c r="F190" s="224"/>
    </row>
    <row r="191" spans="1:6" x14ac:dyDescent="0.25">
      <c r="A191" s="252" t="s">
        <v>2053</v>
      </c>
      <c r="B191" s="252" t="s">
        <v>2054</v>
      </c>
      <c r="C191" s="147"/>
      <c r="D191" s="147"/>
      <c r="E191" s="147"/>
      <c r="F191" s="224"/>
    </row>
    <row r="192" spans="1:6" x14ac:dyDescent="0.25">
      <c r="A192" s="252" t="s">
        <v>2277</v>
      </c>
      <c r="B192" s="252" t="s">
        <v>2278</v>
      </c>
      <c r="C192" s="147"/>
      <c r="D192" s="147"/>
      <c r="E192" s="147"/>
      <c r="F192" s="224"/>
    </row>
    <row r="193" spans="1:6" x14ac:dyDescent="0.25">
      <c r="A193" s="252" t="s">
        <v>1938</v>
      </c>
      <c r="B193" s="252" t="s">
        <v>1939</v>
      </c>
      <c r="C193" s="147"/>
      <c r="D193" s="147"/>
      <c r="E193" s="147"/>
      <c r="F193" s="224"/>
    </row>
    <row r="194" spans="1:6" x14ac:dyDescent="0.25">
      <c r="A194" s="252" t="s">
        <v>2301</v>
      </c>
      <c r="B194" s="252" t="s">
        <v>519</v>
      </c>
      <c r="C194" s="147"/>
      <c r="D194" s="147"/>
      <c r="E194" s="147"/>
      <c r="F194" s="224"/>
    </row>
    <row r="195" spans="1:6" x14ac:dyDescent="0.25">
      <c r="A195" s="252" t="s">
        <v>1845</v>
      </c>
      <c r="B195" s="252" t="s">
        <v>1846</v>
      </c>
      <c r="C195" s="147"/>
      <c r="D195" s="147"/>
      <c r="E195" s="147"/>
      <c r="F195" s="224"/>
    </row>
    <row r="196" spans="1:6" x14ac:dyDescent="0.25">
      <c r="A196" s="252" t="s">
        <v>3575</v>
      </c>
      <c r="B196" s="252" t="s">
        <v>3576</v>
      </c>
      <c r="C196" s="147"/>
      <c r="D196" s="147"/>
      <c r="E196" s="147"/>
      <c r="F196" s="224"/>
    </row>
    <row r="197" spans="1:6" x14ac:dyDescent="0.25">
      <c r="A197" s="252" t="s">
        <v>2194</v>
      </c>
      <c r="B197" s="252" t="s">
        <v>2195</v>
      </c>
      <c r="C197" s="147"/>
      <c r="D197" s="147"/>
      <c r="E197" s="147"/>
      <c r="F197" s="224"/>
    </row>
    <row r="198" spans="1:6" x14ac:dyDescent="0.25">
      <c r="A198" s="252" t="s">
        <v>2334</v>
      </c>
      <c r="B198" s="252" t="s">
        <v>2335</v>
      </c>
      <c r="C198" s="147"/>
      <c r="D198" s="147"/>
      <c r="E198" s="147"/>
      <c r="F198" s="224"/>
    </row>
    <row r="199" spans="1:6" x14ac:dyDescent="0.25">
      <c r="A199" s="252" t="s">
        <v>2269</v>
      </c>
      <c r="B199" s="252" t="s">
        <v>625</v>
      </c>
      <c r="C199" s="147"/>
      <c r="D199" s="147"/>
      <c r="E199" s="147"/>
      <c r="F199" s="224"/>
    </row>
    <row r="200" spans="1:6" x14ac:dyDescent="0.25">
      <c r="A200" s="252" t="s">
        <v>3415</v>
      </c>
      <c r="B200" s="252" t="s">
        <v>3416</v>
      </c>
      <c r="C200" s="147"/>
      <c r="D200" s="147"/>
      <c r="E200" s="147"/>
      <c r="F200" s="224"/>
    </row>
    <row r="201" spans="1:6" x14ac:dyDescent="0.25">
      <c r="A201" s="252" t="s">
        <v>2352</v>
      </c>
      <c r="B201" s="252" t="s">
        <v>2353</v>
      </c>
      <c r="C201" s="147"/>
      <c r="D201" s="147"/>
      <c r="E201" s="147"/>
      <c r="F201" s="224"/>
    </row>
    <row r="202" spans="1:6" x14ac:dyDescent="0.25">
      <c r="A202" s="252" t="s">
        <v>1929</v>
      </c>
      <c r="B202" s="252" t="s">
        <v>1930</v>
      </c>
      <c r="C202" s="147"/>
      <c r="D202" s="147"/>
      <c r="E202" s="147"/>
      <c r="F202" s="224"/>
    </row>
    <row r="203" spans="1:6" x14ac:dyDescent="0.25">
      <c r="A203" s="252" t="s">
        <v>2018</v>
      </c>
      <c r="B203" s="252" t="s">
        <v>2019</v>
      </c>
      <c r="C203" s="147"/>
      <c r="D203" s="147"/>
      <c r="E203" s="147"/>
      <c r="F203" s="224"/>
    </row>
    <row r="204" spans="1:6" x14ac:dyDescent="0.25">
      <c r="A204" s="252" t="s">
        <v>2397</v>
      </c>
      <c r="B204" s="252" t="s">
        <v>2398</v>
      </c>
      <c r="C204" s="147"/>
      <c r="D204" s="147"/>
      <c r="E204" s="147"/>
      <c r="F204" s="224"/>
    </row>
    <row r="205" spans="1:6" x14ac:dyDescent="0.25">
      <c r="A205" s="252" t="s">
        <v>2238</v>
      </c>
      <c r="B205" s="252" t="s">
        <v>834</v>
      </c>
      <c r="C205" s="147"/>
      <c r="D205" s="147"/>
      <c r="E205" s="147"/>
      <c r="F205" s="224"/>
    </row>
    <row r="206" spans="1:6" x14ac:dyDescent="0.25">
      <c r="A206" s="252" t="s">
        <v>2240</v>
      </c>
      <c r="B206" s="252" t="s">
        <v>2241</v>
      </c>
      <c r="C206" s="147"/>
      <c r="D206" s="147"/>
      <c r="E206" s="147"/>
      <c r="F206" s="224"/>
    </row>
    <row r="207" spans="1:6" x14ac:dyDescent="0.25">
      <c r="A207" s="252" t="s">
        <v>2331</v>
      </c>
      <c r="B207" s="252" t="s">
        <v>541</v>
      </c>
      <c r="C207" s="147"/>
      <c r="D207" s="147"/>
      <c r="E207" s="147"/>
      <c r="F207" s="224"/>
    </row>
    <row r="208" spans="1:6" x14ac:dyDescent="0.25">
      <c r="A208" s="252" t="s">
        <v>2336</v>
      </c>
      <c r="B208" s="252" t="s">
        <v>2337</v>
      </c>
      <c r="C208" s="147"/>
      <c r="D208" s="147"/>
      <c r="E208" s="147"/>
      <c r="F208" s="224"/>
    </row>
    <row r="209" spans="1:6" x14ac:dyDescent="0.25">
      <c r="A209" s="252" t="s">
        <v>1827</v>
      </c>
      <c r="B209" s="252" t="s">
        <v>1828</v>
      </c>
      <c r="C209" s="147"/>
      <c r="D209" s="147"/>
      <c r="E209" s="147"/>
      <c r="F209" s="224"/>
    </row>
    <row r="210" spans="1:6" x14ac:dyDescent="0.25">
      <c r="A210" s="252" t="s">
        <v>2078</v>
      </c>
      <c r="B210" s="252" t="s">
        <v>2079</v>
      </c>
      <c r="C210" s="147"/>
      <c r="D210" s="147"/>
      <c r="E210" s="147"/>
      <c r="F210" s="224"/>
    </row>
    <row r="211" spans="1:6" x14ac:dyDescent="0.25">
      <c r="A211" s="252" t="s">
        <v>2135</v>
      </c>
      <c r="B211" s="252" t="s">
        <v>2136</v>
      </c>
      <c r="C211" s="147"/>
      <c r="D211" s="147"/>
      <c r="E211" s="147"/>
      <c r="F211" s="224"/>
    </row>
    <row r="212" spans="1:6" x14ac:dyDescent="0.25">
      <c r="A212" s="252" t="s">
        <v>3589</v>
      </c>
      <c r="B212" s="252" t="s">
        <v>3590</v>
      </c>
      <c r="C212" s="147"/>
      <c r="D212" s="147"/>
      <c r="E212" s="147"/>
      <c r="F212" s="224"/>
    </row>
    <row r="213" spans="1:6" x14ac:dyDescent="0.25">
      <c r="A213" s="252" t="s">
        <v>2394</v>
      </c>
      <c r="B213" s="252" t="s">
        <v>2395</v>
      </c>
      <c r="C213" s="147"/>
      <c r="D213" s="147"/>
      <c r="E213" s="147"/>
      <c r="F213" s="224"/>
    </row>
    <row r="214" spans="1:6" x14ac:dyDescent="0.25">
      <c r="A214" s="252" t="s">
        <v>1851</v>
      </c>
      <c r="B214" s="252" t="s">
        <v>1852</v>
      </c>
      <c r="C214" s="147"/>
      <c r="D214" s="147"/>
      <c r="E214" s="147"/>
      <c r="F214" s="224"/>
    </row>
    <row r="215" spans="1:6" x14ac:dyDescent="0.25">
      <c r="A215" s="252" t="s">
        <v>1910</v>
      </c>
      <c r="B215" s="252" t="s">
        <v>1911</v>
      </c>
      <c r="C215" s="147"/>
      <c r="D215" s="147"/>
      <c r="E215" s="147"/>
      <c r="F215" s="224"/>
    </row>
    <row r="216" spans="1:6" x14ac:dyDescent="0.25">
      <c r="A216" s="252" t="s">
        <v>2324</v>
      </c>
      <c r="B216" s="252" t="s">
        <v>818</v>
      </c>
      <c r="C216" s="147"/>
      <c r="D216" s="147"/>
      <c r="E216" s="147"/>
      <c r="F216" s="224"/>
    </row>
    <row r="217" spans="1:6" x14ac:dyDescent="0.25">
      <c r="A217" s="252" t="s">
        <v>2293</v>
      </c>
      <c r="B217" s="252" t="s">
        <v>2294</v>
      </c>
      <c r="C217" s="147"/>
      <c r="D217" s="147"/>
      <c r="E217" s="147"/>
      <c r="F217" s="224"/>
    </row>
    <row r="218" spans="1:6" x14ac:dyDescent="0.25">
      <c r="A218" s="252" t="s">
        <v>2322</v>
      </c>
      <c r="B218" s="252" t="s">
        <v>2323</v>
      </c>
      <c r="C218" s="147"/>
      <c r="D218" s="147"/>
      <c r="E218" s="147"/>
      <c r="F218" s="224"/>
    </row>
    <row r="219" spans="1:6" x14ac:dyDescent="0.25">
      <c r="A219" s="252" t="s">
        <v>2202</v>
      </c>
      <c r="B219" s="252" t="s">
        <v>882</v>
      </c>
      <c r="C219" s="147"/>
      <c r="D219" s="147"/>
      <c r="E219" s="147"/>
      <c r="F219" s="224"/>
    </row>
    <row r="220" spans="1:6" x14ac:dyDescent="0.25">
      <c r="A220" s="252" t="s">
        <v>2411</v>
      </c>
      <c r="B220" s="252" t="s">
        <v>2412</v>
      </c>
      <c r="C220" s="147"/>
      <c r="D220" s="147"/>
      <c r="E220" s="147"/>
      <c r="F220" s="224"/>
    </row>
    <row r="221" spans="1:6" x14ac:dyDescent="0.25">
      <c r="A221" s="252" t="s">
        <v>1914</v>
      </c>
      <c r="B221" s="252" t="s">
        <v>1915</v>
      </c>
      <c r="C221" s="147"/>
      <c r="D221" s="147"/>
      <c r="E221" s="147"/>
      <c r="F221" s="224"/>
    </row>
    <row r="222" spans="1:6" x14ac:dyDescent="0.25">
      <c r="A222" s="252" t="s">
        <v>1865</v>
      </c>
      <c r="B222" s="252" t="s">
        <v>1866</v>
      </c>
      <c r="C222" s="147"/>
      <c r="D222" s="147"/>
      <c r="E222" s="147"/>
      <c r="F222" s="224"/>
    </row>
    <row r="223" spans="1:6" x14ac:dyDescent="0.25">
      <c r="A223" s="252" t="s">
        <v>2288</v>
      </c>
      <c r="B223" s="252" t="s">
        <v>873</v>
      </c>
      <c r="C223" s="147"/>
      <c r="D223" s="147"/>
      <c r="E223" s="147"/>
      <c r="F223" s="224"/>
    </row>
    <row r="224" spans="1:6" x14ac:dyDescent="0.25">
      <c r="A224" s="252" t="s">
        <v>3549</v>
      </c>
      <c r="B224" s="252" t="s">
        <v>3550</v>
      </c>
      <c r="C224" s="147"/>
      <c r="D224" s="147"/>
      <c r="E224" s="147"/>
      <c r="F224" s="224"/>
    </row>
    <row r="225" spans="1:6" x14ac:dyDescent="0.25">
      <c r="A225" s="252" t="s">
        <v>3510</v>
      </c>
      <c r="B225" s="252" t="s">
        <v>3511</v>
      </c>
      <c r="C225" s="147"/>
      <c r="D225" s="147"/>
      <c r="E225" s="147"/>
      <c r="F225" s="224"/>
    </row>
    <row r="226" spans="1:6" x14ac:dyDescent="0.25">
      <c r="A226" s="252" t="s">
        <v>2368</v>
      </c>
      <c r="B226" s="252" t="s">
        <v>2369</v>
      </c>
      <c r="C226" s="147"/>
      <c r="D226" s="147"/>
      <c r="E226" s="147"/>
      <c r="F226" s="224"/>
    </row>
    <row r="227" spans="1:6" x14ac:dyDescent="0.25">
      <c r="A227" s="252" t="s">
        <v>2414</v>
      </c>
      <c r="B227" s="252" t="s">
        <v>2415</v>
      </c>
      <c r="C227" s="147"/>
      <c r="D227" s="147"/>
      <c r="E227" s="147"/>
      <c r="F227" s="224"/>
    </row>
    <row r="228" spans="1:6" x14ac:dyDescent="0.25">
      <c r="A228" s="252" t="s">
        <v>2291</v>
      </c>
      <c r="B228" s="252" t="s">
        <v>340</v>
      </c>
      <c r="C228" s="147"/>
      <c r="D228" s="147"/>
      <c r="E228" s="147"/>
      <c r="F228" s="224"/>
    </row>
    <row r="229" spans="1:6" x14ac:dyDescent="0.25">
      <c r="A229" s="252" t="s">
        <v>2292</v>
      </c>
      <c r="B229" s="252" t="s">
        <v>848</v>
      </c>
      <c r="C229" s="147"/>
      <c r="D229" s="147"/>
      <c r="E229" s="147"/>
      <c r="F229" s="224"/>
    </row>
    <row r="230" spans="1:6" x14ac:dyDescent="0.25">
      <c r="A230" s="252" t="s">
        <v>2375</v>
      </c>
      <c r="B230" s="252" t="s">
        <v>523</v>
      </c>
      <c r="C230" s="147"/>
      <c r="D230" s="147"/>
      <c r="E230" s="147"/>
      <c r="F230" s="224"/>
    </row>
    <row r="231" spans="1:6" x14ac:dyDescent="0.25">
      <c r="A231" s="252" t="s">
        <v>2418</v>
      </c>
      <c r="B231" s="252" t="s">
        <v>2419</v>
      </c>
      <c r="C231" s="147"/>
      <c r="D231" s="147"/>
      <c r="E231" s="147"/>
      <c r="F231" s="224"/>
    </row>
    <row r="232" spans="1:6" x14ac:dyDescent="0.25">
      <c r="A232" s="252" t="s">
        <v>3419</v>
      </c>
      <c r="B232" s="252" t="s">
        <v>3420</v>
      </c>
      <c r="C232" s="147"/>
      <c r="D232" s="147"/>
      <c r="E232" s="147"/>
      <c r="F232" s="224"/>
    </row>
    <row r="233" spans="1:6" x14ac:dyDescent="0.25">
      <c r="A233" s="252" t="s">
        <v>2051</v>
      </c>
      <c r="B233" s="252" t="s">
        <v>2052</v>
      </c>
      <c r="C233" s="147"/>
      <c r="D233" s="147"/>
      <c r="E233" s="147"/>
      <c r="F233" s="224"/>
    </row>
    <row r="234" spans="1:6" x14ac:dyDescent="0.25">
      <c r="A234" s="252" t="s">
        <v>3512</v>
      </c>
      <c r="B234" s="252" t="s">
        <v>1035</v>
      </c>
      <c r="C234" s="147"/>
      <c r="D234" s="147"/>
      <c r="E234" s="147"/>
      <c r="F234" s="224"/>
    </row>
    <row r="235" spans="1:6" x14ac:dyDescent="0.25">
      <c r="A235" s="252" t="s">
        <v>3421</v>
      </c>
      <c r="B235" s="252" t="s">
        <v>3422</v>
      </c>
      <c r="C235" s="147"/>
      <c r="D235" s="147"/>
      <c r="E235" s="147"/>
      <c r="F235" s="224"/>
    </row>
    <row r="236" spans="1:6" x14ac:dyDescent="0.25">
      <c r="A236" s="252" t="s">
        <v>2029</v>
      </c>
      <c r="B236" s="252" t="s">
        <v>2030</v>
      </c>
      <c r="C236" s="147"/>
      <c r="D236" s="147"/>
      <c r="E236" s="147"/>
      <c r="F236" s="224"/>
    </row>
    <row r="237" spans="1:6" x14ac:dyDescent="0.25">
      <c r="A237" s="252" t="s">
        <v>2144</v>
      </c>
      <c r="B237" s="252" t="s">
        <v>2145</v>
      </c>
      <c r="C237" s="147"/>
      <c r="D237" s="147"/>
      <c r="E237" s="147"/>
      <c r="F237" s="224"/>
    </row>
    <row r="238" spans="1:6" x14ac:dyDescent="0.25">
      <c r="A238" s="252" t="s">
        <v>2298</v>
      </c>
      <c r="B238" s="252" t="s">
        <v>2299</v>
      </c>
      <c r="C238" s="147"/>
      <c r="D238" s="147"/>
      <c r="E238" s="147"/>
      <c r="F238" s="224"/>
    </row>
    <row r="239" spans="1:6" x14ac:dyDescent="0.25">
      <c r="A239" s="252" t="s">
        <v>2045</v>
      </c>
      <c r="B239" s="252" t="s">
        <v>2046</v>
      </c>
      <c r="C239" s="147"/>
      <c r="D239" s="147"/>
      <c r="E239" s="147"/>
      <c r="F239" s="224"/>
    </row>
    <row r="240" spans="1:6" x14ac:dyDescent="0.25">
      <c r="A240" s="252" t="s">
        <v>2311</v>
      </c>
      <c r="B240" s="252" t="s">
        <v>2312</v>
      </c>
      <c r="C240" s="147"/>
      <c r="D240" s="147"/>
      <c r="E240" s="147"/>
      <c r="F240" s="224"/>
    </row>
    <row r="241" spans="1:6" x14ac:dyDescent="0.25">
      <c r="A241" s="252" t="s">
        <v>2358</v>
      </c>
      <c r="B241" s="252" t="s">
        <v>870</v>
      </c>
      <c r="C241" s="147"/>
      <c r="D241" s="147"/>
      <c r="E241" s="147"/>
      <c r="F241" s="224"/>
    </row>
    <row r="242" spans="1:6" x14ac:dyDescent="0.25">
      <c r="A242" s="252" t="s">
        <v>2163</v>
      </c>
      <c r="B242" s="252" t="s">
        <v>2164</v>
      </c>
      <c r="C242" s="147"/>
      <c r="D242" s="147"/>
      <c r="E242" s="147"/>
      <c r="F242" s="224"/>
    </row>
    <row r="243" spans="1:6" x14ac:dyDescent="0.25">
      <c r="A243" s="252" t="s">
        <v>2022</v>
      </c>
      <c r="B243" s="252" t="s">
        <v>2023</v>
      </c>
      <c r="C243" s="147"/>
      <c r="D243" s="147"/>
      <c r="E243" s="147"/>
      <c r="F243" s="224"/>
    </row>
    <row r="244" spans="1:6" x14ac:dyDescent="0.25">
      <c r="A244" s="252" t="s">
        <v>3417</v>
      </c>
      <c r="B244" s="252" t="s">
        <v>3418</v>
      </c>
      <c r="C244" s="147"/>
      <c r="D244" s="147"/>
      <c r="E244" s="147"/>
      <c r="F244" s="224"/>
    </row>
    <row r="245" spans="1:6" x14ac:dyDescent="0.25">
      <c r="A245" s="252" t="s">
        <v>2416</v>
      </c>
      <c r="B245" s="252" t="s">
        <v>2417</v>
      </c>
      <c r="C245" s="147"/>
      <c r="D245" s="147"/>
      <c r="E245" s="147"/>
      <c r="F245" s="224"/>
    </row>
    <row r="246" spans="1:6" x14ac:dyDescent="0.25">
      <c r="A246" s="252" t="s">
        <v>2063</v>
      </c>
      <c r="B246" s="252" t="s">
        <v>824</v>
      </c>
      <c r="C246" s="147"/>
      <c r="D246" s="147"/>
      <c r="E246" s="147"/>
      <c r="F246" s="224"/>
    </row>
    <row r="247" spans="1:6" x14ac:dyDescent="0.25">
      <c r="A247" s="252" t="s">
        <v>1908</v>
      </c>
      <c r="B247" s="252" t="s">
        <v>1909</v>
      </c>
      <c r="C247" s="147"/>
      <c r="D247" s="147"/>
      <c r="E247" s="147"/>
      <c r="F247" s="224"/>
    </row>
    <row r="248" spans="1:6" x14ac:dyDescent="0.25">
      <c r="A248" s="252" t="s">
        <v>2408</v>
      </c>
      <c r="B248" s="252" t="s">
        <v>2409</v>
      </c>
      <c r="C248" s="147"/>
      <c r="D248" s="147"/>
      <c r="E248" s="147"/>
      <c r="F248" s="224"/>
    </row>
    <row r="249" spans="1:6" x14ac:dyDescent="0.25">
      <c r="A249" s="252" t="s">
        <v>1837</v>
      </c>
      <c r="B249" s="252" t="s">
        <v>1838</v>
      </c>
      <c r="C249" s="147"/>
      <c r="D249" s="147"/>
      <c r="E249" s="147"/>
      <c r="F249" s="224"/>
    </row>
    <row r="250" spans="1:6" x14ac:dyDescent="0.25">
      <c r="A250" s="252" t="s">
        <v>3553</v>
      </c>
      <c r="B250" s="252" t="s">
        <v>3554</v>
      </c>
      <c r="C250" s="147"/>
      <c r="D250" s="147"/>
      <c r="E250" s="147"/>
      <c r="F250" s="224"/>
    </row>
    <row r="251" spans="1:6" x14ac:dyDescent="0.25">
      <c r="A251" s="252" t="s">
        <v>2262</v>
      </c>
      <c r="B251" s="252" t="s">
        <v>251</v>
      </c>
      <c r="C251" s="147"/>
      <c r="D251" s="147"/>
      <c r="E251" s="147"/>
      <c r="F251" s="224"/>
    </row>
    <row r="252" spans="1:6" x14ac:dyDescent="0.25">
      <c r="A252" s="252" t="s">
        <v>2346</v>
      </c>
      <c r="B252" s="252" t="s">
        <v>2347</v>
      </c>
      <c r="C252" s="147"/>
      <c r="D252" s="147"/>
      <c r="E252" s="147"/>
      <c r="F252" s="224"/>
    </row>
    <row r="253" spans="1:6" x14ac:dyDescent="0.25">
      <c r="A253" s="252" t="s">
        <v>2402</v>
      </c>
      <c r="B253" s="252" t="s">
        <v>2403</v>
      </c>
      <c r="C253" s="147"/>
      <c r="D253" s="147"/>
      <c r="E253" s="147"/>
      <c r="F253" s="224"/>
    </row>
    <row r="254" spans="1:6" x14ac:dyDescent="0.25">
      <c r="A254" s="252" t="s">
        <v>2319</v>
      </c>
      <c r="B254" s="252" t="s">
        <v>2320</v>
      </c>
      <c r="C254" s="147"/>
      <c r="D254" s="147"/>
      <c r="E254" s="147"/>
      <c r="F254" s="224"/>
    </row>
    <row r="255" spans="1:6" x14ac:dyDescent="0.25">
      <c r="A255" s="252" t="s">
        <v>2128</v>
      </c>
      <c r="B255" s="252" t="s">
        <v>2129</v>
      </c>
      <c r="C255" s="147"/>
      <c r="D255" s="147"/>
      <c r="E255" s="147"/>
      <c r="F255" s="224"/>
    </row>
    <row r="256" spans="1:6" x14ac:dyDescent="0.25">
      <c r="A256" s="252" t="s">
        <v>1901</v>
      </c>
      <c r="B256" s="252" t="s">
        <v>1902</v>
      </c>
      <c r="C256" s="147"/>
      <c r="D256" s="147"/>
      <c r="E256" s="147"/>
      <c r="F256" s="224"/>
    </row>
    <row r="257" spans="1:6" x14ac:dyDescent="0.25">
      <c r="A257" s="252" t="s">
        <v>2236</v>
      </c>
      <c r="B257" s="252" t="s">
        <v>2237</v>
      </c>
      <c r="C257" s="147"/>
      <c r="D257" s="147"/>
      <c r="E257" s="147"/>
      <c r="F257" s="224"/>
    </row>
    <row r="258" spans="1:6" x14ac:dyDescent="0.25">
      <c r="A258" s="252" t="s">
        <v>1971</v>
      </c>
      <c r="B258" s="252" t="s">
        <v>1972</v>
      </c>
      <c r="C258" s="147"/>
      <c r="D258" s="147"/>
      <c r="E258" s="147"/>
      <c r="F258" s="224"/>
    </row>
    <row r="259" spans="1:6" x14ac:dyDescent="0.25">
      <c r="A259" s="252" t="s">
        <v>2273</v>
      </c>
      <c r="B259" s="252" t="s">
        <v>2274</v>
      </c>
      <c r="C259" s="147"/>
      <c r="D259" s="147"/>
      <c r="E259" s="147"/>
      <c r="F259" s="224"/>
    </row>
    <row r="260" spans="1:6" x14ac:dyDescent="0.25">
      <c r="A260" s="252" t="s">
        <v>3591</v>
      </c>
      <c r="B260" s="252" t="s">
        <v>3592</v>
      </c>
      <c r="C260" s="147"/>
      <c r="D260" s="147"/>
      <c r="E260" s="147"/>
      <c r="F260" s="224"/>
    </row>
    <row r="261" spans="1:6" x14ac:dyDescent="0.25">
      <c r="A261" s="252" t="s">
        <v>2332</v>
      </c>
      <c r="B261" s="252" t="s">
        <v>627</v>
      </c>
      <c r="C261" s="147"/>
      <c r="D261" s="147"/>
      <c r="E261" s="147"/>
      <c r="F261" s="224"/>
    </row>
    <row r="262" spans="1:6" x14ac:dyDescent="0.25">
      <c r="A262" s="252" t="s">
        <v>1981</v>
      </c>
      <c r="B262" s="252" t="s">
        <v>1982</v>
      </c>
      <c r="C262" s="147"/>
      <c r="D262" s="147"/>
      <c r="E262" s="147"/>
      <c r="F262" s="224"/>
    </row>
    <row r="263" spans="1:6" x14ac:dyDescent="0.25">
      <c r="A263" s="252" t="s">
        <v>2107</v>
      </c>
      <c r="B263" s="252" t="s">
        <v>2108</v>
      </c>
      <c r="C263" s="147"/>
      <c r="D263" s="147"/>
      <c r="E263" s="147"/>
      <c r="F263" s="224"/>
    </row>
    <row r="264" spans="1:6" x14ac:dyDescent="0.25">
      <c r="A264" s="252" t="s">
        <v>3593</v>
      </c>
      <c r="B264" s="252" t="s">
        <v>3594</v>
      </c>
      <c r="C264" s="147"/>
      <c r="D264" s="147"/>
      <c r="E264" s="147"/>
      <c r="F264" s="224"/>
    </row>
    <row r="265" spans="1:6" x14ac:dyDescent="0.25">
      <c r="A265" s="252" t="s">
        <v>1934</v>
      </c>
      <c r="B265" s="252" t="s">
        <v>1935</v>
      </c>
      <c r="C265" s="147"/>
      <c r="D265" s="147"/>
      <c r="E265" s="147"/>
      <c r="F265" s="224"/>
    </row>
    <row r="266" spans="1:6" x14ac:dyDescent="0.25">
      <c r="A266" s="252" t="s">
        <v>2188</v>
      </c>
      <c r="B266" s="252" t="s">
        <v>2189</v>
      </c>
      <c r="C266" s="147"/>
      <c r="D266" s="147"/>
      <c r="E266" s="147"/>
      <c r="F266" s="224"/>
    </row>
    <row r="267" spans="1:6" x14ac:dyDescent="0.25">
      <c r="A267" s="252" t="s">
        <v>2134</v>
      </c>
      <c r="B267" s="252" t="s">
        <v>826</v>
      </c>
      <c r="C267" s="147"/>
      <c r="D267" s="147"/>
      <c r="E267" s="147"/>
      <c r="F267" s="224"/>
    </row>
    <row r="268" spans="1:6" x14ac:dyDescent="0.25">
      <c r="A268" s="252" t="s">
        <v>2399</v>
      </c>
      <c r="B268" s="252" t="s">
        <v>2400</v>
      </c>
      <c r="C268" s="147"/>
      <c r="D268" s="147"/>
      <c r="E268" s="147"/>
      <c r="F268" s="224"/>
    </row>
    <row r="269" spans="1:6" x14ac:dyDescent="0.25">
      <c r="A269" s="252" t="s">
        <v>1895</v>
      </c>
      <c r="B269" s="252" t="s">
        <v>1896</v>
      </c>
      <c r="C269" s="147"/>
      <c r="D269" s="147"/>
      <c r="E269" s="147"/>
      <c r="F269" s="224"/>
    </row>
    <row r="270" spans="1:6" x14ac:dyDescent="0.25">
      <c r="A270" s="252" t="s">
        <v>2009</v>
      </c>
      <c r="B270" s="252" t="s">
        <v>2010</v>
      </c>
      <c r="C270" s="147"/>
      <c r="D270" s="147"/>
      <c r="E270" s="147"/>
      <c r="F270" s="224"/>
    </row>
    <row r="271" spans="1:6" x14ac:dyDescent="0.25">
      <c r="A271" s="252" t="s">
        <v>2171</v>
      </c>
      <c r="B271" s="252" t="s">
        <v>2172</v>
      </c>
      <c r="C271" s="147"/>
      <c r="D271" s="147"/>
      <c r="E271" s="147"/>
      <c r="F271" s="224"/>
    </row>
    <row r="272" spans="1:6" x14ac:dyDescent="0.25">
      <c r="A272" s="252" t="s">
        <v>2366</v>
      </c>
      <c r="B272" s="252" t="s">
        <v>2367</v>
      </c>
      <c r="C272" s="147"/>
      <c r="D272" s="147"/>
      <c r="E272" s="147"/>
      <c r="F272" s="224"/>
    </row>
    <row r="273" spans="1:6" x14ac:dyDescent="0.25">
      <c r="A273" s="252" t="s">
        <v>3513</v>
      </c>
      <c r="B273" s="252" t="s">
        <v>3514</v>
      </c>
      <c r="C273" s="147"/>
      <c r="D273" s="147"/>
      <c r="E273" s="147"/>
      <c r="F273" s="224"/>
    </row>
    <row r="274" spans="1:6" x14ac:dyDescent="0.25">
      <c r="A274" s="252" t="s">
        <v>2183</v>
      </c>
      <c r="B274" s="252" t="s">
        <v>2184</v>
      </c>
      <c r="C274" s="147"/>
      <c r="D274" s="147"/>
      <c r="E274" s="147"/>
      <c r="F274" s="224"/>
    </row>
    <row r="275" spans="1:6" x14ac:dyDescent="0.25">
      <c r="A275" s="252" t="s">
        <v>2259</v>
      </c>
      <c r="B275" s="252" t="s">
        <v>2260</v>
      </c>
      <c r="C275" s="147"/>
      <c r="D275" s="147"/>
      <c r="E275" s="147"/>
      <c r="F275" s="224"/>
    </row>
    <row r="276" spans="1:6" x14ac:dyDescent="0.25">
      <c r="A276" s="252" t="s">
        <v>1994</v>
      </c>
      <c r="B276" s="252" t="s">
        <v>1995</v>
      </c>
      <c r="C276" s="147"/>
      <c r="D276" s="147"/>
      <c r="E276" s="147"/>
      <c r="F276" s="224"/>
    </row>
    <row r="277" spans="1:6" x14ac:dyDescent="0.25">
      <c r="A277" s="252" t="s">
        <v>1843</v>
      </c>
      <c r="B277" s="252" t="s">
        <v>1844</v>
      </c>
      <c r="C277" s="147"/>
      <c r="D277" s="147"/>
      <c r="E277" s="147"/>
      <c r="F277" s="224"/>
    </row>
    <row r="278" spans="1:6" x14ac:dyDescent="0.25">
      <c r="A278" s="252" t="s">
        <v>2243</v>
      </c>
      <c r="B278" s="252" t="s">
        <v>2244</v>
      </c>
      <c r="C278" s="147"/>
      <c r="D278" s="147"/>
      <c r="E278" s="147"/>
      <c r="F278" s="224"/>
    </row>
    <row r="279" spans="1:6" x14ac:dyDescent="0.25">
      <c r="A279" s="252" t="s">
        <v>2309</v>
      </c>
      <c r="B279" s="252" t="s">
        <v>2310</v>
      </c>
      <c r="C279" s="147"/>
      <c r="D279" s="147"/>
      <c r="E279" s="147"/>
      <c r="F279" s="224"/>
    </row>
    <row r="280" spans="1:6" x14ac:dyDescent="0.25">
      <c r="A280" s="252" t="s">
        <v>3577</v>
      </c>
      <c r="B280" s="252" t="s">
        <v>3578</v>
      </c>
      <c r="C280" s="147"/>
      <c r="D280" s="147"/>
      <c r="E280" s="147"/>
      <c r="F280" s="224"/>
    </row>
    <row r="281" spans="1:6" x14ac:dyDescent="0.25">
      <c r="A281" s="252" t="s">
        <v>2376</v>
      </c>
      <c r="B281" s="252" t="s">
        <v>366</v>
      </c>
      <c r="C281" s="147"/>
      <c r="D281" s="147"/>
      <c r="E281" s="147"/>
      <c r="F281" s="224"/>
    </row>
    <row r="282" spans="1:6" x14ac:dyDescent="0.25">
      <c r="A282" s="252" t="s">
        <v>2404</v>
      </c>
      <c r="B282" s="252" t="s">
        <v>2405</v>
      </c>
      <c r="C282" s="147"/>
      <c r="D282" s="147"/>
      <c r="E282" s="147"/>
      <c r="F282" s="224"/>
    </row>
    <row r="283" spans="1:6" x14ac:dyDescent="0.25">
      <c r="A283" s="252" t="s">
        <v>2390</v>
      </c>
      <c r="B283" s="252" t="s">
        <v>2391</v>
      </c>
      <c r="C283" s="147"/>
      <c r="D283" s="147"/>
      <c r="E283" s="147"/>
      <c r="F283" s="224"/>
    </row>
    <row r="284" spans="1:6" x14ac:dyDescent="0.25">
      <c r="A284" s="252" t="s">
        <v>2035</v>
      </c>
      <c r="B284" s="252" t="s">
        <v>2036</v>
      </c>
      <c r="C284" s="147"/>
      <c r="D284" s="147"/>
      <c r="E284" s="147"/>
      <c r="F284" s="224"/>
    </row>
    <row r="285" spans="1:6" x14ac:dyDescent="0.25">
      <c r="A285" s="252" t="s">
        <v>2302</v>
      </c>
      <c r="B285" s="252" t="s">
        <v>2303</v>
      </c>
      <c r="C285" s="147"/>
      <c r="D285" s="147"/>
      <c r="E285" s="147"/>
      <c r="F285" s="224"/>
    </row>
    <row r="286" spans="1:6" x14ac:dyDescent="0.25">
      <c r="A286" s="252" t="s">
        <v>2364</v>
      </c>
      <c r="B286" s="252" t="s">
        <v>2365</v>
      </c>
      <c r="C286" s="147"/>
      <c r="D286" s="147"/>
      <c r="E286" s="147"/>
      <c r="F286" s="224"/>
    </row>
    <row r="287" spans="1:6" x14ac:dyDescent="0.25">
      <c r="A287" s="252" t="s">
        <v>1890</v>
      </c>
      <c r="B287" s="252" t="s">
        <v>1891</v>
      </c>
      <c r="C287" s="147"/>
      <c r="D287" s="147"/>
      <c r="E287" s="147"/>
      <c r="F287" s="224"/>
    </row>
    <row r="288" spans="1:6" x14ac:dyDescent="0.25">
      <c r="A288" s="252" t="s">
        <v>2094</v>
      </c>
      <c r="B288" s="252" t="s">
        <v>2095</v>
      </c>
      <c r="C288" s="147"/>
      <c r="D288" s="147"/>
      <c r="E288" s="147"/>
      <c r="F288" s="224"/>
    </row>
    <row r="289" spans="1:6" x14ac:dyDescent="0.25">
      <c r="A289" s="252" t="s">
        <v>2228</v>
      </c>
      <c r="B289" s="252" t="s">
        <v>2229</v>
      </c>
      <c r="C289" s="147"/>
      <c r="D289" s="147"/>
      <c r="E289" s="147"/>
      <c r="F289" s="224"/>
    </row>
    <row r="290" spans="1:6" x14ac:dyDescent="0.25">
      <c r="A290" s="252" t="s">
        <v>2200</v>
      </c>
      <c r="B290" s="252" t="s">
        <v>2201</v>
      </c>
      <c r="C290" s="147"/>
      <c r="D290" s="147"/>
      <c r="E290" s="147"/>
      <c r="F290" s="224"/>
    </row>
    <row r="291" spans="1:6" x14ac:dyDescent="0.25">
      <c r="A291" s="252" t="s">
        <v>2286</v>
      </c>
      <c r="B291" s="252" t="s">
        <v>2287</v>
      </c>
      <c r="C291" s="147"/>
      <c r="D291" s="147"/>
      <c r="E291" s="147"/>
      <c r="F291" s="224"/>
    </row>
    <row r="292" spans="1:6" x14ac:dyDescent="0.25">
      <c r="A292" s="252" t="s">
        <v>1965</v>
      </c>
      <c r="B292" s="252" t="s">
        <v>1966</v>
      </c>
      <c r="C292" s="147"/>
      <c r="D292" s="147"/>
      <c r="E292" s="147"/>
      <c r="F292" s="224"/>
    </row>
    <row r="293" spans="1:6" x14ac:dyDescent="0.25">
      <c r="A293" s="252" t="s">
        <v>2359</v>
      </c>
      <c r="B293" s="252" t="s">
        <v>2360</v>
      </c>
      <c r="C293" s="147"/>
      <c r="D293" s="147"/>
      <c r="E293" s="147"/>
      <c r="F293" s="224"/>
    </row>
    <row r="294" spans="1:6" x14ac:dyDescent="0.25">
      <c r="A294" s="252" t="s">
        <v>3544</v>
      </c>
      <c r="B294" s="252" t="s">
        <v>397</v>
      </c>
      <c r="C294" s="147"/>
      <c r="D294" s="147"/>
      <c r="E294" s="147"/>
      <c r="F294" s="224"/>
    </row>
    <row r="295" spans="1:6" x14ac:dyDescent="0.25">
      <c r="A295" s="252" t="s">
        <v>3581</v>
      </c>
      <c r="B295" s="252" t="s">
        <v>3582</v>
      </c>
      <c r="C295" s="147"/>
      <c r="D295" s="147"/>
      <c r="E295" s="147"/>
      <c r="F295" s="224"/>
    </row>
    <row r="296" spans="1:6" x14ac:dyDescent="0.25">
      <c r="A296" s="252" t="s">
        <v>1984</v>
      </c>
      <c r="B296" s="252" t="s">
        <v>1985</v>
      </c>
      <c r="C296" s="147"/>
      <c r="D296" s="147"/>
      <c r="E296" s="147"/>
      <c r="F296" s="224"/>
    </row>
    <row r="297" spans="1:6" x14ac:dyDescent="0.25">
      <c r="A297" s="252" t="s">
        <v>2338</v>
      </c>
      <c r="B297" s="252" t="s">
        <v>2339</v>
      </c>
      <c r="C297" s="147"/>
      <c r="D297" s="147"/>
      <c r="E297" s="147"/>
      <c r="F297" s="224"/>
    </row>
    <row r="298" spans="1:6" x14ac:dyDescent="0.25">
      <c r="A298" s="252" t="s">
        <v>2265</v>
      </c>
      <c r="B298" s="252" t="s">
        <v>1004</v>
      </c>
      <c r="C298" s="147"/>
      <c r="D298" s="147"/>
      <c r="E298" s="147"/>
      <c r="F298" s="224"/>
    </row>
    <row r="299" spans="1:6" x14ac:dyDescent="0.25">
      <c r="A299" s="252" t="s">
        <v>3540</v>
      </c>
      <c r="B299" s="252" t="s">
        <v>3541</v>
      </c>
      <c r="C299" s="147"/>
      <c r="D299" s="147"/>
      <c r="E299" s="147"/>
      <c r="F299" s="224"/>
    </row>
    <row r="300" spans="1:6" x14ac:dyDescent="0.25">
      <c r="A300" s="252" t="s">
        <v>3516</v>
      </c>
      <c r="B300" s="252" t="s">
        <v>3517</v>
      </c>
      <c r="C300" s="147"/>
      <c r="D300" s="147"/>
      <c r="E300" s="147"/>
      <c r="F300" s="224"/>
    </row>
    <row r="301" spans="1:6" x14ac:dyDescent="0.25">
      <c r="A301" s="252" t="s">
        <v>3561</v>
      </c>
      <c r="B301" s="252" t="s">
        <v>3562</v>
      </c>
      <c r="C301" s="147"/>
      <c r="D301" s="147"/>
      <c r="E301" s="147"/>
      <c r="F301" s="224"/>
    </row>
    <row r="302" spans="1:6" x14ac:dyDescent="0.25">
      <c r="A302" s="252" t="s">
        <v>1831</v>
      </c>
      <c r="B302" s="252" t="s">
        <v>1832</v>
      </c>
      <c r="C302" s="147"/>
      <c r="D302" s="147"/>
      <c r="E302" s="147"/>
      <c r="F302" s="224"/>
    </row>
    <row r="303" spans="1:6" x14ac:dyDescent="0.25">
      <c r="A303" s="252" t="s">
        <v>1882</v>
      </c>
      <c r="B303" s="252" t="s">
        <v>1883</v>
      </c>
      <c r="C303" s="147"/>
      <c r="D303" s="147"/>
      <c r="E303" s="147"/>
      <c r="F303" s="224"/>
    </row>
    <row r="304" spans="1:6" x14ac:dyDescent="0.25">
      <c r="A304" s="252" t="s">
        <v>2340</v>
      </c>
      <c r="B304" s="252" t="s">
        <v>2341</v>
      </c>
      <c r="C304" s="147"/>
      <c r="D304" s="147"/>
      <c r="E304" s="147"/>
      <c r="F304" s="224"/>
    </row>
    <row r="305" spans="1:6" x14ac:dyDescent="0.25">
      <c r="A305" s="252" t="s">
        <v>3569</v>
      </c>
      <c r="B305" s="252" t="s">
        <v>3570</v>
      </c>
      <c r="C305" s="147"/>
      <c r="D305" s="147"/>
      <c r="E305" s="147"/>
      <c r="F305" s="224"/>
    </row>
    <row r="306" spans="1:6" x14ac:dyDescent="0.25">
      <c r="A306" s="252" t="s">
        <v>2392</v>
      </c>
      <c r="B306" s="252" t="s">
        <v>2393</v>
      </c>
      <c r="C306" s="147"/>
      <c r="D306" s="147"/>
      <c r="E306" s="147"/>
      <c r="F306" s="224"/>
    </row>
    <row r="307" spans="1:6" x14ac:dyDescent="0.25">
      <c r="A307" s="252" t="s">
        <v>2374</v>
      </c>
      <c r="B307" s="252" t="s">
        <v>869</v>
      </c>
      <c r="C307" s="147"/>
      <c r="D307" s="147"/>
      <c r="E307" s="147"/>
      <c r="F307" s="224"/>
    </row>
    <row r="308" spans="1:6" x14ac:dyDescent="0.25">
      <c r="A308" s="252" t="s">
        <v>2100</v>
      </c>
      <c r="B308" s="252" t="s">
        <v>2101</v>
      </c>
      <c r="C308" s="147"/>
      <c r="D308" s="147"/>
      <c r="E308" s="147"/>
      <c r="F308" s="224"/>
    </row>
    <row r="309" spans="1:6" x14ac:dyDescent="0.25">
      <c r="A309" s="252" t="s">
        <v>1813</v>
      </c>
      <c r="B309" s="252" t="s">
        <v>1814</v>
      </c>
      <c r="C309" s="147"/>
      <c r="D309" s="147"/>
      <c r="E309" s="147"/>
      <c r="F309" s="224"/>
    </row>
    <row r="310" spans="1:6" x14ac:dyDescent="0.25">
      <c r="A310" s="252" t="s">
        <v>1897</v>
      </c>
      <c r="B310" s="252" t="s">
        <v>1898</v>
      </c>
      <c r="C310" s="147"/>
      <c r="D310" s="147"/>
      <c r="E310" s="147"/>
      <c r="F310" s="224"/>
    </row>
    <row r="311" spans="1:6" x14ac:dyDescent="0.25">
      <c r="A311" s="252" t="s">
        <v>2000</v>
      </c>
      <c r="B311" s="252" t="s">
        <v>2001</v>
      </c>
      <c r="C311" s="147"/>
      <c r="D311" s="147"/>
      <c r="E311" s="147"/>
      <c r="F311" s="224"/>
    </row>
    <row r="312" spans="1:6" x14ac:dyDescent="0.25">
      <c r="A312" s="252" t="s">
        <v>2075</v>
      </c>
      <c r="B312" s="252" t="s">
        <v>2076</v>
      </c>
      <c r="C312" s="147"/>
      <c r="D312" s="147"/>
      <c r="E312" s="147"/>
      <c r="F312" s="224"/>
    </row>
    <row r="313" spans="1:6" x14ac:dyDescent="0.25">
      <c r="A313" s="252" t="s">
        <v>2317</v>
      </c>
      <c r="B313" s="252" t="s">
        <v>2318</v>
      </c>
      <c r="C313" s="147"/>
      <c r="D313" s="147"/>
      <c r="E313" s="147"/>
      <c r="F313" s="224"/>
    </row>
    <row r="314" spans="1:6" x14ac:dyDescent="0.25">
      <c r="A314" s="252" t="s">
        <v>2049</v>
      </c>
      <c r="B314" s="252" t="s">
        <v>2050</v>
      </c>
      <c r="C314" s="147"/>
      <c r="D314" s="147"/>
      <c r="E314" s="147"/>
      <c r="F314" s="224"/>
    </row>
    <row r="315" spans="1:6" x14ac:dyDescent="0.25">
      <c r="A315" s="252" t="s">
        <v>1855</v>
      </c>
      <c r="B315" s="252" t="s">
        <v>1856</v>
      </c>
      <c r="C315" s="147"/>
      <c r="D315" s="147"/>
      <c r="E315" s="147"/>
      <c r="F315" s="224"/>
    </row>
    <row r="316" spans="1:6" x14ac:dyDescent="0.25">
      <c r="A316" s="252" t="s">
        <v>2155</v>
      </c>
      <c r="B316" s="252" t="s">
        <v>249</v>
      </c>
      <c r="C316" s="147"/>
      <c r="D316" s="147"/>
      <c r="E316" s="147"/>
      <c r="F316" s="224"/>
    </row>
    <row r="317" spans="1:6" x14ac:dyDescent="0.25">
      <c r="A317" s="252" t="s">
        <v>2002</v>
      </c>
      <c r="B317" s="252" t="s">
        <v>2003</v>
      </c>
      <c r="C317" s="147"/>
      <c r="D317" s="147"/>
      <c r="E317" s="147"/>
      <c r="F317" s="224"/>
    </row>
    <row r="318" spans="1:6" x14ac:dyDescent="0.25">
      <c r="A318" s="252" t="s">
        <v>2249</v>
      </c>
      <c r="B318" s="252" t="s">
        <v>2250</v>
      </c>
      <c r="C318" s="147"/>
      <c r="D318" s="147"/>
      <c r="E318" s="147"/>
      <c r="F318" s="224"/>
    </row>
    <row r="319" spans="1:6" x14ac:dyDescent="0.25">
      <c r="A319" s="252" t="s">
        <v>2175</v>
      </c>
      <c r="B319" s="252" t="s">
        <v>2176</v>
      </c>
      <c r="C319" s="147"/>
      <c r="D319" s="147"/>
      <c r="E319" s="147"/>
      <c r="F319" s="224"/>
    </row>
    <row r="320" spans="1:6" x14ac:dyDescent="0.25">
      <c r="A320" s="252" t="s">
        <v>2247</v>
      </c>
      <c r="B320" s="252" t="s">
        <v>2248</v>
      </c>
      <c r="C320" s="147"/>
      <c r="D320" s="147"/>
      <c r="E320" s="147"/>
      <c r="F320" s="224"/>
    </row>
    <row r="321" spans="1:6" x14ac:dyDescent="0.25">
      <c r="A321" s="252" t="s">
        <v>2033</v>
      </c>
      <c r="B321" s="252" t="s">
        <v>2034</v>
      </c>
      <c r="C321" s="147"/>
      <c r="D321" s="147"/>
      <c r="E321" s="147"/>
      <c r="F321" s="224"/>
    </row>
    <row r="322" spans="1:6" x14ac:dyDescent="0.25">
      <c r="A322" s="252" t="s">
        <v>3542</v>
      </c>
      <c r="B322" s="252" t="s">
        <v>3543</v>
      </c>
      <c r="C322" s="147"/>
      <c r="D322" s="147"/>
      <c r="E322" s="147"/>
      <c r="F322" s="224"/>
    </row>
    <row r="323" spans="1:6" x14ac:dyDescent="0.25">
      <c r="A323" s="252" t="s">
        <v>1841</v>
      </c>
      <c r="B323" s="252" t="s">
        <v>1842</v>
      </c>
      <c r="C323" s="147"/>
      <c r="D323" s="147"/>
      <c r="E323" s="147"/>
      <c r="F323" s="224"/>
    </row>
    <row r="324" spans="1:6" x14ac:dyDescent="0.25">
      <c r="A324" s="252" t="s">
        <v>1853</v>
      </c>
      <c r="B324" s="252" t="s">
        <v>1854</v>
      </c>
      <c r="C324" s="147"/>
      <c r="D324" s="147"/>
      <c r="E324" s="147"/>
      <c r="F324" s="224"/>
    </row>
    <row r="325" spans="1:6" x14ac:dyDescent="0.25">
      <c r="A325" s="252" t="s">
        <v>1943</v>
      </c>
      <c r="B325" s="252" t="s">
        <v>1944</v>
      </c>
      <c r="C325" s="147"/>
      <c r="D325" s="147"/>
      <c r="E325" s="147"/>
      <c r="F325" s="224"/>
    </row>
    <row r="326" spans="1:6" x14ac:dyDescent="0.25">
      <c r="A326" s="252" t="s">
        <v>2007</v>
      </c>
      <c r="B326" s="252" t="s">
        <v>2008</v>
      </c>
      <c r="C326" s="147"/>
      <c r="D326" s="147"/>
      <c r="E326" s="147"/>
      <c r="F326" s="224"/>
    </row>
    <row r="327" spans="1:6" x14ac:dyDescent="0.25">
      <c r="A327" s="252" t="s">
        <v>1996</v>
      </c>
      <c r="B327" s="252" t="s">
        <v>1997</v>
      </c>
      <c r="C327" s="147"/>
      <c r="D327" s="147"/>
      <c r="E327" s="147"/>
      <c r="F327" s="224"/>
    </row>
    <row r="328" spans="1:6" x14ac:dyDescent="0.25">
      <c r="A328" s="252" t="s">
        <v>1975</v>
      </c>
      <c r="B328" s="252" t="s">
        <v>1976</v>
      </c>
      <c r="C328" s="147"/>
      <c r="D328" s="147"/>
      <c r="E328" s="147"/>
      <c r="F328" s="224"/>
    </row>
    <row r="329" spans="1:6" x14ac:dyDescent="0.25">
      <c r="A329" s="252" t="s">
        <v>2039</v>
      </c>
      <c r="B329" s="252" t="s">
        <v>2040</v>
      </c>
      <c r="C329" s="147"/>
      <c r="D329" s="147"/>
      <c r="E329" s="147"/>
      <c r="F329" s="224"/>
    </row>
    <row r="330" spans="1:6" x14ac:dyDescent="0.25">
      <c r="A330" s="252" t="s">
        <v>3571</v>
      </c>
      <c r="B330" s="252" t="s">
        <v>3572</v>
      </c>
      <c r="C330" s="147"/>
      <c r="D330" s="147"/>
      <c r="E330" s="147"/>
      <c r="F330" s="224"/>
    </row>
    <row r="331" spans="1:6" x14ac:dyDescent="0.25">
      <c r="A331" s="252" t="s">
        <v>2329</v>
      </c>
      <c r="B331" s="252" t="s">
        <v>2330</v>
      </c>
      <c r="C331" s="147"/>
      <c r="D331" s="147"/>
      <c r="E331" s="147"/>
      <c r="F331" s="224"/>
    </row>
    <row r="332" spans="1:6" x14ac:dyDescent="0.25">
      <c r="A332" s="252" t="s">
        <v>3563</v>
      </c>
      <c r="B332" s="252" t="s">
        <v>3564</v>
      </c>
      <c r="C332" s="147"/>
      <c r="D332" s="147"/>
      <c r="E332" s="147"/>
      <c r="F332" s="224"/>
    </row>
    <row r="333" spans="1:6" x14ac:dyDescent="0.25">
      <c r="A333" s="252" t="s">
        <v>1917</v>
      </c>
      <c r="B333" s="252" t="s">
        <v>1918</v>
      </c>
      <c r="C333" s="147"/>
      <c r="D333" s="147"/>
      <c r="E333" s="147"/>
      <c r="F333" s="224"/>
    </row>
    <row r="334" spans="1:6" x14ac:dyDescent="0.25">
      <c r="A334" s="252" t="s">
        <v>2196</v>
      </c>
      <c r="B334" s="252" t="s">
        <v>2197</v>
      </c>
      <c r="C334" s="147"/>
      <c r="D334" s="147"/>
      <c r="E334" s="147"/>
      <c r="F334" s="224"/>
    </row>
    <row r="335" spans="1:6" x14ac:dyDescent="0.25">
      <c r="A335" s="252" t="s">
        <v>1973</v>
      </c>
      <c r="B335" s="252" t="s">
        <v>1974</v>
      </c>
      <c r="C335" s="147"/>
      <c r="D335" s="147"/>
      <c r="E335" s="147"/>
      <c r="F335" s="224"/>
    </row>
    <row r="336" spans="1:6" x14ac:dyDescent="0.25">
      <c r="A336" s="252" t="s">
        <v>2113</v>
      </c>
      <c r="B336" s="252" t="s">
        <v>2114</v>
      </c>
      <c r="C336" s="147"/>
      <c r="D336" s="147"/>
      <c r="E336" s="147"/>
      <c r="F336" s="224"/>
    </row>
    <row r="337" spans="1:6" x14ac:dyDescent="0.25">
      <c r="A337" s="252" t="s">
        <v>3584</v>
      </c>
      <c r="B337" s="252" t="s">
        <v>3585</v>
      </c>
      <c r="C337" s="147"/>
      <c r="D337" s="147"/>
      <c r="E337" s="147"/>
      <c r="F337" s="224"/>
    </row>
    <row r="338" spans="1:6" x14ac:dyDescent="0.25">
      <c r="A338" s="252" t="s">
        <v>2232</v>
      </c>
      <c r="B338" s="252" t="s">
        <v>2233</v>
      </c>
      <c r="C338" s="147"/>
      <c r="D338" s="147"/>
      <c r="E338" s="147"/>
      <c r="F338" s="224"/>
    </row>
    <row r="339" spans="1:6" x14ac:dyDescent="0.25">
      <c r="A339" s="252" t="s">
        <v>2252</v>
      </c>
      <c r="B339" s="252" t="s">
        <v>2253</v>
      </c>
      <c r="C339" s="147"/>
      <c r="D339" s="147"/>
      <c r="E339" s="147"/>
      <c r="F339" s="224"/>
    </row>
    <row r="340" spans="1:6" x14ac:dyDescent="0.25">
      <c r="A340" s="252" t="s">
        <v>3596</v>
      </c>
      <c r="B340" s="252" t="s">
        <v>3597</v>
      </c>
      <c r="C340" s="147"/>
      <c r="D340" s="147"/>
      <c r="E340" s="147"/>
      <c r="F340" s="224"/>
    </row>
    <row r="341" spans="1:6" x14ac:dyDescent="0.25">
      <c r="A341" s="252" t="s">
        <v>3423</v>
      </c>
      <c r="B341" s="252" t="s">
        <v>3424</v>
      </c>
      <c r="C341" s="147"/>
      <c r="D341" s="147"/>
      <c r="E341" s="147"/>
      <c r="F341" s="224"/>
    </row>
    <row r="342" spans="1:6" x14ac:dyDescent="0.25">
      <c r="A342" s="252" t="s">
        <v>3519</v>
      </c>
      <c r="B342" s="252" t="s">
        <v>3520</v>
      </c>
      <c r="C342" s="147"/>
      <c r="D342" s="147"/>
      <c r="E342" s="147"/>
      <c r="F342" s="224"/>
    </row>
    <row r="343" spans="1:6" x14ac:dyDescent="0.25">
      <c r="A343" s="147"/>
      <c r="B343" s="147"/>
      <c r="C343" s="147"/>
      <c r="D343" s="147"/>
      <c r="E343" s="147"/>
      <c r="F343" s="224"/>
    </row>
    <row r="344" spans="1:6" x14ac:dyDescent="0.25">
      <c r="A344" s="147"/>
      <c r="B344" s="147"/>
      <c r="C344" s="147"/>
      <c r="D344" s="147"/>
      <c r="E344" s="147"/>
      <c r="F344" s="224"/>
    </row>
    <row r="345" spans="1:6" x14ac:dyDescent="0.25">
      <c r="A345" s="147"/>
      <c r="B345" s="147"/>
      <c r="C345" s="147"/>
      <c r="D345" s="147"/>
      <c r="E345" s="147"/>
      <c r="F345" s="224"/>
    </row>
    <row r="346" spans="1:6" x14ac:dyDescent="0.25">
      <c r="A346" s="147"/>
      <c r="B346" s="147"/>
      <c r="C346" s="147"/>
      <c r="D346" s="147"/>
      <c r="E346" s="147"/>
      <c r="F346" s="224"/>
    </row>
    <row r="347" spans="1:6" x14ac:dyDescent="0.25">
      <c r="A347" s="147"/>
      <c r="B347" s="147"/>
      <c r="C347" s="147"/>
      <c r="D347" s="147"/>
      <c r="E347" s="147"/>
      <c r="F347" s="224"/>
    </row>
    <row r="348" spans="1:6" x14ac:dyDescent="0.25">
      <c r="A348" s="147"/>
      <c r="B348" s="147"/>
      <c r="C348" s="147"/>
      <c r="D348" s="147"/>
      <c r="E348" s="147"/>
      <c r="F348" s="224"/>
    </row>
    <row r="349" spans="1:6" x14ac:dyDescent="0.25">
      <c r="A349" s="147"/>
      <c r="B349" s="147"/>
      <c r="C349" s="147"/>
      <c r="D349" s="147"/>
      <c r="E349" s="147"/>
      <c r="F349" s="224"/>
    </row>
    <row r="350" spans="1:6" x14ac:dyDescent="0.25">
      <c r="A350" s="147"/>
      <c r="B350" s="147"/>
      <c r="C350" s="147"/>
      <c r="D350" s="147"/>
      <c r="E350" s="147"/>
      <c r="F350" s="224"/>
    </row>
    <row r="351" spans="1:6" x14ac:dyDescent="0.25">
      <c r="A351" s="147"/>
      <c r="B351" s="147"/>
      <c r="C351" s="147"/>
      <c r="D351" s="147"/>
      <c r="E351" s="147"/>
      <c r="F351" s="224"/>
    </row>
    <row r="352" spans="1:6" x14ac:dyDescent="0.25">
      <c r="A352" s="147"/>
      <c r="B352" s="147"/>
      <c r="C352" s="147"/>
      <c r="D352" s="147"/>
      <c r="E352" s="147"/>
      <c r="F352" s="224"/>
    </row>
    <row r="353" spans="1:6" x14ac:dyDescent="0.25">
      <c r="A353" s="147"/>
      <c r="B353" s="147"/>
      <c r="C353" s="147"/>
      <c r="D353" s="147"/>
      <c r="E353" s="147"/>
      <c r="F353" s="224"/>
    </row>
    <row r="354" spans="1:6" x14ac:dyDescent="0.25">
      <c r="A354" s="147"/>
      <c r="B354" s="147"/>
      <c r="C354" s="147"/>
      <c r="D354" s="147"/>
      <c r="E354" s="147"/>
      <c r="F354" s="224"/>
    </row>
    <row r="355" spans="1:6" x14ac:dyDescent="0.25">
      <c r="A355" s="147"/>
      <c r="B355" s="147"/>
      <c r="C355" s="147"/>
      <c r="D355" s="147"/>
      <c r="E355" s="147"/>
      <c r="F355" s="224"/>
    </row>
    <row r="356" spans="1:6" x14ac:dyDescent="0.25">
      <c r="A356" s="147"/>
      <c r="B356" s="147"/>
      <c r="C356" s="147"/>
      <c r="D356" s="147"/>
      <c r="E356" s="147"/>
      <c r="F356" s="224"/>
    </row>
    <row r="357" spans="1:6" x14ac:dyDescent="0.25">
      <c r="A357" s="147"/>
      <c r="B357" s="147"/>
      <c r="C357" s="147"/>
      <c r="D357" s="147"/>
      <c r="E357" s="147"/>
      <c r="F357" s="224"/>
    </row>
    <row r="358" spans="1:6" x14ac:dyDescent="0.25">
      <c r="A358" s="147"/>
      <c r="B358" s="147"/>
      <c r="C358" s="147"/>
      <c r="D358" s="147"/>
      <c r="E358" s="147"/>
      <c r="F358" s="224"/>
    </row>
    <row r="359" spans="1:6" x14ac:dyDescent="0.25">
      <c r="A359" s="147"/>
      <c r="B359" s="147"/>
      <c r="C359" s="147"/>
      <c r="D359" s="147"/>
      <c r="E359" s="147"/>
      <c r="F359" s="224"/>
    </row>
    <row r="360" spans="1:6" x14ac:dyDescent="0.25">
      <c r="A360" s="147"/>
      <c r="B360" s="147"/>
      <c r="C360" s="147"/>
      <c r="D360" s="147"/>
      <c r="E360" s="147"/>
      <c r="F360" s="224"/>
    </row>
    <row r="361" spans="1:6" x14ac:dyDescent="0.25">
      <c r="A361" s="147"/>
      <c r="B361" s="147"/>
      <c r="C361" s="147"/>
      <c r="D361" s="147"/>
      <c r="E361" s="147"/>
      <c r="F361" s="224"/>
    </row>
    <row r="362" spans="1:6" x14ac:dyDescent="0.25">
      <c r="A362" s="147"/>
      <c r="B362" s="147"/>
      <c r="C362" s="147"/>
      <c r="D362" s="147"/>
      <c r="E362" s="147"/>
      <c r="F362" s="224"/>
    </row>
    <row r="363" spans="1:6" x14ac:dyDescent="0.25">
      <c r="A363" s="147"/>
      <c r="B363" s="147"/>
      <c r="C363" s="147"/>
      <c r="D363" s="147"/>
      <c r="E363" s="147"/>
      <c r="F363" s="224"/>
    </row>
    <row r="364" spans="1:6" x14ac:dyDescent="0.25">
      <c r="A364" s="147"/>
      <c r="B364" s="147"/>
      <c r="C364" s="147"/>
      <c r="D364" s="147"/>
      <c r="E364" s="147"/>
      <c r="F364" s="224"/>
    </row>
    <row r="365" spans="1:6" x14ac:dyDescent="0.25">
      <c r="A365" s="147"/>
      <c r="B365" s="147"/>
      <c r="C365" s="147"/>
      <c r="D365" s="147"/>
      <c r="E365" s="147"/>
      <c r="F365" s="224"/>
    </row>
    <row r="366" spans="1:6" x14ac:dyDescent="0.25">
      <c r="A366" s="147"/>
      <c r="B366" s="147"/>
      <c r="C366" s="147"/>
      <c r="D366" s="147"/>
      <c r="E366" s="147"/>
      <c r="F366" s="224"/>
    </row>
    <row r="367" spans="1:6" x14ac:dyDescent="0.25">
      <c r="A367" s="147"/>
      <c r="B367" s="147"/>
      <c r="C367" s="147"/>
      <c r="D367" s="147"/>
      <c r="E367" s="147"/>
      <c r="F367" s="224"/>
    </row>
    <row r="368" spans="1:6" x14ac:dyDescent="0.25">
      <c r="A368" s="147"/>
      <c r="B368" s="147"/>
      <c r="C368" s="147"/>
      <c r="D368" s="147"/>
      <c r="E368" s="147"/>
      <c r="F368" s="224"/>
    </row>
    <row r="369" spans="1:6" x14ac:dyDescent="0.25">
      <c r="A369" s="147"/>
      <c r="B369" s="147"/>
      <c r="C369" s="147"/>
      <c r="D369" s="147"/>
      <c r="E369" s="147"/>
      <c r="F369" s="224"/>
    </row>
    <row r="370" spans="1:6" x14ac:dyDescent="0.25">
      <c r="A370" s="147"/>
      <c r="B370" s="147"/>
      <c r="C370" s="147"/>
      <c r="D370" s="147"/>
      <c r="E370" s="147"/>
      <c r="F370" s="224"/>
    </row>
    <row r="371" spans="1:6" x14ac:dyDescent="0.25">
      <c r="A371" s="147"/>
      <c r="B371" s="147"/>
      <c r="C371" s="147"/>
      <c r="D371" s="147"/>
      <c r="E371" s="147"/>
      <c r="F371" s="224"/>
    </row>
    <row r="372" spans="1:6" x14ac:dyDescent="0.25">
      <c r="A372" s="147"/>
      <c r="B372" s="147"/>
      <c r="C372" s="147"/>
      <c r="D372" s="147"/>
      <c r="E372" s="147"/>
      <c r="F372" s="224"/>
    </row>
    <row r="373" spans="1:6" x14ac:dyDescent="0.25">
      <c r="A373" s="147"/>
      <c r="B373" s="147"/>
      <c r="C373" s="147"/>
      <c r="D373" s="147"/>
      <c r="E373" s="147"/>
      <c r="F373" s="224"/>
    </row>
    <row r="374" spans="1:6" x14ac:dyDescent="0.25">
      <c r="A374" s="147"/>
      <c r="B374" s="147"/>
      <c r="C374" s="147"/>
      <c r="D374" s="147"/>
      <c r="E374" s="147"/>
      <c r="F374" s="224"/>
    </row>
    <row r="375" spans="1:6" x14ac:dyDescent="0.25">
      <c r="A375" s="147"/>
      <c r="B375" s="147"/>
      <c r="C375" s="147"/>
      <c r="D375" s="147"/>
      <c r="E375" s="147"/>
      <c r="F375" s="224"/>
    </row>
    <row r="376" spans="1:6" x14ac:dyDescent="0.25">
      <c r="A376" s="147"/>
      <c r="B376" s="147"/>
      <c r="C376" s="147"/>
      <c r="D376" s="147"/>
      <c r="E376" s="147"/>
      <c r="F376" s="224"/>
    </row>
    <row r="377" spans="1:6" x14ac:dyDescent="0.25">
      <c r="A377" s="147"/>
      <c r="B377" s="147"/>
      <c r="C377" s="147"/>
      <c r="D377" s="147"/>
      <c r="E377" s="147"/>
      <c r="F377" s="224"/>
    </row>
    <row r="378" spans="1:6" x14ac:dyDescent="0.25">
      <c r="A378" s="147"/>
      <c r="B378" s="147"/>
      <c r="C378" s="147"/>
      <c r="D378" s="147"/>
      <c r="E378" s="147"/>
      <c r="F378" s="224"/>
    </row>
    <row r="379" spans="1:6" x14ac:dyDescent="0.25">
      <c r="A379" s="147"/>
      <c r="B379" s="147"/>
      <c r="C379" s="147"/>
      <c r="D379" s="147"/>
      <c r="E379" s="147"/>
      <c r="F379" s="224"/>
    </row>
    <row r="380" spans="1:6" x14ac:dyDescent="0.25">
      <c r="A380" s="147"/>
      <c r="B380" s="147"/>
      <c r="C380" s="147"/>
      <c r="D380" s="147"/>
      <c r="E380" s="147"/>
      <c r="F380" s="224"/>
    </row>
    <row r="381" spans="1:6" x14ac:dyDescent="0.25">
      <c r="A381" s="147"/>
      <c r="B381" s="147"/>
      <c r="C381" s="147"/>
      <c r="D381" s="147"/>
      <c r="E381" s="147"/>
      <c r="F381" s="224"/>
    </row>
    <row r="382" spans="1:6" x14ac:dyDescent="0.25">
      <c r="A382" s="147"/>
      <c r="B382" s="147"/>
      <c r="C382" s="147"/>
      <c r="D382" s="147"/>
      <c r="E382" s="147"/>
      <c r="F382" s="224"/>
    </row>
    <row r="383" spans="1:6" x14ac:dyDescent="0.25">
      <c r="A383" s="147"/>
      <c r="B383" s="147"/>
      <c r="C383" s="147"/>
      <c r="D383" s="147"/>
      <c r="E383" s="147"/>
      <c r="F383" s="224"/>
    </row>
    <row r="384" spans="1:6" x14ac:dyDescent="0.25">
      <c r="A384" s="147"/>
      <c r="B384" s="147"/>
      <c r="C384" s="147"/>
      <c r="D384" s="147"/>
      <c r="E384" s="147"/>
      <c r="F384" s="224"/>
    </row>
    <row r="385" spans="1:6" x14ac:dyDescent="0.25">
      <c r="A385" s="147"/>
      <c r="B385" s="147"/>
      <c r="C385" s="147"/>
      <c r="D385" s="147"/>
      <c r="E385" s="147"/>
      <c r="F385" s="224"/>
    </row>
    <row r="386" spans="1:6" x14ac:dyDescent="0.25">
      <c r="A386" s="147"/>
      <c r="B386" s="147"/>
      <c r="C386" s="147"/>
      <c r="D386" s="147"/>
      <c r="E386" s="147"/>
      <c r="F386" s="224"/>
    </row>
    <row r="387" spans="1:6" x14ac:dyDescent="0.25">
      <c r="A387" s="147"/>
      <c r="B387" s="147"/>
      <c r="C387" s="147"/>
      <c r="D387" s="147"/>
      <c r="E387" s="147"/>
      <c r="F387" s="224"/>
    </row>
    <row r="388" spans="1:6" x14ac:dyDescent="0.25">
      <c r="A388" s="147"/>
      <c r="B388" s="147"/>
      <c r="C388" s="147"/>
      <c r="D388" s="147"/>
      <c r="E388" s="147"/>
      <c r="F388" s="224"/>
    </row>
    <row r="389" spans="1:6" x14ac:dyDescent="0.25">
      <c r="A389" s="147"/>
      <c r="B389" s="147"/>
      <c r="C389" s="147"/>
      <c r="D389" s="147"/>
      <c r="E389" s="147"/>
      <c r="F389" s="224"/>
    </row>
    <row r="390" spans="1:6" x14ac:dyDescent="0.25">
      <c r="A390" s="147"/>
      <c r="B390" s="147"/>
      <c r="C390" s="147"/>
      <c r="D390" s="147"/>
      <c r="E390" s="147"/>
      <c r="F390" s="224"/>
    </row>
    <row r="391" spans="1:6" x14ac:dyDescent="0.25">
      <c r="A391" s="147"/>
      <c r="B391" s="147"/>
      <c r="C391" s="147"/>
      <c r="D391" s="147"/>
      <c r="E391" s="147"/>
      <c r="F391" s="224"/>
    </row>
    <row r="392" spans="1:6" x14ac:dyDescent="0.25">
      <c r="A392" s="147"/>
      <c r="B392" s="147"/>
      <c r="C392" s="147"/>
      <c r="D392" s="147"/>
      <c r="E392" s="147"/>
      <c r="F392" s="224"/>
    </row>
    <row r="393" spans="1:6" x14ac:dyDescent="0.25">
      <c r="A393" s="147"/>
      <c r="B393" s="147"/>
      <c r="C393" s="147"/>
      <c r="D393" s="147"/>
      <c r="E393" s="147"/>
      <c r="F393" s="224"/>
    </row>
    <row r="394" spans="1:6" x14ac:dyDescent="0.25">
      <c r="A394" s="147"/>
      <c r="B394" s="147"/>
      <c r="C394" s="147"/>
      <c r="D394" s="147"/>
      <c r="E394" s="147"/>
      <c r="F394" s="224"/>
    </row>
    <row r="395" spans="1:6" x14ac:dyDescent="0.25">
      <c r="A395" s="147"/>
      <c r="B395" s="147"/>
      <c r="C395" s="147"/>
      <c r="D395" s="147"/>
      <c r="E395" s="147"/>
      <c r="F395" s="224"/>
    </row>
    <row r="396" spans="1:6" x14ac:dyDescent="0.25">
      <c r="A396" s="147"/>
      <c r="B396" s="147"/>
      <c r="C396" s="147"/>
      <c r="D396" s="147"/>
      <c r="E396" s="147"/>
      <c r="F396" s="224"/>
    </row>
    <row r="397" spans="1:6" x14ac:dyDescent="0.25">
      <c r="A397" s="147"/>
      <c r="B397" s="147"/>
      <c r="C397" s="147"/>
      <c r="D397" s="147"/>
      <c r="E397" s="147"/>
      <c r="F397" s="224"/>
    </row>
    <row r="398" spans="1:6" x14ac:dyDescent="0.25">
      <c r="A398" s="147"/>
      <c r="B398" s="147"/>
      <c r="C398" s="147"/>
      <c r="D398" s="147"/>
      <c r="E398" s="147"/>
      <c r="F398" s="224"/>
    </row>
    <row r="399" spans="1:6" x14ac:dyDescent="0.25">
      <c r="A399" s="147"/>
      <c r="B399" s="147"/>
      <c r="C399" s="147"/>
      <c r="D399" s="147"/>
      <c r="E399" s="147"/>
      <c r="F399" s="224"/>
    </row>
    <row r="400" spans="1:6" x14ac:dyDescent="0.25">
      <c r="A400" s="147"/>
      <c r="B400" s="147"/>
      <c r="C400" s="147"/>
      <c r="D400" s="147"/>
      <c r="E400" s="147"/>
      <c r="F400" s="224"/>
    </row>
    <row r="401" spans="1:6" x14ac:dyDescent="0.25">
      <c r="A401" s="147"/>
      <c r="B401" s="147"/>
      <c r="C401" s="147"/>
      <c r="D401" s="147"/>
      <c r="E401" s="147"/>
      <c r="F401" s="224"/>
    </row>
    <row r="402" spans="1:6" x14ac:dyDescent="0.25">
      <c r="A402" s="147"/>
      <c r="B402" s="147"/>
      <c r="C402" s="147"/>
      <c r="D402" s="147"/>
      <c r="E402" s="147"/>
      <c r="F402" s="224"/>
    </row>
    <row r="403" spans="1:6" x14ac:dyDescent="0.25">
      <c r="A403" s="147"/>
      <c r="B403" s="147"/>
      <c r="C403" s="147"/>
      <c r="D403" s="147"/>
      <c r="E403" s="147"/>
      <c r="F403" s="224"/>
    </row>
    <row r="404" spans="1:6" x14ac:dyDescent="0.25">
      <c r="A404" s="147"/>
      <c r="B404" s="147"/>
      <c r="C404" s="147"/>
      <c r="D404" s="147"/>
      <c r="E404" s="147"/>
      <c r="F404" s="224"/>
    </row>
    <row r="405" spans="1:6" x14ac:dyDescent="0.25">
      <c r="A405" s="147"/>
      <c r="B405" s="147"/>
      <c r="C405" s="147"/>
      <c r="D405" s="147"/>
      <c r="E405" s="147"/>
      <c r="F405" s="224"/>
    </row>
    <row r="406" spans="1:6" x14ac:dyDescent="0.25">
      <c r="A406" s="147"/>
      <c r="B406" s="147"/>
      <c r="C406" s="147"/>
      <c r="D406" s="147"/>
      <c r="E406" s="147"/>
      <c r="F406" s="224"/>
    </row>
    <row r="407" spans="1:6" x14ac:dyDescent="0.25">
      <c r="A407" s="147"/>
      <c r="B407" s="147"/>
      <c r="C407" s="147"/>
      <c r="D407" s="147"/>
      <c r="E407" s="147"/>
      <c r="F407" s="224"/>
    </row>
    <row r="408" spans="1:6" x14ac:dyDescent="0.25">
      <c r="A408" s="147"/>
      <c r="B408" s="147"/>
      <c r="C408" s="147"/>
      <c r="D408" s="147"/>
      <c r="E408" s="147"/>
      <c r="F408" s="224"/>
    </row>
    <row r="409" spans="1:6" x14ac:dyDescent="0.25">
      <c r="A409" s="147"/>
      <c r="B409" s="147"/>
      <c r="C409" s="147"/>
      <c r="D409" s="147"/>
      <c r="E409" s="147"/>
      <c r="F409" s="224"/>
    </row>
    <row r="410" spans="1:6" x14ac:dyDescent="0.25">
      <c r="A410" s="147"/>
      <c r="B410" s="147"/>
      <c r="C410" s="147"/>
      <c r="D410" s="147"/>
      <c r="E410" s="147"/>
      <c r="F410" s="224"/>
    </row>
    <row r="411" spans="1:6" x14ac:dyDescent="0.25">
      <c r="A411" s="147"/>
      <c r="B411" s="147"/>
      <c r="C411" s="147"/>
      <c r="D411" s="147"/>
      <c r="E411" s="147"/>
      <c r="F411" s="224"/>
    </row>
    <row r="412" spans="1:6" x14ac:dyDescent="0.25">
      <c r="A412" s="147"/>
      <c r="B412" s="147"/>
      <c r="C412" s="147"/>
      <c r="D412" s="147"/>
      <c r="E412" s="147"/>
      <c r="F412" s="224"/>
    </row>
    <row r="413" spans="1:6" x14ac:dyDescent="0.25">
      <c r="A413" s="147"/>
      <c r="B413" s="147"/>
      <c r="C413" s="147"/>
      <c r="D413" s="147"/>
      <c r="E413" s="147"/>
      <c r="F413" s="224"/>
    </row>
  </sheetData>
  <sortState ref="A1:F413">
    <sortCondition ref="B1:B41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</sheetPr>
  <dimension ref="A1:B233"/>
  <sheetViews>
    <sheetView topLeftCell="A40" workbookViewId="0">
      <selection activeCell="A125" sqref="A125:B125"/>
    </sheetView>
  </sheetViews>
  <sheetFormatPr defaultRowHeight="15" x14ac:dyDescent="0.25"/>
  <cols>
    <col min="1" max="1" width="13.42578125" style="216" customWidth="1"/>
    <col min="2" max="2" width="51.5703125" style="210" bestFit="1" customWidth="1"/>
    <col min="3" max="16384" width="9.140625" style="187"/>
  </cols>
  <sheetData>
    <row r="1" spans="1:2" x14ac:dyDescent="0.25">
      <c r="A1" s="183">
        <v>10136490</v>
      </c>
      <c r="B1" t="s">
        <v>4539</v>
      </c>
    </row>
    <row r="2" spans="1:2" x14ac:dyDescent="0.25">
      <c r="A2" s="183">
        <v>10136493</v>
      </c>
      <c r="B2" t="s">
        <v>4540</v>
      </c>
    </row>
    <row r="3" spans="1:2" x14ac:dyDescent="0.25">
      <c r="A3" s="183">
        <v>10136491</v>
      </c>
      <c r="B3" t="s">
        <v>4535</v>
      </c>
    </row>
    <row r="4" spans="1:2" x14ac:dyDescent="0.25">
      <c r="A4" s="183">
        <v>10136498</v>
      </c>
      <c r="B4" t="s">
        <v>4537</v>
      </c>
    </row>
    <row r="5" spans="1:2" x14ac:dyDescent="0.25">
      <c r="A5" s="183">
        <v>10136535</v>
      </c>
      <c r="B5" t="s">
        <v>4543</v>
      </c>
    </row>
    <row r="6" spans="1:2" x14ac:dyDescent="0.25">
      <c r="A6" s="183">
        <v>10136532</v>
      </c>
      <c r="B6" t="s">
        <v>4531</v>
      </c>
    </row>
    <row r="7" spans="1:2" x14ac:dyDescent="0.25">
      <c r="A7" s="183">
        <v>10136533</v>
      </c>
      <c r="B7" t="s">
        <v>4538</v>
      </c>
    </row>
    <row r="8" spans="1:2" x14ac:dyDescent="0.25">
      <c r="A8" s="183">
        <v>10136538</v>
      </c>
      <c r="B8" t="s">
        <v>4541</v>
      </c>
    </row>
    <row r="9" spans="1:2" x14ac:dyDescent="0.25">
      <c r="A9" s="263">
        <v>10136514</v>
      </c>
      <c r="B9" s="252" t="s">
        <v>4530</v>
      </c>
    </row>
    <row r="10" spans="1:2" x14ac:dyDescent="0.25">
      <c r="A10" s="263">
        <v>10136515</v>
      </c>
      <c r="B10" s="252" t="s">
        <v>4529</v>
      </c>
    </row>
    <row r="11" spans="1:2" x14ac:dyDescent="0.25">
      <c r="A11" s="183">
        <v>10136466</v>
      </c>
      <c r="B11" t="s">
        <v>4546</v>
      </c>
    </row>
    <row r="12" spans="1:2" x14ac:dyDescent="0.25">
      <c r="A12" s="263">
        <v>10136576</v>
      </c>
      <c r="B12" s="252" t="s">
        <v>4544</v>
      </c>
    </row>
    <row r="13" spans="1:2" x14ac:dyDescent="0.25">
      <c r="A13" s="183">
        <v>10136464</v>
      </c>
      <c r="B13" t="s">
        <v>4547</v>
      </c>
    </row>
    <row r="14" spans="1:2" x14ac:dyDescent="0.25">
      <c r="A14" s="183">
        <v>10136470</v>
      </c>
      <c r="B14" t="s">
        <v>4545</v>
      </c>
    </row>
    <row r="15" spans="1:2" x14ac:dyDescent="0.25">
      <c r="A15" s="183">
        <v>10136517</v>
      </c>
      <c r="B15" t="s">
        <v>4575</v>
      </c>
    </row>
    <row r="16" spans="1:2" x14ac:dyDescent="0.25">
      <c r="A16" s="263">
        <v>10136520</v>
      </c>
      <c r="B16" s="252" t="s">
        <v>4534</v>
      </c>
    </row>
    <row r="17" spans="1:2" x14ac:dyDescent="0.25">
      <c r="A17" s="183">
        <v>10136504</v>
      </c>
      <c r="B17" t="s">
        <v>4533</v>
      </c>
    </row>
    <row r="18" spans="1:2" x14ac:dyDescent="0.25">
      <c r="A18" s="263">
        <v>10136503</v>
      </c>
      <c r="B18" s="252" t="s">
        <v>4532</v>
      </c>
    </row>
    <row r="19" spans="1:2" x14ac:dyDescent="0.25">
      <c r="A19" s="263">
        <v>10136505</v>
      </c>
      <c r="B19" s="252" t="s">
        <v>4542</v>
      </c>
    </row>
    <row r="20" spans="1:2" x14ac:dyDescent="0.25">
      <c r="A20" s="263">
        <v>10136509</v>
      </c>
      <c r="B20" s="252" t="s">
        <v>4528</v>
      </c>
    </row>
    <row r="21" spans="1:2" x14ac:dyDescent="0.25">
      <c r="A21" s="263">
        <v>10136506</v>
      </c>
      <c r="B21" s="252" t="s">
        <v>4536</v>
      </c>
    </row>
    <row r="22" spans="1:2" x14ac:dyDescent="0.25">
      <c r="A22" s="263">
        <v>10136489</v>
      </c>
      <c r="B22" s="252" t="s">
        <v>4556</v>
      </c>
    </row>
    <row r="23" spans="1:2" x14ac:dyDescent="0.25">
      <c r="A23" s="183">
        <v>10136492</v>
      </c>
      <c r="B23" t="s">
        <v>4557</v>
      </c>
    </row>
    <row r="24" spans="1:2" x14ac:dyDescent="0.25">
      <c r="A24" s="183">
        <v>10136496</v>
      </c>
      <c r="B24" t="s">
        <v>4559</v>
      </c>
    </row>
    <row r="25" spans="1:2" x14ac:dyDescent="0.25">
      <c r="A25" s="183">
        <v>10136495</v>
      </c>
      <c r="B25" t="s">
        <v>4558</v>
      </c>
    </row>
    <row r="26" spans="1:2" x14ac:dyDescent="0.25">
      <c r="A26" s="183">
        <v>10136497</v>
      </c>
      <c r="B26" t="s">
        <v>4560</v>
      </c>
    </row>
    <row r="27" spans="1:2" x14ac:dyDescent="0.25">
      <c r="A27" s="183">
        <v>10136536</v>
      </c>
      <c r="B27" t="s">
        <v>4574</v>
      </c>
    </row>
    <row r="28" spans="1:2" x14ac:dyDescent="0.25">
      <c r="A28" s="183">
        <v>10136534</v>
      </c>
      <c r="B28" t="s">
        <v>4573</v>
      </c>
    </row>
    <row r="29" spans="1:2" x14ac:dyDescent="0.25">
      <c r="A29" s="183">
        <v>10136540</v>
      </c>
      <c r="B29" t="s">
        <v>4577</v>
      </c>
    </row>
    <row r="30" spans="1:2" x14ac:dyDescent="0.25">
      <c r="A30" s="183">
        <v>10136541</v>
      </c>
      <c r="B30" t="s">
        <v>4578</v>
      </c>
    </row>
    <row r="31" spans="1:2" x14ac:dyDescent="0.25">
      <c r="A31" s="263">
        <v>10136539</v>
      </c>
      <c r="B31" s="252" t="s">
        <v>4576</v>
      </c>
    </row>
    <row r="32" spans="1:2" x14ac:dyDescent="0.25">
      <c r="A32" s="263">
        <v>10136513</v>
      </c>
      <c r="B32" s="252" t="s">
        <v>4568</v>
      </c>
    </row>
    <row r="33" spans="1:2" x14ac:dyDescent="0.25">
      <c r="A33" s="183">
        <v>10136512</v>
      </c>
      <c r="B33" t="s">
        <v>4567</v>
      </c>
    </row>
    <row r="34" spans="1:2" x14ac:dyDescent="0.25">
      <c r="A34" s="183">
        <v>10136574</v>
      </c>
      <c r="B34" s="252" t="s">
        <v>4579</v>
      </c>
    </row>
    <row r="35" spans="1:2" x14ac:dyDescent="0.25">
      <c r="A35" s="183">
        <v>10136511</v>
      </c>
      <c r="B35" t="s">
        <v>4566</v>
      </c>
    </row>
    <row r="36" spans="1:2" x14ac:dyDescent="0.25">
      <c r="A36" s="183">
        <v>10136516</v>
      </c>
      <c r="B36" t="s">
        <v>4569</v>
      </c>
    </row>
    <row r="37" spans="1:2" x14ac:dyDescent="0.25">
      <c r="A37" s="263">
        <v>10136463</v>
      </c>
      <c r="B37" s="252" t="s">
        <v>4549</v>
      </c>
    </row>
    <row r="38" spans="1:2" x14ac:dyDescent="0.25">
      <c r="A38" s="263">
        <v>10136465</v>
      </c>
      <c r="B38" s="252" t="s">
        <v>4550</v>
      </c>
    </row>
    <row r="39" spans="1:2" x14ac:dyDescent="0.25">
      <c r="A39" s="263">
        <v>10136462</v>
      </c>
      <c r="B39" s="252" t="s">
        <v>4548</v>
      </c>
    </row>
    <row r="40" spans="1:2" x14ac:dyDescent="0.25">
      <c r="A40" s="263">
        <v>10136467</v>
      </c>
      <c r="B40" s="252" t="s">
        <v>4551</v>
      </c>
    </row>
    <row r="41" spans="1:2" x14ac:dyDescent="0.25">
      <c r="A41" s="183">
        <v>10136469</v>
      </c>
      <c r="B41" t="s">
        <v>4553</v>
      </c>
    </row>
    <row r="42" spans="1:2" x14ac:dyDescent="0.25">
      <c r="A42" s="183">
        <v>10136537</v>
      </c>
      <c r="B42" t="s">
        <v>4570</v>
      </c>
    </row>
    <row r="43" spans="1:2" x14ac:dyDescent="0.25">
      <c r="A43" s="183">
        <v>10136518</v>
      </c>
      <c r="B43" t="s">
        <v>4571</v>
      </c>
    </row>
    <row r="44" spans="1:2" x14ac:dyDescent="0.25">
      <c r="A44" s="183">
        <v>10136519</v>
      </c>
      <c r="B44" t="s">
        <v>4572</v>
      </c>
    </row>
    <row r="45" spans="1:2" x14ac:dyDescent="0.25">
      <c r="A45" s="183">
        <v>10136468</v>
      </c>
      <c r="B45" t="s">
        <v>4552</v>
      </c>
    </row>
    <row r="46" spans="1:2" x14ac:dyDescent="0.25">
      <c r="A46" s="263">
        <v>10136471</v>
      </c>
      <c r="B46" s="252" t="s">
        <v>4554</v>
      </c>
    </row>
    <row r="47" spans="1:2" x14ac:dyDescent="0.25">
      <c r="A47" s="183">
        <v>10136501</v>
      </c>
      <c r="B47" t="s">
        <v>4561</v>
      </c>
    </row>
    <row r="48" spans="1:2" x14ac:dyDescent="0.25">
      <c r="A48" s="183">
        <v>10136502</v>
      </c>
      <c r="B48" t="s">
        <v>4562</v>
      </c>
    </row>
    <row r="49" spans="1:2" x14ac:dyDescent="0.25">
      <c r="A49" s="183">
        <v>10136508</v>
      </c>
      <c r="B49" t="s">
        <v>4564</v>
      </c>
    </row>
    <row r="50" spans="1:2" x14ac:dyDescent="0.25">
      <c r="A50" s="183">
        <v>10136510</v>
      </c>
      <c r="B50" t="s">
        <v>4565</v>
      </c>
    </row>
    <row r="51" spans="1:2" x14ac:dyDescent="0.25">
      <c r="A51" s="183">
        <v>10136507</v>
      </c>
      <c r="B51" t="s">
        <v>4563</v>
      </c>
    </row>
    <row r="52" spans="1:2" x14ac:dyDescent="0.25">
      <c r="A52" s="263">
        <v>10136485</v>
      </c>
      <c r="B52" s="252" t="s">
        <v>4555</v>
      </c>
    </row>
    <row r="53" spans="1:2" x14ac:dyDescent="0.25">
      <c r="A53" s="183">
        <v>10136474</v>
      </c>
      <c r="B53" t="s">
        <v>4582</v>
      </c>
    </row>
    <row r="54" spans="1:2" x14ac:dyDescent="0.25">
      <c r="A54" s="183">
        <v>10136473</v>
      </c>
      <c r="B54" s="252" t="s">
        <v>4584</v>
      </c>
    </row>
    <row r="55" spans="1:2" x14ac:dyDescent="0.25">
      <c r="A55" s="183">
        <v>10136475</v>
      </c>
      <c r="B55" t="s">
        <v>4586</v>
      </c>
    </row>
    <row r="56" spans="1:2" x14ac:dyDescent="0.25">
      <c r="A56" s="263">
        <v>10136477</v>
      </c>
      <c r="B56" s="252" t="s">
        <v>4588</v>
      </c>
    </row>
    <row r="57" spans="1:2" x14ac:dyDescent="0.25">
      <c r="A57" s="183">
        <v>10136478</v>
      </c>
      <c r="B57" t="s">
        <v>4590</v>
      </c>
    </row>
    <row r="58" spans="1:2" x14ac:dyDescent="0.25">
      <c r="A58" s="183">
        <v>10137149</v>
      </c>
      <c r="B58" t="s">
        <v>4620</v>
      </c>
    </row>
    <row r="59" spans="1:2" x14ac:dyDescent="0.25">
      <c r="A59" s="183">
        <v>10136570</v>
      </c>
      <c r="B59" t="s">
        <v>4592</v>
      </c>
    </row>
    <row r="60" spans="1:2" x14ac:dyDescent="0.25">
      <c r="A60" s="183">
        <v>10136571</v>
      </c>
      <c r="B60" s="252" t="s">
        <v>4594</v>
      </c>
    </row>
    <row r="61" spans="1:2" x14ac:dyDescent="0.25">
      <c r="A61" s="263">
        <v>10137145</v>
      </c>
      <c r="B61" s="252" t="s">
        <v>4608</v>
      </c>
    </row>
    <row r="62" spans="1:2" x14ac:dyDescent="0.25">
      <c r="A62" s="263">
        <v>10137148</v>
      </c>
      <c r="B62" s="252" t="s">
        <v>4616</v>
      </c>
    </row>
    <row r="63" spans="1:2" x14ac:dyDescent="0.25">
      <c r="A63" s="263">
        <v>10136575</v>
      </c>
      <c r="B63" s="252" t="s">
        <v>4598</v>
      </c>
    </row>
    <row r="64" spans="1:2" x14ac:dyDescent="0.25">
      <c r="A64" s="183">
        <v>10137144</v>
      </c>
      <c r="B64" t="s">
        <v>4610</v>
      </c>
    </row>
    <row r="65" spans="1:2" x14ac:dyDescent="0.25">
      <c r="A65" s="183">
        <v>10137146</v>
      </c>
      <c r="B65" s="252" t="s">
        <v>4612</v>
      </c>
    </row>
    <row r="66" spans="1:2" x14ac:dyDescent="0.25">
      <c r="A66" s="263">
        <v>10136522</v>
      </c>
      <c r="B66" s="252" t="s">
        <v>4600</v>
      </c>
    </row>
    <row r="67" spans="1:2" x14ac:dyDescent="0.25">
      <c r="A67" s="183">
        <v>10136573</v>
      </c>
      <c r="B67" s="252" t="s">
        <v>4596</v>
      </c>
    </row>
    <row r="68" spans="1:2" x14ac:dyDescent="0.25">
      <c r="A68" s="263">
        <v>10136529</v>
      </c>
      <c r="B68" s="252" t="s">
        <v>4602</v>
      </c>
    </row>
    <row r="69" spans="1:2" x14ac:dyDescent="0.25">
      <c r="A69" s="263">
        <v>10136530</v>
      </c>
      <c r="B69" s="252" t="s">
        <v>4604</v>
      </c>
    </row>
    <row r="70" spans="1:2" x14ac:dyDescent="0.25">
      <c r="A70" s="263">
        <v>10137147</v>
      </c>
      <c r="B70" s="252" t="s">
        <v>4614</v>
      </c>
    </row>
    <row r="71" spans="1:2" x14ac:dyDescent="0.25">
      <c r="A71" s="263">
        <v>10137150</v>
      </c>
      <c r="B71" s="252" t="s">
        <v>4618</v>
      </c>
    </row>
    <row r="72" spans="1:2" x14ac:dyDescent="0.25">
      <c r="A72" s="263">
        <v>10136494</v>
      </c>
      <c r="B72" s="252" t="s">
        <v>4606</v>
      </c>
    </row>
    <row r="73" spans="1:2" x14ac:dyDescent="0.25">
      <c r="A73" s="263">
        <v>10136480</v>
      </c>
      <c r="B73" s="252" t="s">
        <v>4622</v>
      </c>
    </row>
    <row r="74" spans="1:2" x14ac:dyDescent="0.25">
      <c r="A74" s="263">
        <v>10136479</v>
      </c>
      <c r="B74" s="252" t="s">
        <v>4624</v>
      </c>
    </row>
    <row r="75" spans="1:2" x14ac:dyDescent="0.25">
      <c r="A75" s="263">
        <v>10136482</v>
      </c>
      <c r="B75" s="252" t="s">
        <v>4625</v>
      </c>
    </row>
    <row r="76" spans="1:2" x14ac:dyDescent="0.25">
      <c r="A76" s="263">
        <v>10136481</v>
      </c>
      <c r="B76" s="252" t="s">
        <v>4627</v>
      </c>
    </row>
    <row r="77" spans="1:2" x14ac:dyDescent="0.25">
      <c r="A77" s="263">
        <v>10136568</v>
      </c>
      <c r="B77" s="252" t="s">
        <v>4629</v>
      </c>
    </row>
    <row r="78" spans="1:2" x14ac:dyDescent="0.25">
      <c r="A78" s="183">
        <v>10136524</v>
      </c>
      <c r="B78" s="252" t="s">
        <v>4639</v>
      </c>
    </row>
    <row r="79" spans="1:2" x14ac:dyDescent="0.25">
      <c r="A79" s="263">
        <v>10136572</v>
      </c>
      <c r="B79" s="252" t="s">
        <v>4633</v>
      </c>
    </row>
    <row r="80" spans="1:2" x14ac:dyDescent="0.25">
      <c r="A80" s="263">
        <v>10136527</v>
      </c>
      <c r="B80" s="252" t="s">
        <v>4641</v>
      </c>
    </row>
    <row r="81" spans="1:2" x14ac:dyDescent="0.25">
      <c r="A81" s="263">
        <v>10136577</v>
      </c>
      <c r="B81" s="252" t="s">
        <v>4635</v>
      </c>
    </row>
    <row r="82" spans="1:2" x14ac:dyDescent="0.25">
      <c r="A82" s="263">
        <v>10136528</v>
      </c>
      <c r="B82" s="252" t="s">
        <v>4643</v>
      </c>
    </row>
    <row r="83" spans="1:2" x14ac:dyDescent="0.25">
      <c r="A83" s="183">
        <v>10136525</v>
      </c>
      <c r="B83" s="252" t="s">
        <v>4637</v>
      </c>
    </row>
    <row r="84" spans="1:2" x14ac:dyDescent="0.25">
      <c r="A84" s="263">
        <v>10136526</v>
      </c>
      <c r="B84" s="252" t="s">
        <v>4645</v>
      </c>
    </row>
    <row r="85" spans="1:2" x14ac:dyDescent="0.25">
      <c r="A85" s="263">
        <v>10136531</v>
      </c>
      <c r="B85" s="252" t="s">
        <v>4647</v>
      </c>
    </row>
    <row r="86" spans="1:2" x14ac:dyDescent="0.25">
      <c r="A86" s="263">
        <v>10136569</v>
      </c>
      <c r="B86" s="252" t="s">
        <v>4631</v>
      </c>
    </row>
    <row r="87" spans="1:2" x14ac:dyDescent="0.25">
      <c r="A87" s="263"/>
      <c r="B87" s="252"/>
    </row>
    <row r="88" spans="1:2" x14ac:dyDescent="0.25">
      <c r="A88" s="263">
        <v>10136728</v>
      </c>
      <c r="B88" s="252" t="s">
        <v>4711</v>
      </c>
    </row>
    <row r="89" spans="1:2" x14ac:dyDescent="0.25">
      <c r="A89" s="263">
        <v>10136730</v>
      </c>
      <c r="B89" s="252" t="s">
        <v>4730</v>
      </c>
    </row>
    <row r="90" spans="1:2" x14ac:dyDescent="0.25">
      <c r="A90" s="263">
        <v>10136733</v>
      </c>
      <c r="B90" s="252" t="s">
        <v>4720</v>
      </c>
    </row>
    <row r="91" spans="1:2" x14ac:dyDescent="0.25">
      <c r="A91" s="263">
        <v>10136727</v>
      </c>
      <c r="B91" s="252" t="s">
        <v>4714</v>
      </c>
    </row>
    <row r="92" spans="1:2" x14ac:dyDescent="0.25">
      <c r="A92" s="263">
        <v>10136725</v>
      </c>
      <c r="B92" s="252" t="s">
        <v>4718</v>
      </c>
    </row>
    <row r="93" spans="1:2" x14ac:dyDescent="0.25">
      <c r="A93" s="263">
        <v>10136734</v>
      </c>
      <c r="B93" s="252" t="s">
        <v>4727</v>
      </c>
    </row>
    <row r="94" spans="1:2" x14ac:dyDescent="0.25">
      <c r="A94" s="263">
        <v>10136731</v>
      </c>
      <c r="B94" s="252" t="s">
        <v>4725</v>
      </c>
    </row>
    <row r="95" spans="1:2" x14ac:dyDescent="0.25">
      <c r="A95" s="263">
        <v>10136726</v>
      </c>
      <c r="B95" s="252" t="s">
        <v>4716</v>
      </c>
    </row>
    <row r="96" spans="1:2" x14ac:dyDescent="0.25">
      <c r="A96" s="263">
        <v>10136732</v>
      </c>
      <c r="B96" s="252" t="s">
        <v>4723</v>
      </c>
    </row>
    <row r="97" spans="1:2" x14ac:dyDescent="0.25">
      <c r="A97" s="263" t="s">
        <v>4524</v>
      </c>
      <c r="B97" s="252" t="s">
        <v>4732</v>
      </c>
    </row>
    <row r="98" spans="1:2" x14ac:dyDescent="0.25">
      <c r="A98" s="183" t="s">
        <v>4524</v>
      </c>
      <c r="B98" s="252" t="s">
        <v>4734</v>
      </c>
    </row>
    <row r="99" spans="1:2" x14ac:dyDescent="0.25">
      <c r="A99" s="183" t="s">
        <v>4524</v>
      </c>
      <c r="B99" s="252" t="s">
        <v>4736</v>
      </c>
    </row>
    <row r="100" spans="1:2" x14ac:dyDescent="0.25">
      <c r="A100" s="183" t="s">
        <v>4524</v>
      </c>
      <c r="B100" s="252" t="s">
        <v>4738</v>
      </c>
    </row>
    <row r="101" spans="1:2" x14ac:dyDescent="0.25">
      <c r="A101" s="183" t="s">
        <v>4524</v>
      </c>
      <c r="B101" s="252" t="s">
        <v>4739</v>
      </c>
    </row>
    <row r="102" spans="1:2" x14ac:dyDescent="0.25">
      <c r="A102" s="263" t="s">
        <v>4524</v>
      </c>
      <c r="B102" s="252" t="s">
        <v>4741</v>
      </c>
    </row>
    <row r="103" spans="1:2" x14ac:dyDescent="0.25">
      <c r="A103" s="263" t="s">
        <v>4524</v>
      </c>
      <c r="B103" s="252" t="s">
        <v>4742</v>
      </c>
    </row>
    <row r="104" spans="1:2" x14ac:dyDescent="0.25">
      <c r="A104" s="263" t="s">
        <v>4524</v>
      </c>
      <c r="B104" s="252" t="s">
        <v>4743</v>
      </c>
    </row>
    <row r="105" spans="1:2" x14ac:dyDescent="0.25">
      <c r="A105" s="263" t="s">
        <v>4524</v>
      </c>
      <c r="B105" s="252" t="s">
        <v>4744</v>
      </c>
    </row>
    <row r="106" spans="1:2" x14ac:dyDescent="0.25">
      <c r="A106" s="263" t="s">
        <v>4524</v>
      </c>
      <c r="B106" s="252" t="s">
        <v>4745</v>
      </c>
    </row>
    <row r="107" spans="1:2" x14ac:dyDescent="0.25">
      <c r="A107" s="263" t="s">
        <v>4524</v>
      </c>
      <c r="B107" s="252" t="s">
        <v>4747</v>
      </c>
    </row>
    <row r="108" spans="1:2" x14ac:dyDescent="0.25">
      <c r="A108" s="263" t="s">
        <v>4524</v>
      </c>
      <c r="B108" s="252" t="s">
        <v>4749</v>
      </c>
    </row>
    <row r="109" spans="1:2" x14ac:dyDescent="0.25">
      <c r="A109" s="263" t="s">
        <v>4524</v>
      </c>
      <c r="B109" s="252" t="s">
        <v>4751</v>
      </c>
    </row>
    <row r="110" spans="1:2" x14ac:dyDescent="0.25">
      <c r="A110" s="263" t="s">
        <v>4524</v>
      </c>
      <c r="B110" s="252" t="s">
        <v>4752</v>
      </c>
    </row>
    <row r="111" spans="1:2" x14ac:dyDescent="0.25">
      <c r="A111" s="263" t="s">
        <v>4524</v>
      </c>
      <c r="B111" s="252" t="s">
        <v>4754</v>
      </c>
    </row>
    <row r="112" spans="1:2" x14ac:dyDescent="0.25">
      <c r="A112" s="183" t="s">
        <v>4524</v>
      </c>
      <c r="B112" s="252" t="s">
        <v>4756</v>
      </c>
    </row>
    <row r="113" spans="1:2" x14ac:dyDescent="0.25">
      <c r="A113" s="183" t="s">
        <v>4524</v>
      </c>
      <c r="B113" s="252" t="s">
        <v>4757</v>
      </c>
    </row>
    <row r="114" spans="1:2" x14ac:dyDescent="0.25">
      <c r="A114" s="263" t="s">
        <v>4524</v>
      </c>
      <c r="B114" s="252" t="s">
        <v>4759</v>
      </c>
    </row>
    <row r="115" spans="1:2" x14ac:dyDescent="0.25">
      <c r="A115" s="263" t="s">
        <v>4524</v>
      </c>
      <c r="B115" s="252" t="s">
        <v>4761</v>
      </c>
    </row>
    <row r="116" spans="1:2" x14ac:dyDescent="0.25">
      <c r="A116" s="263" t="s">
        <v>4524</v>
      </c>
      <c r="B116" s="252" t="s">
        <v>4763</v>
      </c>
    </row>
    <row r="117" spans="1:2" x14ac:dyDescent="0.25">
      <c r="A117" s="263" t="s">
        <v>4524</v>
      </c>
      <c r="B117" s="252" t="s">
        <v>4764</v>
      </c>
    </row>
    <row r="118" spans="1:2" x14ac:dyDescent="0.25">
      <c r="A118" s="183" t="s">
        <v>4524</v>
      </c>
      <c r="B118" t="s">
        <v>4765</v>
      </c>
    </row>
    <row r="119" spans="1:2" x14ac:dyDescent="0.25">
      <c r="A119" s="263" t="s">
        <v>4524</v>
      </c>
      <c r="B119" s="252" t="s">
        <v>4766</v>
      </c>
    </row>
    <row r="120" spans="1:2" x14ac:dyDescent="0.25">
      <c r="A120" s="263" t="s">
        <v>4524</v>
      </c>
      <c r="B120" s="252" t="s">
        <v>4767</v>
      </c>
    </row>
    <row r="121" spans="1:2" x14ac:dyDescent="0.25">
      <c r="A121" s="183" t="s">
        <v>4524</v>
      </c>
      <c r="B121" t="s">
        <v>4768</v>
      </c>
    </row>
    <row r="122" spans="1:2" x14ac:dyDescent="0.25">
      <c r="A122" s="263" t="s">
        <v>4524</v>
      </c>
      <c r="B122" s="252" t="s">
        <v>4769</v>
      </c>
    </row>
    <row r="123" spans="1:2" x14ac:dyDescent="0.25">
      <c r="A123" s="263" t="s">
        <v>4524</v>
      </c>
      <c r="B123" s="252" t="s">
        <v>4770</v>
      </c>
    </row>
    <row r="124" spans="1:2" x14ac:dyDescent="0.25">
      <c r="A124" s="263">
        <v>10137273</v>
      </c>
      <c r="B124" s="252" t="s">
        <v>4776</v>
      </c>
    </row>
    <row r="125" spans="1:2" x14ac:dyDescent="0.25">
      <c r="A125" s="263">
        <v>10137583</v>
      </c>
      <c r="B125" s="252" t="s">
        <v>4777</v>
      </c>
    </row>
    <row r="126" spans="1:2" x14ac:dyDescent="0.25">
      <c r="A126" s="263"/>
      <c r="B126" s="252"/>
    </row>
    <row r="127" spans="1:2" x14ac:dyDescent="0.25">
      <c r="A127" s="263"/>
      <c r="B127" s="252"/>
    </row>
    <row r="128" spans="1:2" x14ac:dyDescent="0.25">
      <c r="A128" s="263"/>
      <c r="B128" s="252"/>
    </row>
    <row r="129" spans="1:2" x14ac:dyDescent="0.25">
      <c r="A129" s="263"/>
      <c r="B129" s="252"/>
    </row>
    <row r="130" spans="1:2" x14ac:dyDescent="0.25">
      <c r="A130" s="263"/>
      <c r="B130" s="252"/>
    </row>
    <row r="131" spans="1:2" x14ac:dyDescent="0.25">
      <c r="A131" s="263"/>
      <c r="B131" s="252"/>
    </row>
    <row r="132" spans="1:2" x14ac:dyDescent="0.25">
      <c r="A132" s="263"/>
      <c r="B132" s="252"/>
    </row>
    <row r="133" spans="1:2" x14ac:dyDescent="0.25">
      <c r="A133" s="263"/>
      <c r="B133" s="252"/>
    </row>
    <row r="134" spans="1:2" x14ac:dyDescent="0.25">
      <c r="A134" s="183"/>
      <c r="B134" s="252"/>
    </row>
    <row r="135" spans="1:2" x14ac:dyDescent="0.25">
      <c r="A135" s="263"/>
      <c r="B135" s="252"/>
    </row>
    <row r="136" spans="1:2" x14ac:dyDescent="0.25">
      <c r="A136" s="263"/>
      <c r="B136" s="252"/>
    </row>
    <row r="137" spans="1:2" x14ac:dyDescent="0.25">
      <c r="A137" s="263"/>
      <c r="B137" s="252"/>
    </row>
    <row r="138" spans="1:2" x14ac:dyDescent="0.25">
      <c r="A138" s="263"/>
      <c r="B138" s="252"/>
    </row>
    <row r="139" spans="1:2" x14ac:dyDescent="0.25">
      <c r="A139" s="263"/>
      <c r="B139" s="252"/>
    </row>
    <row r="140" spans="1:2" x14ac:dyDescent="0.25">
      <c r="A140" s="263"/>
      <c r="B140" s="252"/>
    </row>
    <row r="141" spans="1:2" x14ac:dyDescent="0.25">
      <c r="A141" s="263"/>
      <c r="B141" s="252"/>
    </row>
    <row r="142" spans="1:2" x14ac:dyDescent="0.25">
      <c r="A142" s="263"/>
      <c r="B142" s="252"/>
    </row>
    <row r="143" spans="1:2" x14ac:dyDescent="0.25">
      <c r="A143" s="263"/>
      <c r="B143" s="252"/>
    </row>
    <row r="144" spans="1:2" x14ac:dyDescent="0.25">
      <c r="A144" s="263"/>
      <c r="B144" s="252"/>
    </row>
    <row r="145" spans="1:2" x14ac:dyDescent="0.25">
      <c r="A145" s="263"/>
      <c r="B145" s="252"/>
    </row>
    <row r="146" spans="1:2" x14ac:dyDescent="0.25">
      <c r="A146" s="263"/>
      <c r="B146" s="252"/>
    </row>
    <row r="147" spans="1:2" x14ac:dyDescent="0.25">
      <c r="A147" s="263"/>
      <c r="B147" s="252"/>
    </row>
    <row r="148" spans="1:2" x14ac:dyDescent="0.25">
      <c r="A148" s="263"/>
      <c r="B148" s="252"/>
    </row>
    <row r="149" spans="1:2" x14ac:dyDescent="0.25">
      <c r="A149" s="263"/>
      <c r="B149" s="252"/>
    </row>
    <row r="150" spans="1:2" x14ac:dyDescent="0.25">
      <c r="A150" s="263"/>
      <c r="B150" s="252"/>
    </row>
    <row r="151" spans="1:2" x14ac:dyDescent="0.25">
      <c r="A151" s="263"/>
      <c r="B151" s="252"/>
    </row>
    <row r="152" spans="1:2" x14ac:dyDescent="0.25">
      <c r="A152" s="263"/>
      <c r="B152" s="252"/>
    </row>
    <row r="153" spans="1:2" x14ac:dyDescent="0.25">
      <c r="A153" s="263"/>
      <c r="B153" s="252"/>
    </row>
    <row r="154" spans="1:2" x14ac:dyDescent="0.25">
      <c r="A154" s="263"/>
      <c r="B154" s="252"/>
    </row>
    <row r="155" spans="1:2" x14ac:dyDescent="0.25">
      <c r="A155" s="263"/>
      <c r="B155" s="252"/>
    </row>
    <row r="156" spans="1:2" x14ac:dyDescent="0.25">
      <c r="A156" s="183"/>
      <c r="B156" s="252"/>
    </row>
    <row r="157" spans="1:2" x14ac:dyDescent="0.25">
      <c r="A157" s="263"/>
      <c r="B157" s="252"/>
    </row>
    <row r="158" spans="1:2" x14ac:dyDescent="0.25">
      <c r="A158" s="263"/>
      <c r="B158" s="252"/>
    </row>
    <row r="159" spans="1:2" x14ac:dyDescent="0.25">
      <c r="A159" s="183"/>
      <c r="B159" s="252"/>
    </row>
    <row r="160" spans="1:2" x14ac:dyDescent="0.25">
      <c r="A160" s="263"/>
      <c r="B160" s="252"/>
    </row>
    <row r="161" spans="1:2" x14ac:dyDescent="0.25">
      <c r="A161" s="263"/>
      <c r="B161" s="252"/>
    </row>
    <row r="162" spans="1:2" x14ac:dyDescent="0.25">
      <c r="A162" s="183"/>
      <c r="B162" s="252"/>
    </row>
    <row r="163" spans="1:2" x14ac:dyDescent="0.25">
      <c r="A163" s="263"/>
      <c r="B163" s="252"/>
    </row>
    <row r="164" spans="1:2" x14ac:dyDescent="0.25">
      <c r="A164" s="263"/>
      <c r="B164" s="252"/>
    </row>
    <row r="165" spans="1:2" x14ac:dyDescent="0.25">
      <c r="A165" s="263"/>
      <c r="B165" s="252"/>
    </row>
    <row r="166" spans="1:2" x14ac:dyDescent="0.25">
      <c r="A166" s="263"/>
      <c r="B166" s="252"/>
    </row>
    <row r="167" spans="1:2" x14ac:dyDescent="0.25">
      <c r="A167" s="263"/>
      <c r="B167" s="252"/>
    </row>
    <row r="168" spans="1:2" x14ac:dyDescent="0.25">
      <c r="A168" s="263"/>
      <c r="B168" s="252"/>
    </row>
    <row r="169" spans="1:2" x14ac:dyDescent="0.25">
      <c r="A169" s="263"/>
      <c r="B169" s="252"/>
    </row>
    <row r="170" spans="1:2" x14ac:dyDescent="0.25">
      <c r="A170" s="263"/>
      <c r="B170" s="252"/>
    </row>
    <row r="171" spans="1:2" x14ac:dyDescent="0.25">
      <c r="A171" s="263"/>
      <c r="B171" s="252"/>
    </row>
    <row r="172" spans="1:2" x14ac:dyDescent="0.25">
      <c r="A172" s="263"/>
      <c r="B172" s="252"/>
    </row>
    <row r="173" spans="1:2" x14ac:dyDescent="0.25">
      <c r="A173" s="263"/>
      <c r="B173" s="252"/>
    </row>
    <row r="174" spans="1:2" x14ac:dyDescent="0.25">
      <c r="A174" s="263"/>
      <c r="B174" s="252"/>
    </row>
    <row r="175" spans="1:2" x14ac:dyDescent="0.25">
      <c r="A175" s="263"/>
      <c r="B175" s="252"/>
    </row>
    <row r="176" spans="1:2" x14ac:dyDescent="0.25">
      <c r="A176" s="263"/>
      <c r="B176" s="252"/>
    </row>
    <row r="177" spans="1:2" x14ac:dyDescent="0.25">
      <c r="A177" s="263"/>
      <c r="B177" s="252"/>
    </row>
    <row r="178" spans="1:2" x14ac:dyDescent="0.25">
      <c r="A178" s="263"/>
      <c r="B178" s="252"/>
    </row>
    <row r="179" spans="1:2" x14ac:dyDescent="0.25">
      <c r="A179" s="263"/>
      <c r="B179" s="252"/>
    </row>
    <row r="180" spans="1:2" x14ac:dyDescent="0.25">
      <c r="A180" s="263"/>
      <c r="B180" s="252"/>
    </row>
    <row r="181" spans="1:2" x14ac:dyDescent="0.25">
      <c r="A181" s="263"/>
      <c r="B181" s="252"/>
    </row>
    <row r="182" spans="1:2" x14ac:dyDescent="0.25">
      <c r="A182" s="263"/>
      <c r="B182" s="252"/>
    </row>
    <row r="183" spans="1:2" x14ac:dyDescent="0.25">
      <c r="A183" s="263"/>
      <c r="B183" s="252"/>
    </row>
    <row r="184" spans="1:2" customFormat="1" x14ac:dyDescent="0.25">
      <c r="A184" s="263"/>
      <c r="B184" s="252"/>
    </row>
    <row r="185" spans="1:2" customFormat="1" x14ac:dyDescent="0.25">
      <c r="A185" s="263"/>
      <c r="B185" s="252"/>
    </row>
    <row r="186" spans="1:2" customFormat="1" x14ac:dyDescent="0.25">
      <c r="A186" s="263"/>
      <c r="B186" s="252"/>
    </row>
    <row r="187" spans="1:2" customFormat="1" x14ac:dyDescent="0.25">
      <c r="A187" s="263"/>
      <c r="B187" s="252"/>
    </row>
    <row r="188" spans="1:2" customFormat="1" x14ac:dyDescent="0.25">
      <c r="A188" s="263"/>
      <c r="B188" s="252"/>
    </row>
    <row r="189" spans="1:2" customFormat="1" x14ac:dyDescent="0.25">
      <c r="A189" s="263"/>
      <c r="B189" s="252"/>
    </row>
    <row r="190" spans="1:2" customFormat="1" x14ac:dyDescent="0.25">
      <c r="A190" s="263"/>
      <c r="B190" s="252"/>
    </row>
    <row r="191" spans="1:2" customFormat="1" x14ac:dyDescent="0.25">
      <c r="A191" s="263"/>
      <c r="B191" s="252"/>
    </row>
    <row r="192" spans="1:2" customFormat="1" x14ac:dyDescent="0.25">
      <c r="A192" s="263"/>
      <c r="B192" s="252"/>
    </row>
    <row r="193" spans="1:2" customFormat="1" x14ac:dyDescent="0.25">
      <c r="A193" s="263"/>
      <c r="B193" s="252"/>
    </row>
    <row r="194" spans="1:2" customFormat="1" x14ac:dyDescent="0.25">
      <c r="A194" s="263"/>
      <c r="B194" s="252"/>
    </row>
    <row r="195" spans="1:2" customFormat="1" x14ac:dyDescent="0.25">
      <c r="A195" s="263"/>
      <c r="B195" s="252"/>
    </row>
    <row r="196" spans="1:2" customFormat="1" x14ac:dyDescent="0.25">
      <c r="A196" s="183"/>
      <c r="B196" s="252"/>
    </row>
    <row r="197" spans="1:2" customFormat="1" x14ac:dyDescent="0.25">
      <c r="A197" s="183"/>
      <c r="B197" s="252"/>
    </row>
    <row r="198" spans="1:2" customFormat="1" x14ac:dyDescent="0.25">
      <c r="A198" s="183"/>
      <c r="B198" s="252"/>
    </row>
    <row r="199" spans="1:2" customFormat="1" x14ac:dyDescent="0.25">
      <c r="A199" s="183"/>
      <c r="B199" s="252"/>
    </row>
    <row r="200" spans="1:2" customFormat="1" x14ac:dyDescent="0.25">
      <c r="A200" s="183"/>
      <c r="B200" s="252"/>
    </row>
    <row r="201" spans="1:2" customFormat="1" x14ac:dyDescent="0.25">
      <c r="A201" s="183"/>
      <c r="B201" s="252"/>
    </row>
    <row r="202" spans="1:2" customFormat="1" x14ac:dyDescent="0.25">
      <c r="A202" s="183"/>
      <c r="B202" s="252"/>
    </row>
    <row r="203" spans="1:2" customFormat="1" x14ac:dyDescent="0.25">
      <c r="A203" s="183"/>
      <c r="B203" s="252"/>
    </row>
    <row r="204" spans="1:2" customFormat="1" x14ac:dyDescent="0.25">
      <c r="A204" s="183"/>
      <c r="B204" s="252"/>
    </row>
    <row r="205" spans="1:2" customFormat="1" x14ac:dyDescent="0.25">
      <c r="A205" s="183"/>
      <c r="B205" s="252"/>
    </row>
    <row r="206" spans="1:2" customFormat="1" x14ac:dyDescent="0.25">
      <c r="A206" s="183"/>
      <c r="B206" s="252"/>
    </row>
    <row r="207" spans="1:2" customFormat="1" x14ac:dyDescent="0.25">
      <c r="A207" s="183"/>
      <c r="B207" s="252"/>
    </row>
    <row r="208" spans="1:2" customFormat="1" x14ac:dyDescent="0.25">
      <c r="A208" s="263"/>
      <c r="B208" s="252"/>
    </row>
    <row r="209" spans="1:2" customFormat="1" x14ac:dyDescent="0.25">
      <c r="A209" s="263"/>
      <c r="B209" s="252"/>
    </row>
    <row r="210" spans="1:2" customFormat="1" x14ac:dyDescent="0.25">
      <c r="A210" s="263"/>
      <c r="B210" s="252"/>
    </row>
    <row r="211" spans="1:2" customFormat="1" x14ac:dyDescent="0.25">
      <c r="A211" s="263"/>
      <c r="B211" s="252"/>
    </row>
    <row r="212" spans="1:2" customFormat="1" x14ac:dyDescent="0.25">
      <c r="A212" s="263"/>
      <c r="B212" s="252"/>
    </row>
    <row r="213" spans="1:2" customFormat="1" x14ac:dyDescent="0.25">
      <c r="A213" s="263"/>
      <c r="B213" s="252"/>
    </row>
    <row r="214" spans="1:2" customFormat="1" x14ac:dyDescent="0.25">
      <c r="A214" s="263"/>
      <c r="B214" s="252"/>
    </row>
    <row r="215" spans="1:2" customFormat="1" x14ac:dyDescent="0.25">
      <c r="A215" s="263"/>
      <c r="B215" s="252"/>
    </row>
    <row r="216" spans="1:2" customFormat="1" x14ac:dyDescent="0.25">
      <c r="A216" s="263"/>
      <c r="B216" s="252"/>
    </row>
    <row r="217" spans="1:2" customFormat="1" x14ac:dyDescent="0.25">
      <c r="A217" s="263"/>
      <c r="B217" s="252"/>
    </row>
    <row r="218" spans="1:2" customFormat="1" x14ac:dyDescent="0.25">
      <c r="A218" s="263"/>
      <c r="B218" s="252"/>
    </row>
    <row r="219" spans="1:2" customFormat="1" x14ac:dyDescent="0.25">
      <c r="A219" s="183"/>
      <c r="B219" s="252"/>
    </row>
    <row r="220" spans="1:2" customFormat="1" x14ac:dyDescent="0.25">
      <c r="A220" s="183"/>
      <c r="B220" s="252"/>
    </row>
    <row r="221" spans="1:2" customFormat="1" x14ac:dyDescent="0.25">
      <c r="A221" s="183"/>
      <c r="B221" s="252"/>
    </row>
    <row r="222" spans="1:2" customFormat="1" x14ac:dyDescent="0.25">
      <c r="A222" s="183"/>
      <c r="B222" s="252"/>
    </row>
    <row r="223" spans="1:2" customFormat="1" x14ac:dyDescent="0.25">
      <c r="A223" s="183"/>
      <c r="B223" s="252"/>
    </row>
    <row r="224" spans="1:2" customFormat="1" x14ac:dyDescent="0.25">
      <c r="A224" s="183"/>
      <c r="B224" s="252"/>
    </row>
    <row r="225" spans="1:2" customFormat="1" x14ac:dyDescent="0.25">
      <c r="A225" s="183"/>
      <c r="B225" s="252"/>
    </row>
    <row r="226" spans="1:2" customFormat="1" x14ac:dyDescent="0.25">
      <c r="A226" s="183"/>
      <c r="B226" s="252"/>
    </row>
    <row r="227" spans="1:2" customFormat="1" x14ac:dyDescent="0.25">
      <c r="A227" s="183"/>
      <c r="B227" s="252"/>
    </row>
    <row r="228" spans="1:2" customFormat="1" x14ac:dyDescent="0.25">
      <c r="A228" s="183"/>
      <c r="B228" s="252"/>
    </row>
    <row r="229" spans="1:2" customFormat="1" x14ac:dyDescent="0.25">
      <c r="A229" s="183"/>
      <c r="B229" s="252"/>
    </row>
    <row r="230" spans="1:2" customFormat="1" x14ac:dyDescent="0.25">
      <c r="A230" s="183"/>
      <c r="B230" s="252"/>
    </row>
    <row r="231" spans="1:2" customFormat="1" x14ac:dyDescent="0.25">
      <c r="A231" s="183"/>
    </row>
    <row r="232" spans="1:2" customFormat="1" x14ac:dyDescent="0.25">
      <c r="A232" s="183"/>
    </row>
    <row r="233" spans="1:2" customFormat="1" x14ac:dyDescent="0.25">
      <c r="A233" s="183"/>
    </row>
  </sheetData>
  <sortState ref="A53:B74">
    <sortCondition ref="B53:B74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/>
  </sheetViews>
  <sheetFormatPr defaultRowHeight="15" x14ac:dyDescent="0.25"/>
  <cols>
    <col min="1" max="1" width="14.42578125" bestFit="1" customWidth="1"/>
    <col min="2" max="2" width="44" bestFit="1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297"/>
  <sheetViews>
    <sheetView topLeftCell="A1143" workbookViewId="0">
      <selection activeCell="A1163" sqref="A1163:B1163"/>
    </sheetView>
  </sheetViews>
  <sheetFormatPr defaultRowHeight="15" x14ac:dyDescent="0.25"/>
  <cols>
    <col min="1" max="1" width="13.42578125" style="183" customWidth="1"/>
    <col min="2" max="2" width="46.7109375" bestFit="1" customWidth="1"/>
  </cols>
  <sheetData>
    <row r="1" spans="1:2" x14ac:dyDescent="0.25">
      <c r="A1" s="183">
        <v>10001236</v>
      </c>
      <c r="B1" t="s">
        <v>311</v>
      </c>
    </row>
    <row r="2" spans="1:2" x14ac:dyDescent="0.25">
      <c r="A2" s="183">
        <v>10001238</v>
      </c>
      <c r="B2" t="s">
        <v>319</v>
      </c>
    </row>
    <row r="3" spans="1:2" x14ac:dyDescent="0.25">
      <c r="A3" s="183">
        <v>10001251</v>
      </c>
      <c r="B3" t="s">
        <v>315</v>
      </c>
    </row>
    <row r="4" spans="1:2" x14ac:dyDescent="0.25">
      <c r="A4" s="183">
        <v>10001255</v>
      </c>
      <c r="B4" t="s">
        <v>1318</v>
      </c>
    </row>
    <row r="5" spans="1:2" x14ac:dyDescent="0.25">
      <c r="A5" s="183">
        <v>10000017</v>
      </c>
      <c r="B5" t="s">
        <v>1441</v>
      </c>
    </row>
    <row r="6" spans="1:2" x14ac:dyDescent="0.25">
      <c r="A6" s="183">
        <v>10001266</v>
      </c>
      <c r="B6" t="s">
        <v>325</v>
      </c>
    </row>
    <row r="7" spans="1:2" x14ac:dyDescent="0.25">
      <c r="A7" s="183">
        <v>10119292</v>
      </c>
      <c r="B7" t="s">
        <v>1099</v>
      </c>
    </row>
    <row r="8" spans="1:2" x14ac:dyDescent="0.25">
      <c r="A8" s="183">
        <v>10000020</v>
      </c>
      <c r="B8" t="s">
        <v>1325</v>
      </c>
    </row>
    <row r="9" spans="1:2" x14ac:dyDescent="0.25">
      <c r="A9" s="183">
        <v>10000019</v>
      </c>
      <c r="B9" t="s">
        <v>4031</v>
      </c>
    </row>
    <row r="10" spans="1:2" x14ac:dyDescent="0.25">
      <c r="A10" s="183">
        <v>10000018</v>
      </c>
      <c r="B10" t="s">
        <v>4030</v>
      </c>
    </row>
    <row r="11" spans="1:2" x14ac:dyDescent="0.25">
      <c r="A11" s="183">
        <v>10000021</v>
      </c>
      <c r="B11" t="s">
        <v>4032</v>
      </c>
    </row>
    <row r="12" spans="1:2" x14ac:dyDescent="0.25">
      <c r="A12" s="183">
        <v>10060240</v>
      </c>
      <c r="B12" t="s">
        <v>4033</v>
      </c>
    </row>
    <row r="13" spans="1:2" x14ac:dyDescent="0.25">
      <c r="A13" s="183">
        <v>10001260</v>
      </c>
      <c r="B13" t="s">
        <v>1728</v>
      </c>
    </row>
    <row r="14" spans="1:2" x14ac:dyDescent="0.25">
      <c r="A14" s="183">
        <v>10001259</v>
      </c>
      <c r="B14" t="s">
        <v>1730</v>
      </c>
    </row>
    <row r="15" spans="1:2" x14ac:dyDescent="0.25">
      <c r="A15" s="183">
        <v>10001258</v>
      </c>
      <c r="B15" t="s">
        <v>1726</v>
      </c>
    </row>
    <row r="16" spans="1:2" x14ac:dyDescent="0.25">
      <c r="A16" s="183">
        <v>10099703</v>
      </c>
      <c r="B16" t="s">
        <v>3277</v>
      </c>
    </row>
    <row r="17" spans="1:2" x14ac:dyDescent="0.25">
      <c r="A17" s="183">
        <v>10021949</v>
      </c>
      <c r="B17" t="s">
        <v>3278</v>
      </c>
    </row>
    <row r="18" spans="1:2" x14ac:dyDescent="0.25">
      <c r="A18" s="183">
        <v>10000248</v>
      </c>
      <c r="B18" t="s">
        <v>3121</v>
      </c>
    </row>
    <row r="19" spans="1:2" x14ac:dyDescent="0.25">
      <c r="A19" s="183">
        <v>10030103</v>
      </c>
      <c r="B19" t="s">
        <v>3118</v>
      </c>
    </row>
    <row r="20" spans="1:2" x14ac:dyDescent="0.25">
      <c r="A20" s="183">
        <v>10001228</v>
      </c>
      <c r="B20" t="s">
        <v>3365</v>
      </c>
    </row>
    <row r="21" spans="1:2" x14ac:dyDescent="0.25">
      <c r="A21" s="183">
        <v>10000246</v>
      </c>
      <c r="B21" t="s">
        <v>3117</v>
      </c>
    </row>
    <row r="22" spans="1:2" x14ac:dyDescent="0.25">
      <c r="A22" s="183">
        <v>10000239</v>
      </c>
      <c r="B22" t="s">
        <v>3119</v>
      </c>
    </row>
    <row r="23" spans="1:2" x14ac:dyDescent="0.25">
      <c r="A23" s="183">
        <v>10127332</v>
      </c>
      <c r="B23" t="s">
        <v>3767</v>
      </c>
    </row>
    <row r="24" spans="1:2" x14ac:dyDescent="0.25">
      <c r="A24" s="183">
        <v>10001240</v>
      </c>
      <c r="B24" t="s">
        <v>307</v>
      </c>
    </row>
    <row r="25" spans="1:2" x14ac:dyDescent="0.25">
      <c r="A25" s="183">
        <v>10001237</v>
      </c>
      <c r="B25" t="s">
        <v>313</v>
      </c>
    </row>
    <row r="26" spans="1:2" x14ac:dyDescent="0.25">
      <c r="A26" s="183">
        <v>10001252</v>
      </c>
      <c r="B26" s="252" t="s">
        <v>317</v>
      </c>
    </row>
    <row r="27" spans="1:2" x14ac:dyDescent="0.25">
      <c r="A27" s="216">
        <v>10002576</v>
      </c>
      <c r="B27" t="s">
        <v>327</v>
      </c>
    </row>
    <row r="28" spans="1:2" x14ac:dyDescent="0.25">
      <c r="A28" s="183">
        <v>10001627</v>
      </c>
      <c r="B28" t="s">
        <v>1439</v>
      </c>
    </row>
    <row r="29" spans="1:2" x14ac:dyDescent="0.25">
      <c r="A29" s="183">
        <v>10001241</v>
      </c>
      <c r="B29" s="252" t="s">
        <v>309</v>
      </c>
    </row>
    <row r="30" spans="1:2" x14ac:dyDescent="0.25">
      <c r="A30" s="183">
        <v>10001245</v>
      </c>
      <c r="B30" t="s">
        <v>1320</v>
      </c>
    </row>
    <row r="31" spans="1:2" x14ac:dyDescent="0.25">
      <c r="A31" s="183">
        <v>10002165</v>
      </c>
      <c r="B31" t="s">
        <v>1101</v>
      </c>
    </row>
    <row r="32" spans="1:2" x14ac:dyDescent="0.25">
      <c r="A32" s="183">
        <v>10001264</v>
      </c>
      <c r="B32" t="s">
        <v>1718</v>
      </c>
    </row>
    <row r="33" spans="1:2" x14ac:dyDescent="0.25">
      <c r="A33" s="183">
        <v>10001256</v>
      </c>
      <c r="B33" t="s">
        <v>323</v>
      </c>
    </row>
    <row r="34" spans="1:2" x14ac:dyDescent="0.25">
      <c r="A34" s="183">
        <v>10001244</v>
      </c>
      <c r="B34" t="s">
        <v>1724</v>
      </c>
    </row>
    <row r="35" spans="1:2" x14ac:dyDescent="0.25">
      <c r="A35" s="183">
        <v>10001254</v>
      </c>
      <c r="B35" t="s">
        <v>1316</v>
      </c>
    </row>
    <row r="36" spans="1:2" x14ac:dyDescent="0.25">
      <c r="A36" s="183">
        <v>20000022</v>
      </c>
      <c r="B36" t="s">
        <v>3056</v>
      </c>
    </row>
    <row r="37" spans="1:2" x14ac:dyDescent="0.25">
      <c r="A37" s="183">
        <v>20028119</v>
      </c>
      <c r="B37" t="s">
        <v>3082</v>
      </c>
    </row>
    <row r="38" spans="1:2" x14ac:dyDescent="0.25">
      <c r="A38" s="183">
        <v>20028117</v>
      </c>
      <c r="B38" t="s">
        <v>3080</v>
      </c>
    </row>
    <row r="39" spans="1:2" x14ac:dyDescent="0.25">
      <c r="A39" s="183">
        <v>20028118</v>
      </c>
      <c r="B39" t="s">
        <v>3084</v>
      </c>
    </row>
    <row r="40" spans="1:2" x14ac:dyDescent="0.25">
      <c r="A40" s="183">
        <v>20028121</v>
      </c>
      <c r="B40" t="s">
        <v>3086</v>
      </c>
    </row>
    <row r="41" spans="1:2" x14ac:dyDescent="0.25">
      <c r="A41" s="183">
        <v>20004183</v>
      </c>
      <c r="B41" t="s">
        <v>3079</v>
      </c>
    </row>
    <row r="42" spans="1:2" x14ac:dyDescent="0.25">
      <c r="A42" s="183">
        <v>20004230</v>
      </c>
      <c r="B42" t="s">
        <v>3077</v>
      </c>
    </row>
    <row r="43" spans="1:2" x14ac:dyDescent="0.25">
      <c r="A43" s="183">
        <v>10001242</v>
      </c>
      <c r="B43" t="s">
        <v>331</v>
      </c>
    </row>
    <row r="44" spans="1:2" x14ac:dyDescent="0.25">
      <c r="A44" s="183">
        <v>10002516</v>
      </c>
      <c r="B44" t="s">
        <v>2986</v>
      </c>
    </row>
    <row r="45" spans="1:2" x14ac:dyDescent="0.25">
      <c r="A45" s="183">
        <v>10001249</v>
      </c>
      <c r="B45" t="s">
        <v>329</v>
      </c>
    </row>
    <row r="46" spans="1:2" x14ac:dyDescent="0.25">
      <c r="A46" s="183">
        <v>10001263</v>
      </c>
      <c r="B46" s="252" t="s">
        <v>1314</v>
      </c>
    </row>
    <row r="47" spans="1:2" x14ac:dyDescent="0.25">
      <c r="A47" s="183">
        <v>10087792</v>
      </c>
      <c r="B47" t="s">
        <v>1720</v>
      </c>
    </row>
    <row r="48" spans="1:2" x14ac:dyDescent="0.25">
      <c r="A48" s="183">
        <v>10001257</v>
      </c>
      <c r="B48" t="s">
        <v>321</v>
      </c>
    </row>
    <row r="49" spans="1:2" x14ac:dyDescent="0.25">
      <c r="A49" s="183">
        <v>10001243</v>
      </c>
      <c r="B49" t="s">
        <v>1722</v>
      </c>
    </row>
    <row r="50" spans="1:2" x14ac:dyDescent="0.25">
      <c r="A50" s="183">
        <v>20031512</v>
      </c>
      <c r="B50" t="s">
        <v>4067</v>
      </c>
    </row>
    <row r="51" spans="1:2" x14ac:dyDescent="0.25">
      <c r="A51" s="183">
        <v>20031511</v>
      </c>
      <c r="B51" t="s">
        <v>4066</v>
      </c>
    </row>
    <row r="52" spans="1:2" x14ac:dyDescent="0.25">
      <c r="A52" s="183">
        <v>20028239</v>
      </c>
      <c r="B52" t="s">
        <v>3888</v>
      </c>
    </row>
    <row r="53" spans="1:2" x14ac:dyDescent="0.25">
      <c r="A53" s="183">
        <v>20000644</v>
      </c>
      <c r="B53" t="s">
        <v>586</v>
      </c>
    </row>
    <row r="54" spans="1:2" x14ac:dyDescent="0.25">
      <c r="A54" s="183">
        <v>20000643</v>
      </c>
      <c r="B54" t="s">
        <v>585</v>
      </c>
    </row>
    <row r="55" spans="1:2" x14ac:dyDescent="0.25">
      <c r="A55" s="183">
        <v>20026703</v>
      </c>
      <c r="B55" t="s">
        <v>3348</v>
      </c>
    </row>
    <row r="56" spans="1:2" x14ac:dyDescent="0.25">
      <c r="A56" s="183">
        <v>20028240</v>
      </c>
      <c r="B56" t="s">
        <v>4065</v>
      </c>
    </row>
    <row r="57" spans="1:2" x14ac:dyDescent="0.25">
      <c r="A57" s="183">
        <v>20007583</v>
      </c>
      <c r="B57" t="s">
        <v>589</v>
      </c>
    </row>
    <row r="58" spans="1:2" x14ac:dyDescent="0.25">
      <c r="A58" s="183">
        <v>20000642</v>
      </c>
      <c r="B58" t="s">
        <v>583</v>
      </c>
    </row>
    <row r="59" spans="1:2" x14ac:dyDescent="0.25">
      <c r="A59" s="263">
        <v>20028241</v>
      </c>
      <c r="B59" s="252" t="s">
        <v>4064</v>
      </c>
    </row>
    <row r="60" spans="1:2" x14ac:dyDescent="0.25">
      <c r="A60" s="183">
        <v>20025411</v>
      </c>
      <c r="B60" t="s">
        <v>584</v>
      </c>
    </row>
    <row r="61" spans="1:2" x14ac:dyDescent="0.25">
      <c r="A61" s="183">
        <v>10107491</v>
      </c>
      <c r="B61" t="s">
        <v>2675</v>
      </c>
    </row>
    <row r="62" spans="1:2" x14ac:dyDescent="0.25">
      <c r="A62" s="183">
        <v>10107490</v>
      </c>
      <c r="B62" t="s">
        <v>2677</v>
      </c>
    </row>
    <row r="63" spans="1:2" x14ac:dyDescent="0.25">
      <c r="A63" s="183">
        <v>10107538</v>
      </c>
      <c r="B63" t="s">
        <v>2671</v>
      </c>
    </row>
    <row r="64" spans="1:2" x14ac:dyDescent="0.25">
      <c r="A64" s="183">
        <v>10010929</v>
      </c>
      <c r="B64" t="s">
        <v>2673</v>
      </c>
    </row>
    <row r="65" spans="1:2" x14ac:dyDescent="0.25">
      <c r="A65" s="263">
        <v>20028338</v>
      </c>
      <c r="B65" s="252" t="s">
        <v>1181</v>
      </c>
    </row>
    <row r="66" spans="1:2" x14ac:dyDescent="0.25">
      <c r="A66" s="183">
        <v>10107462</v>
      </c>
      <c r="B66" t="s">
        <v>2683</v>
      </c>
    </row>
    <row r="67" spans="1:2" x14ac:dyDescent="0.25">
      <c r="A67" s="183">
        <v>10107461</v>
      </c>
      <c r="B67" t="s">
        <v>2681</v>
      </c>
    </row>
    <row r="68" spans="1:2" x14ac:dyDescent="0.25">
      <c r="A68" s="183">
        <v>10107564</v>
      </c>
      <c r="B68" t="s">
        <v>2679</v>
      </c>
    </row>
    <row r="69" spans="1:2" x14ac:dyDescent="0.25">
      <c r="A69" s="183">
        <v>10123488</v>
      </c>
      <c r="B69" t="s">
        <v>600</v>
      </c>
    </row>
    <row r="70" spans="1:2" x14ac:dyDescent="0.25">
      <c r="A70" s="183">
        <v>10000257</v>
      </c>
      <c r="B70" t="s">
        <v>3112</v>
      </c>
    </row>
    <row r="71" spans="1:2" x14ac:dyDescent="0.25">
      <c r="A71" s="183">
        <v>20028330</v>
      </c>
      <c r="B71" t="s">
        <v>1032</v>
      </c>
    </row>
    <row r="72" spans="1:2" x14ac:dyDescent="0.25">
      <c r="A72" s="216">
        <v>20020524</v>
      </c>
      <c r="B72" t="s">
        <v>593</v>
      </c>
    </row>
    <row r="73" spans="1:2" x14ac:dyDescent="0.25">
      <c r="A73" s="263">
        <v>20020525</v>
      </c>
      <c r="B73" s="252" t="s">
        <v>1561</v>
      </c>
    </row>
    <row r="74" spans="1:2" x14ac:dyDescent="0.25">
      <c r="A74" s="183">
        <v>20023107</v>
      </c>
      <c r="B74" t="s">
        <v>1555</v>
      </c>
    </row>
    <row r="75" spans="1:2" x14ac:dyDescent="0.25">
      <c r="A75" s="183">
        <v>20023108</v>
      </c>
      <c r="B75" t="s">
        <v>1557</v>
      </c>
    </row>
    <row r="76" spans="1:2" x14ac:dyDescent="0.25">
      <c r="A76" s="263">
        <v>20020523</v>
      </c>
      <c r="B76" s="252" t="s">
        <v>1559</v>
      </c>
    </row>
    <row r="77" spans="1:2" x14ac:dyDescent="0.25">
      <c r="A77" s="183">
        <v>10006324</v>
      </c>
      <c r="B77" t="s">
        <v>2973</v>
      </c>
    </row>
    <row r="78" spans="1:2" x14ac:dyDescent="0.25">
      <c r="A78" s="183">
        <v>10003026</v>
      </c>
      <c r="B78" t="s">
        <v>2925</v>
      </c>
    </row>
    <row r="79" spans="1:2" x14ac:dyDescent="0.25">
      <c r="A79" s="183">
        <v>10114956</v>
      </c>
      <c r="B79" t="s">
        <v>2690</v>
      </c>
    </row>
    <row r="80" spans="1:2" x14ac:dyDescent="0.25">
      <c r="A80" s="183">
        <v>10000758</v>
      </c>
      <c r="B80" t="s">
        <v>2921</v>
      </c>
    </row>
    <row r="81" spans="1:2" x14ac:dyDescent="0.25">
      <c r="A81" s="183">
        <v>10114955</v>
      </c>
      <c r="B81" t="s">
        <v>1005</v>
      </c>
    </row>
    <row r="82" spans="1:2" x14ac:dyDescent="0.25">
      <c r="A82" s="183">
        <v>10000757</v>
      </c>
      <c r="B82" t="s">
        <v>2923</v>
      </c>
    </row>
    <row r="83" spans="1:2" x14ac:dyDescent="0.25">
      <c r="A83" s="183">
        <v>10114954</v>
      </c>
      <c r="B83" t="s">
        <v>1006</v>
      </c>
    </row>
    <row r="84" spans="1:2" x14ac:dyDescent="0.25">
      <c r="A84" s="183">
        <v>10000004</v>
      </c>
      <c r="B84" t="s">
        <v>2927</v>
      </c>
    </row>
    <row r="85" spans="1:2" x14ac:dyDescent="0.25">
      <c r="A85" s="183">
        <v>10000755</v>
      </c>
      <c r="B85" t="s">
        <v>2260</v>
      </c>
    </row>
    <row r="86" spans="1:2" x14ac:dyDescent="0.25">
      <c r="A86" s="263">
        <v>10114958</v>
      </c>
      <c r="B86" s="252" t="s">
        <v>1003</v>
      </c>
    </row>
    <row r="87" spans="1:2" x14ac:dyDescent="0.25">
      <c r="A87" s="183">
        <v>20000089</v>
      </c>
      <c r="B87" t="s">
        <v>2721</v>
      </c>
    </row>
    <row r="88" spans="1:2" x14ac:dyDescent="0.25">
      <c r="A88" s="183">
        <v>20000087</v>
      </c>
      <c r="B88" t="s">
        <v>2717</v>
      </c>
    </row>
    <row r="89" spans="1:2" x14ac:dyDescent="0.25">
      <c r="A89" s="183">
        <v>10000756</v>
      </c>
      <c r="B89" t="s">
        <v>2919</v>
      </c>
    </row>
    <row r="90" spans="1:2" x14ac:dyDescent="0.25">
      <c r="A90" s="183">
        <v>10114953</v>
      </c>
      <c r="B90" t="s">
        <v>1004</v>
      </c>
    </row>
    <row r="91" spans="1:2" x14ac:dyDescent="0.25">
      <c r="A91" s="183">
        <v>20000088</v>
      </c>
      <c r="B91" t="s">
        <v>2719</v>
      </c>
    </row>
    <row r="92" spans="1:2" x14ac:dyDescent="0.25">
      <c r="A92" s="183">
        <v>10000748</v>
      </c>
      <c r="B92" t="s">
        <v>3828</v>
      </c>
    </row>
    <row r="93" spans="1:2" x14ac:dyDescent="0.25">
      <c r="A93" s="263">
        <v>10085234</v>
      </c>
      <c r="B93" s="252" t="s">
        <v>2971</v>
      </c>
    </row>
    <row r="94" spans="1:2" x14ac:dyDescent="0.25">
      <c r="A94" s="183">
        <v>10000749</v>
      </c>
      <c r="B94" t="s">
        <v>3007</v>
      </c>
    </row>
    <row r="95" spans="1:2" x14ac:dyDescent="0.25">
      <c r="A95" s="183">
        <v>10000750</v>
      </c>
      <c r="B95" t="s">
        <v>3009</v>
      </c>
    </row>
    <row r="96" spans="1:2" x14ac:dyDescent="0.25">
      <c r="A96" s="183">
        <v>10000747</v>
      </c>
      <c r="B96" t="s">
        <v>3005</v>
      </c>
    </row>
    <row r="97" spans="1:2" x14ac:dyDescent="0.25">
      <c r="A97" s="183">
        <v>20029715</v>
      </c>
      <c r="B97" t="s">
        <v>3782</v>
      </c>
    </row>
    <row r="98" spans="1:2" x14ac:dyDescent="0.25">
      <c r="A98" s="183">
        <v>20000453</v>
      </c>
      <c r="B98" t="s">
        <v>582</v>
      </c>
    </row>
    <row r="99" spans="1:2" x14ac:dyDescent="0.25">
      <c r="A99" s="183">
        <v>10112795</v>
      </c>
      <c r="B99" t="s">
        <v>856</v>
      </c>
    </row>
    <row r="100" spans="1:2" x14ac:dyDescent="0.25">
      <c r="A100" s="183">
        <v>10109982</v>
      </c>
      <c r="B100" t="s">
        <v>481</v>
      </c>
    </row>
    <row r="101" spans="1:2" x14ac:dyDescent="0.25">
      <c r="A101" s="183">
        <v>10110005</v>
      </c>
      <c r="B101" t="s">
        <v>571</v>
      </c>
    </row>
    <row r="102" spans="1:2" x14ac:dyDescent="0.25">
      <c r="A102" s="183">
        <v>10112794</v>
      </c>
      <c r="B102" t="s">
        <v>858</v>
      </c>
    </row>
    <row r="103" spans="1:2" x14ac:dyDescent="0.25">
      <c r="A103" s="263">
        <v>10109984</v>
      </c>
      <c r="B103" s="252" t="s">
        <v>474</v>
      </c>
    </row>
    <row r="104" spans="1:2" x14ac:dyDescent="0.25">
      <c r="A104" s="183">
        <v>10110021</v>
      </c>
      <c r="B104" t="s">
        <v>2237</v>
      </c>
    </row>
    <row r="105" spans="1:2" x14ac:dyDescent="0.25">
      <c r="A105" s="183">
        <v>10110042</v>
      </c>
      <c r="B105" t="s">
        <v>483</v>
      </c>
    </row>
    <row r="106" spans="1:2" x14ac:dyDescent="0.25">
      <c r="A106" s="183">
        <v>10112796</v>
      </c>
      <c r="B106" t="s">
        <v>857</v>
      </c>
    </row>
    <row r="107" spans="1:2" x14ac:dyDescent="0.25">
      <c r="A107" s="183">
        <v>10110028</v>
      </c>
      <c r="B107" t="s">
        <v>479</v>
      </c>
    </row>
    <row r="108" spans="1:2" x14ac:dyDescent="0.25">
      <c r="A108" s="183">
        <v>10110062</v>
      </c>
      <c r="B108" t="s">
        <v>572</v>
      </c>
    </row>
    <row r="109" spans="1:2" x14ac:dyDescent="0.25">
      <c r="A109" s="183">
        <v>10074467</v>
      </c>
      <c r="B109" t="s">
        <v>1446</v>
      </c>
    </row>
    <row r="110" spans="1:2" x14ac:dyDescent="0.25">
      <c r="A110" s="183">
        <v>10002816</v>
      </c>
      <c r="B110" t="s">
        <v>2494</v>
      </c>
    </row>
    <row r="111" spans="1:2" x14ac:dyDescent="0.25">
      <c r="A111" s="183">
        <v>10074474</v>
      </c>
      <c r="B111" t="s">
        <v>1444</v>
      </c>
    </row>
    <row r="112" spans="1:2" x14ac:dyDescent="0.25">
      <c r="A112" s="183">
        <v>10003020</v>
      </c>
      <c r="B112" t="s">
        <v>391</v>
      </c>
    </row>
    <row r="113" spans="1:2" x14ac:dyDescent="0.25">
      <c r="A113" s="183">
        <v>10003021</v>
      </c>
      <c r="B113" t="s">
        <v>395</v>
      </c>
    </row>
    <row r="114" spans="1:2" x14ac:dyDescent="0.25">
      <c r="A114" s="183">
        <v>10003018</v>
      </c>
      <c r="B114" t="s">
        <v>393</v>
      </c>
    </row>
    <row r="115" spans="1:2" x14ac:dyDescent="0.25">
      <c r="A115" s="183">
        <v>10003019</v>
      </c>
      <c r="B115" t="s">
        <v>397</v>
      </c>
    </row>
    <row r="116" spans="1:2" x14ac:dyDescent="0.25">
      <c r="A116" s="183">
        <v>10002813</v>
      </c>
      <c r="B116" t="s">
        <v>2500</v>
      </c>
    </row>
    <row r="117" spans="1:2" x14ac:dyDescent="0.25">
      <c r="A117" s="183">
        <v>10002814</v>
      </c>
      <c r="B117" t="s">
        <v>2502</v>
      </c>
    </row>
    <row r="118" spans="1:2" x14ac:dyDescent="0.25">
      <c r="A118" s="183">
        <v>10002815</v>
      </c>
      <c r="B118" t="s">
        <v>2492</v>
      </c>
    </row>
    <row r="119" spans="1:2" x14ac:dyDescent="0.25">
      <c r="A119" s="183">
        <v>10002812</v>
      </c>
      <c r="B119" t="s">
        <v>2496</v>
      </c>
    </row>
    <row r="120" spans="1:2" x14ac:dyDescent="0.25">
      <c r="A120" s="183">
        <v>10002817</v>
      </c>
      <c r="B120" t="s">
        <v>2498</v>
      </c>
    </row>
    <row r="121" spans="1:2" x14ac:dyDescent="0.25">
      <c r="A121" s="183">
        <v>10078575</v>
      </c>
      <c r="B121" t="s">
        <v>1448</v>
      </c>
    </row>
    <row r="122" spans="1:2" x14ac:dyDescent="0.25">
      <c r="A122" s="263">
        <v>20028270</v>
      </c>
      <c r="B122" s="252" t="s">
        <v>3930</v>
      </c>
    </row>
    <row r="123" spans="1:2" x14ac:dyDescent="0.25">
      <c r="A123" s="183">
        <v>20028271</v>
      </c>
      <c r="B123" t="s">
        <v>3931</v>
      </c>
    </row>
    <row r="124" spans="1:2" x14ac:dyDescent="0.25">
      <c r="A124" s="183">
        <v>20028269</v>
      </c>
      <c r="B124" t="s">
        <v>3932</v>
      </c>
    </row>
    <row r="125" spans="1:2" x14ac:dyDescent="0.25">
      <c r="A125" s="183">
        <v>20028256</v>
      </c>
      <c r="B125" t="s">
        <v>4068</v>
      </c>
    </row>
    <row r="126" spans="1:2" x14ac:dyDescent="0.25">
      <c r="A126" s="183">
        <v>20028257</v>
      </c>
      <c r="B126" t="s">
        <v>4069</v>
      </c>
    </row>
    <row r="127" spans="1:2" x14ac:dyDescent="0.25">
      <c r="A127" s="183">
        <v>20028259</v>
      </c>
      <c r="B127" t="s">
        <v>4070</v>
      </c>
    </row>
    <row r="128" spans="1:2" x14ac:dyDescent="0.25">
      <c r="A128" s="183">
        <v>20028258</v>
      </c>
      <c r="B128" t="s">
        <v>3896</v>
      </c>
    </row>
    <row r="129" spans="1:2" x14ac:dyDescent="0.25">
      <c r="A129" s="183">
        <v>20000015</v>
      </c>
      <c r="B129" t="s">
        <v>3052</v>
      </c>
    </row>
    <row r="130" spans="1:2" x14ac:dyDescent="0.25">
      <c r="A130" s="183">
        <v>20000016</v>
      </c>
      <c r="B130" t="s">
        <v>3054</v>
      </c>
    </row>
    <row r="131" spans="1:2" x14ac:dyDescent="0.25">
      <c r="A131" s="183">
        <v>20000014</v>
      </c>
      <c r="B131" t="s">
        <v>3050</v>
      </c>
    </row>
    <row r="132" spans="1:2" x14ac:dyDescent="0.25">
      <c r="A132" s="183">
        <v>10006605</v>
      </c>
      <c r="B132" t="s">
        <v>2981</v>
      </c>
    </row>
    <row r="133" spans="1:2" x14ac:dyDescent="0.25">
      <c r="A133" s="183">
        <v>10027596</v>
      </c>
      <c r="B133" t="s">
        <v>2983</v>
      </c>
    </row>
    <row r="134" spans="1:2" x14ac:dyDescent="0.25">
      <c r="A134" s="183">
        <v>10006598</v>
      </c>
      <c r="B134" t="s">
        <v>1366</v>
      </c>
    </row>
    <row r="135" spans="1:2" x14ac:dyDescent="0.25">
      <c r="A135" s="183">
        <v>10085752</v>
      </c>
      <c r="B135" t="s">
        <v>487</v>
      </c>
    </row>
    <row r="136" spans="1:2" x14ac:dyDescent="0.25">
      <c r="A136" s="183">
        <v>10085753</v>
      </c>
      <c r="B136" t="s">
        <v>489</v>
      </c>
    </row>
    <row r="137" spans="1:2" x14ac:dyDescent="0.25">
      <c r="A137" s="183">
        <v>10000829</v>
      </c>
      <c r="B137" t="s">
        <v>1517</v>
      </c>
    </row>
    <row r="138" spans="1:2" x14ac:dyDescent="0.25">
      <c r="A138" s="183">
        <v>10033036</v>
      </c>
      <c r="B138" t="s">
        <v>2795</v>
      </c>
    </row>
    <row r="139" spans="1:2" x14ac:dyDescent="0.25">
      <c r="A139" s="183">
        <v>10127497</v>
      </c>
      <c r="B139" t="s">
        <v>3800</v>
      </c>
    </row>
    <row r="140" spans="1:2" x14ac:dyDescent="0.25">
      <c r="A140" s="183">
        <v>10001993</v>
      </c>
      <c r="B140" t="s">
        <v>2794</v>
      </c>
    </row>
    <row r="141" spans="1:2" x14ac:dyDescent="0.25">
      <c r="A141" s="183">
        <v>10002431</v>
      </c>
      <c r="B141" t="s">
        <v>65</v>
      </c>
    </row>
    <row r="142" spans="1:2" x14ac:dyDescent="0.25">
      <c r="A142" s="183">
        <v>10001034</v>
      </c>
      <c r="B142" t="s">
        <v>17</v>
      </c>
    </row>
    <row r="143" spans="1:2" x14ac:dyDescent="0.25">
      <c r="A143" s="183">
        <v>10002297</v>
      </c>
      <c r="B143" t="s">
        <v>1526</v>
      </c>
    </row>
    <row r="144" spans="1:2" x14ac:dyDescent="0.25">
      <c r="A144" s="183">
        <v>10001614</v>
      </c>
      <c r="B144" t="s">
        <v>1515</v>
      </c>
    </row>
    <row r="145" spans="1:2" x14ac:dyDescent="0.25">
      <c r="A145" s="183">
        <v>10097402</v>
      </c>
      <c r="B145" t="s">
        <v>2871</v>
      </c>
    </row>
    <row r="146" spans="1:2" x14ac:dyDescent="0.25">
      <c r="A146" s="183">
        <v>10000154</v>
      </c>
      <c r="B146" t="s">
        <v>2873</v>
      </c>
    </row>
    <row r="147" spans="1:2" x14ac:dyDescent="0.25">
      <c r="A147" s="183">
        <v>10000759</v>
      </c>
      <c r="B147" t="s">
        <v>108</v>
      </c>
    </row>
    <row r="148" spans="1:2" x14ac:dyDescent="0.25">
      <c r="A148" s="183">
        <v>10000007</v>
      </c>
      <c r="B148" t="s">
        <v>2772</v>
      </c>
    </row>
    <row r="149" spans="1:2" x14ac:dyDescent="0.25">
      <c r="A149" s="183">
        <v>10002282</v>
      </c>
      <c r="B149" t="s">
        <v>292</v>
      </c>
    </row>
    <row r="150" spans="1:2" x14ac:dyDescent="0.25">
      <c r="A150" s="183">
        <v>10120327</v>
      </c>
      <c r="B150" t="s">
        <v>2859</v>
      </c>
    </row>
    <row r="151" spans="1:2" x14ac:dyDescent="0.25">
      <c r="A151" s="183">
        <v>10000831</v>
      </c>
      <c r="B151" t="s">
        <v>64</v>
      </c>
    </row>
    <row r="152" spans="1:2" x14ac:dyDescent="0.25">
      <c r="A152" s="183">
        <v>10000852</v>
      </c>
      <c r="B152" t="s">
        <v>1521</v>
      </c>
    </row>
    <row r="153" spans="1:2" x14ac:dyDescent="0.25">
      <c r="A153" s="183">
        <v>10097747</v>
      </c>
      <c r="B153" t="s">
        <v>2862</v>
      </c>
    </row>
    <row r="154" spans="1:2" x14ac:dyDescent="0.25">
      <c r="A154" s="183">
        <v>10002011</v>
      </c>
      <c r="B154" t="s">
        <v>2800</v>
      </c>
    </row>
    <row r="155" spans="1:2" x14ac:dyDescent="0.25">
      <c r="A155" s="183">
        <v>10002456</v>
      </c>
      <c r="B155" t="s">
        <v>63</v>
      </c>
    </row>
    <row r="156" spans="1:2" x14ac:dyDescent="0.25">
      <c r="A156" s="183">
        <v>10001044</v>
      </c>
      <c r="B156" t="s">
        <v>16</v>
      </c>
    </row>
    <row r="157" spans="1:2" x14ac:dyDescent="0.25">
      <c r="A157" s="183">
        <v>10000227</v>
      </c>
      <c r="B157" t="s">
        <v>1528</v>
      </c>
    </row>
    <row r="158" spans="1:2" x14ac:dyDescent="0.25">
      <c r="A158" s="183">
        <v>10097400</v>
      </c>
      <c r="B158" t="s">
        <v>2876</v>
      </c>
    </row>
    <row r="159" spans="1:2" x14ac:dyDescent="0.25">
      <c r="A159" s="183">
        <v>10000780</v>
      </c>
      <c r="B159" t="s">
        <v>107</v>
      </c>
    </row>
    <row r="160" spans="1:2" x14ac:dyDescent="0.25">
      <c r="A160" s="183">
        <v>10000011</v>
      </c>
      <c r="B160" t="s">
        <v>2774</v>
      </c>
    </row>
    <row r="161" spans="1:2" x14ac:dyDescent="0.25">
      <c r="A161" s="183">
        <v>10002281</v>
      </c>
      <c r="B161" s="252" t="s">
        <v>296</v>
      </c>
    </row>
    <row r="162" spans="1:2" x14ac:dyDescent="0.25">
      <c r="A162" s="216">
        <v>20029816</v>
      </c>
      <c r="B162" s="210" t="s">
        <v>3703</v>
      </c>
    </row>
    <row r="163" spans="1:2" x14ac:dyDescent="0.25">
      <c r="A163" s="263">
        <v>20029817</v>
      </c>
      <c r="B163" s="252" t="s">
        <v>3705</v>
      </c>
    </row>
    <row r="164" spans="1:2" x14ac:dyDescent="0.25">
      <c r="A164" s="183">
        <v>20029818</v>
      </c>
      <c r="B164" t="s">
        <v>3704</v>
      </c>
    </row>
    <row r="165" spans="1:2" x14ac:dyDescent="0.25">
      <c r="A165" s="183">
        <v>10000104</v>
      </c>
      <c r="B165" t="s">
        <v>1390</v>
      </c>
    </row>
    <row r="166" spans="1:2" x14ac:dyDescent="0.25">
      <c r="A166" s="183">
        <v>10000883</v>
      </c>
      <c r="B166" t="s">
        <v>1392</v>
      </c>
    </row>
    <row r="167" spans="1:2" x14ac:dyDescent="0.25">
      <c r="A167" s="183">
        <v>10000184</v>
      </c>
      <c r="B167" t="s">
        <v>1394</v>
      </c>
    </row>
    <row r="168" spans="1:2" x14ac:dyDescent="0.25">
      <c r="A168" s="183">
        <v>10000862</v>
      </c>
      <c r="B168" t="s">
        <v>62</v>
      </c>
    </row>
    <row r="169" spans="1:2" x14ac:dyDescent="0.25">
      <c r="A169" s="183">
        <v>10000219</v>
      </c>
      <c r="B169" t="s">
        <v>1282</v>
      </c>
    </row>
    <row r="170" spans="1:2" x14ac:dyDescent="0.25">
      <c r="A170" s="183">
        <v>10000226</v>
      </c>
      <c r="B170" s="252" t="s">
        <v>1538</v>
      </c>
    </row>
    <row r="171" spans="1:2" x14ac:dyDescent="0.25">
      <c r="A171" s="183">
        <v>10097659</v>
      </c>
      <c r="B171" t="s">
        <v>1403</v>
      </c>
    </row>
    <row r="172" spans="1:2" x14ac:dyDescent="0.25">
      <c r="A172" s="183">
        <v>10000788</v>
      </c>
      <c r="B172" t="s">
        <v>1415</v>
      </c>
    </row>
    <row r="173" spans="1:2" x14ac:dyDescent="0.25">
      <c r="A173" s="183">
        <v>10000009</v>
      </c>
      <c r="B173" t="s">
        <v>2781</v>
      </c>
    </row>
    <row r="174" spans="1:2" x14ac:dyDescent="0.25">
      <c r="A174" s="183">
        <v>10002284</v>
      </c>
      <c r="B174" t="s">
        <v>1437</v>
      </c>
    </row>
    <row r="175" spans="1:2" x14ac:dyDescent="0.25">
      <c r="A175" s="183">
        <v>10120971</v>
      </c>
      <c r="B175" s="252" t="s">
        <v>2783</v>
      </c>
    </row>
    <row r="176" spans="1:2" x14ac:dyDescent="0.25">
      <c r="A176" s="183">
        <v>10000880</v>
      </c>
      <c r="B176" t="s">
        <v>1388</v>
      </c>
    </row>
    <row r="177" spans="1:2" x14ac:dyDescent="0.25">
      <c r="A177" s="183">
        <v>10011970</v>
      </c>
      <c r="B177" t="s">
        <v>1573</v>
      </c>
    </row>
    <row r="178" spans="1:2" x14ac:dyDescent="0.25">
      <c r="A178" s="183">
        <v>10086453</v>
      </c>
      <c r="B178" t="s">
        <v>61</v>
      </c>
    </row>
    <row r="179" spans="1:2" x14ac:dyDescent="0.25">
      <c r="A179" s="183">
        <v>10126465</v>
      </c>
      <c r="B179" t="s">
        <v>3961</v>
      </c>
    </row>
    <row r="180" spans="1:2" x14ac:dyDescent="0.25">
      <c r="A180" s="183">
        <v>10126463</v>
      </c>
      <c r="B180" t="s">
        <v>3957</v>
      </c>
    </row>
    <row r="181" spans="1:2" x14ac:dyDescent="0.25">
      <c r="A181" s="183">
        <v>10000810</v>
      </c>
      <c r="B181" t="s">
        <v>1613</v>
      </c>
    </row>
    <row r="182" spans="1:2" x14ac:dyDescent="0.25">
      <c r="A182" s="183">
        <v>10001069</v>
      </c>
      <c r="B182" t="s">
        <v>1618</v>
      </c>
    </row>
    <row r="183" spans="1:2" x14ac:dyDescent="0.25">
      <c r="A183" s="183">
        <v>10097745</v>
      </c>
      <c r="B183" t="s">
        <v>1605</v>
      </c>
    </row>
    <row r="184" spans="1:2" x14ac:dyDescent="0.25">
      <c r="A184" s="183">
        <v>10001994</v>
      </c>
      <c r="B184" t="s">
        <v>114</v>
      </c>
    </row>
    <row r="185" spans="1:2" x14ac:dyDescent="0.25">
      <c r="A185" s="183">
        <v>10086473</v>
      </c>
      <c r="B185" t="s">
        <v>1611</v>
      </c>
    </row>
    <row r="186" spans="1:2" x14ac:dyDescent="0.25">
      <c r="A186" s="183">
        <v>10115916</v>
      </c>
      <c r="B186" t="s">
        <v>3802</v>
      </c>
    </row>
    <row r="187" spans="1:2" x14ac:dyDescent="0.25">
      <c r="A187" s="183">
        <v>10000904</v>
      </c>
      <c r="B187" t="s">
        <v>60</v>
      </c>
    </row>
    <row r="188" spans="1:2" x14ac:dyDescent="0.25">
      <c r="A188" s="183">
        <v>10006264</v>
      </c>
      <c r="B188" s="252" t="s">
        <v>15</v>
      </c>
    </row>
    <row r="189" spans="1:2" x14ac:dyDescent="0.25">
      <c r="A189" s="183">
        <v>10036798</v>
      </c>
      <c r="B189" t="s">
        <v>1532</v>
      </c>
    </row>
    <row r="190" spans="1:2" x14ac:dyDescent="0.25">
      <c r="A190" s="183">
        <v>10056875</v>
      </c>
      <c r="B190" t="s">
        <v>1607</v>
      </c>
    </row>
    <row r="191" spans="1:2" x14ac:dyDescent="0.25">
      <c r="A191" s="183">
        <v>10000809</v>
      </c>
      <c r="B191" t="s">
        <v>1409</v>
      </c>
    </row>
    <row r="192" spans="1:2" x14ac:dyDescent="0.25">
      <c r="A192" s="183">
        <v>10001068</v>
      </c>
      <c r="B192" t="s">
        <v>1617</v>
      </c>
    </row>
    <row r="193" spans="1:2" x14ac:dyDescent="0.25">
      <c r="A193" s="183">
        <v>10045978</v>
      </c>
      <c r="B193" t="s">
        <v>302</v>
      </c>
    </row>
    <row r="194" spans="1:2" x14ac:dyDescent="0.25">
      <c r="A194" s="183">
        <v>10105908</v>
      </c>
      <c r="B194" t="s">
        <v>1056</v>
      </c>
    </row>
    <row r="195" spans="1:2" x14ac:dyDescent="0.25">
      <c r="A195" s="183">
        <v>10120326</v>
      </c>
      <c r="B195" t="s">
        <v>2929</v>
      </c>
    </row>
    <row r="196" spans="1:2" x14ac:dyDescent="0.25">
      <c r="A196" s="183">
        <v>10000891</v>
      </c>
      <c r="B196" t="s">
        <v>1601</v>
      </c>
    </row>
    <row r="197" spans="1:2" x14ac:dyDescent="0.25">
      <c r="A197" s="183">
        <v>10105905</v>
      </c>
      <c r="B197" t="s">
        <v>4046</v>
      </c>
    </row>
    <row r="198" spans="1:2" x14ac:dyDescent="0.25">
      <c r="A198" s="183">
        <v>10115915</v>
      </c>
      <c r="B198" t="s">
        <v>3801</v>
      </c>
    </row>
    <row r="199" spans="1:2" x14ac:dyDescent="0.25">
      <c r="A199" s="183">
        <v>10111508</v>
      </c>
      <c r="B199" t="s">
        <v>4044</v>
      </c>
    </row>
    <row r="200" spans="1:2" x14ac:dyDescent="0.25">
      <c r="A200" s="183">
        <v>10107362</v>
      </c>
      <c r="B200" t="s">
        <v>2201</v>
      </c>
    </row>
    <row r="201" spans="1:2" x14ac:dyDescent="0.25">
      <c r="A201" s="183">
        <v>10099691</v>
      </c>
      <c r="B201" t="s">
        <v>4041</v>
      </c>
    </row>
    <row r="202" spans="1:2" x14ac:dyDescent="0.25">
      <c r="A202" s="183">
        <v>10000906</v>
      </c>
      <c r="B202" t="s">
        <v>1624</v>
      </c>
    </row>
    <row r="203" spans="1:2" x14ac:dyDescent="0.25">
      <c r="A203" s="183">
        <v>10099689</v>
      </c>
      <c r="B203" t="s">
        <v>3284</v>
      </c>
    </row>
    <row r="204" spans="1:2" x14ac:dyDescent="0.25">
      <c r="A204" s="183">
        <v>10000300</v>
      </c>
      <c r="B204" t="s">
        <v>1622</v>
      </c>
    </row>
    <row r="205" spans="1:2" x14ac:dyDescent="0.25">
      <c r="A205" s="183">
        <v>10099694</v>
      </c>
      <c r="B205" t="s">
        <v>3285</v>
      </c>
    </row>
    <row r="206" spans="1:2" x14ac:dyDescent="0.25">
      <c r="A206" s="183">
        <v>10000903</v>
      </c>
      <c r="B206" t="s">
        <v>1620</v>
      </c>
    </row>
    <row r="207" spans="1:2" x14ac:dyDescent="0.25">
      <c r="A207" s="183">
        <v>10099690</v>
      </c>
      <c r="B207" t="s">
        <v>4040</v>
      </c>
    </row>
    <row r="208" spans="1:2" x14ac:dyDescent="0.25">
      <c r="A208" s="183">
        <v>10107361</v>
      </c>
      <c r="B208" t="s">
        <v>2229</v>
      </c>
    </row>
    <row r="209" spans="1:2" x14ac:dyDescent="0.25">
      <c r="A209" s="183">
        <v>10006446</v>
      </c>
      <c r="B209" t="s">
        <v>1626</v>
      </c>
    </row>
    <row r="210" spans="1:2" x14ac:dyDescent="0.25">
      <c r="A210" s="183">
        <v>10099692</v>
      </c>
      <c r="B210" t="s">
        <v>4042</v>
      </c>
    </row>
    <row r="211" spans="1:2" x14ac:dyDescent="0.25">
      <c r="A211" s="183">
        <v>10099693</v>
      </c>
      <c r="B211" t="s">
        <v>4043</v>
      </c>
    </row>
    <row r="212" spans="1:2" x14ac:dyDescent="0.25">
      <c r="A212" s="183">
        <v>10114341</v>
      </c>
      <c r="B212" t="s">
        <v>4045</v>
      </c>
    </row>
    <row r="213" spans="1:2" x14ac:dyDescent="0.25">
      <c r="A213" s="183">
        <v>10000808</v>
      </c>
      <c r="B213" t="s">
        <v>1615</v>
      </c>
    </row>
    <row r="214" spans="1:2" x14ac:dyDescent="0.25">
      <c r="A214" s="183">
        <v>10001067</v>
      </c>
      <c r="B214" t="s">
        <v>1619</v>
      </c>
    </row>
    <row r="215" spans="1:2" x14ac:dyDescent="0.25">
      <c r="A215" s="183">
        <v>10000867</v>
      </c>
      <c r="B215" t="s">
        <v>4163</v>
      </c>
    </row>
    <row r="216" spans="1:2" x14ac:dyDescent="0.25">
      <c r="A216" s="183">
        <v>10000870</v>
      </c>
      <c r="B216" t="s">
        <v>1666</v>
      </c>
    </row>
    <row r="217" spans="1:2" x14ac:dyDescent="0.25">
      <c r="A217" s="183">
        <v>10000869</v>
      </c>
      <c r="B217" t="s">
        <v>1667</v>
      </c>
    </row>
    <row r="218" spans="1:2" x14ac:dyDescent="0.25">
      <c r="A218" s="183">
        <v>10000868</v>
      </c>
      <c r="B218" s="252" t="s">
        <v>1664</v>
      </c>
    </row>
    <row r="219" spans="1:2" x14ac:dyDescent="0.25">
      <c r="A219" s="183">
        <v>10000875</v>
      </c>
      <c r="B219" t="s">
        <v>1378</v>
      </c>
    </row>
    <row r="220" spans="1:2" x14ac:dyDescent="0.25">
      <c r="A220" s="183">
        <v>10000833</v>
      </c>
      <c r="B220" t="s">
        <v>59</v>
      </c>
    </row>
    <row r="221" spans="1:2" x14ac:dyDescent="0.25">
      <c r="A221" s="183">
        <v>10127498</v>
      </c>
      <c r="B221" t="s">
        <v>3798</v>
      </c>
    </row>
    <row r="222" spans="1:2" x14ac:dyDescent="0.25">
      <c r="A222" s="183">
        <v>10001749</v>
      </c>
      <c r="B222" t="s">
        <v>58</v>
      </c>
    </row>
    <row r="223" spans="1:2" x14ac:dyDescent="0.25">
      <c r="A223" s="183">
        <v>10000675</v>
      </c>
      <c r="B223" s="252" t="s">
        <v>1276</v>
      </c>
    </row>
    <row r="224" spans="1:2" x14ac:dyDescent="0.25">
      <c r="A224" s="183">
        <v>10091006</v>
      </c>
      <c r="B224" s="252" t="s">
        <v>2962</v>
      </c>
    </row>
    <row r="225" spans="1:2" x14ac:dyDescent="0.25">
      <c r="A225" s="183">
        <v>10000179</v>
      </c>
      <c r="B225" t="s">
        <v>57</v>
      </c>
    </row>
    <row r="226" spans="1:2" x14ac:dyDescent="0.25">
      <c r="A226" s="183">
        <v>10000872</v>
      </c>
      <c r="B226" t="s">
        <v>1382</v>
      </c>
    </row>
    <row r="227" spans="1:2" x14ac:dyDescent="0.25">
      <c r="A227" s="183">
        <v>10097277</v>
      </c>
      <c r="B227" t="s">
        <v>532</v>
      </c>
    </row>
    <row r="228" spans="1:2" x14ac:dyDescent="0.25">
      <c r="A228" s="183">
        <v>10097278</v>
      </c>
      <c r="B228" t="s">
        <v>533</v>
      </c>
    </row>
    <row r="229" spans="1:2" x14ac:dyDescent="0.25">
      <c r="A229" s="183">
        <v>10000818</v>
      </c>
      <c r="B229" t="s">
        <v>4162</v>
      </c>
    </row>
    <row r="230" spans="1:2" x14ac:dyDescent="0.25">
      <c r="A230" s="183">
        <v>10001013</v>
      </c>
      <c r="B230" t="s">
        <v>1628</v>
      </c>
    </row>
    <row r="231" spans="1:2" x14ac:dyDescent="0.25">
      <c r="A231" s="183">
        <v>10000828</v>
      </c>
      <c r="B231" t="s">
        <v>1642</v>
      </c>
    </row>
    <row r="232" spans="1:2" x14ac:dyDescent="0.25">
      <c r="A232" s="183">
        <v>10000821</v>
      </c>
      <c r="B232" t="s">
        <v>1632</v>
      </c>
    </row>
    <row r="233" spans="1:2" x14ac:dyDescent="0.25">
      <c r="A233" s="183">
        <v>10000824</v>
      </c>
      <c r="B233" t="s">
        <v>1644</v>
      </c>
    </row>
    <row r="234" spans="1:2" x14ac:dyDescent="0.25">
      <c r="A234" s="183">
        <v>10000823</v>
      </c>
      <c r="B234" t="s">
        <v>1630</v>
      </c>
    </row>
    <row r="235" spans="1:2" x14ac:dyDescent="0.25">
      <c r="A235" s="183">
        <v>10000825</v>
      </c>
      <c r="B235" t="s">
        <v>1638</v>
      </c>
    </row>
    <row r="236" spans="1:2" x14ac:dyDescent="0.25">
      <c r="A236" s="183">
        <v>10000826</v>
      </c>
      <c r="B236" t="s">
        <v>1648</v>
      </c>
    </row>
    <row r="237" spans="1:2" x14ac:dyDescent="0.25">
      <c r="A237" s="183">
        <v>10000800</v>
      </c>
      <c r="B237" t="s">
        <v>1646</v>
      </c>
    </row>
    <row r="238" spans="1:2" x14ac:dyDescent="0.25">
      <c r="A238" s="183">
        <v>10000827</v>
      </c>
      <c r="B238" t="s">
        <v>1636</v>
      </c>
    </row>
    <row r="239" spans="1:2" x14ac:dyDescent="0.25">
      <c r="A239" s="183">
        <v>10021904</v>
      </c>
      <c r="B239" t="s">
        <v>3267</v>
      </c>
    </row>
    <row r="240" spans="1:2" x14ac:dyDescent="0.25">
      <c r="A240" s="183">
        <v>10087178</v>
      </c>
      <c r="B240" t="s">
        <v>4119</v>
      </c>
    </row>
    <row r="241" spans="1:2" x14ac:dyDescent="0.25">
      <c r="A241" s="183">
        <v>10021944</v>
      </c>
      <c r="B241" s="252" t="s">
        <v>3265</v>
      </c>
    </row>
    <row r="242" spans="1:2" x14ac:dyDescent="0.25">
      <c r="A242" s="183">
        <v>10087177</v>
      </c>
      <c r="B242" t="s">
        <v>3018</v>
      </c>
    </row>
    <row r="243" spans="1:2" x14ac:dyDescent="0.25">
      <c r="A243" s="183">
        <v>10021907</v>
      </c>
      <c r="B243" t="s">
        <v>3268</v>
      </c>
    </row>
    <row r="244" spans="1:2" x14ac:dyDescent="0.25">
      <c r="A244" s="183">
        <v>10087179</v>
      </c>
      <c r="B244" t="s">
        <v>3791</v>
      </c>
    </row>
    <row r="245" spans="1:2" x14ac:dyDescent="0.25">
      <c r="A245" s="183">
        <v>10027353</v>
      </c>
      <c r="B245" t="s">
        <v>3122</v>
      </c>
    </row>
    <row r="246" spans="1:2" x14ac:dyDescent="0.25">
      <c r="A246" s="183">
        <v>10001402</v>
      </c>
      <c r="B246" t="s">
        <v>3116</v>
      </c>
    </row>
    <row r="247" spans="1:2" x14ac:dyDescent="0.25">
      <c r="A247" s="183">
        <v>10000237</v>
      </c>
      <c r="B247" t="s">
        <v>3114</v>
      </c>
    </row>
    <row r="248" spans="1:2" x14ac:dyDescent="0.25">
      <c r="A248" s="183">
        <v>20004161</v>
      </c>
      <c r="B248" t="s">
        <v>1685</v>
      </c>
    </row>
    <row r="249" spans="1:2" x14ac:dyDescent="0.25">
      <c r="A249" s="183">
        <v>20004165</v>
      </c>
      <c r="B249" s="252" t="s">
        <v>1681</v>
      </c>
    </row>
    <row r="250" spans="1:2" x14ac:dyDescent="0.25">
      <c r="A250" s="183">
        <v>20023539</v>
      </c>
      <c r="B250" t="s">
        <v>2727</v>
      </c>
    </row>
    <row r="251" spans="1:2" x14ac:dyDescent="0.25">
      <c r="A251" s="183">
        <v>20000105</v>
      </c>
      <c r="B251" t="s">
        <v>2723</v>
      </c>
    </row>
    <row r="252" spans="1:2" x14ac:dyDescent="0.25">
      <c r="A252" s="183">
        <v>10033032</v>
      </c>
      <c r="B252" t="s">
        <v>2805</v>
      </c>
    </row>
    <row r="253" spans="1:2" x14ac:dyDescent="0.25">
      <c r="A253" s="183">
        <v>10000836</v>
      </c>
      <c r="B253" t="s">
        <v>1716</v>
      </c>
    </row>
    <row r="254" spans="1:2" x14ac:dyDescent="0.25">
      <c r="A254" s="183">
        <v>10002434</v>
      </c>
      <c r="B254" t="s">
        <v>56</v>
      </c>
    </row>
    <row r="255" spans="1:2" x14ac:dyDescent="0.25">
      <c r="A255" s="183">
        <v>10001037</v>
      </c>
      <c r="B255" t="s">
        <v>14</v>
      </c>
    </row>
    <row r="256" spans="1:2" x14ac:dyDescent="0.25">
      <c r="A256" s="183">
        <v>10074444</v>
      </c>
      <c r="B256" t="s">
        <v>2961</v>
      </c>
    </row>
    <row r="257" spans="1:2" x14ac:dyDescent="0.25">
      <c r="A257" s="183">
        <v>10000222</v>
      </c>
      <c r="B257" t="s">
        <v>1522</v>
      </c>
    </row>
    <row r="258" spans="1:2" x14ac:dyDescent="0.25">
      <c r="A258" s="183">
        <v>10001615</v>
      </c>
      <c r="B258" t="s">
        <v>1399</v>
      </c>
    </row>
    <row r="259" spans="1:2" x14ac:dyDescent="0.25">
      <c r="A259" s="183">
        <v>10097399</v>
      </c>
      <c r="B259" s="252" t="s">
        <v>2864</v>
      </c>
    </row>
    <row r="260" spans="1:2" x14ac:dyDescent="0.25">
      <c r="A260" s="183">
        <v>10001720</v>
      </c>
      <c r="B260" t="s">
        <v>106</v>
      </c>
    </row>
    <row r="261" spans="1:2" x14ac:dyDescent="0.25">
      <c r="A261" s="183">
        <v>10028155</v>
      </c>
      <c r="B261" t="s">
        <v>2866</v>
      </c>
    </row>
    <row r="262" spans="1:2" x14ac:dyDescent="0.25">
      <c r="A262" s="183">
        <v>10127331</v>
      </c>
      <c r="B262" t="s">
        <v>3758</v>
      </c>
    </row>
    <row r="263" spans="1:2" x14ac:dyDescent="0.25">
      <c r="A263" s="183">
        <v>10133171</v>
      </c>
      <c r="B263" t="s">
        <v>4024</v>
      </c>
    </row>
    <row r="264" spans="1:2" x14ac:dyDescent="0.25">
      <c r="A264" s="183">
        <v>10133172</v>
      </c>
      <c r="B264" t="s">
        <v>4026</v>
      </c>
    </row>
    <row r="265" spans="1:2" x14ac:dyDescent="0.25">
      <c r="A265" s="183">
        <v>10000005</v>
      </c>
      <c r="B265" t="s">
        <v>2769</v>
      </c>
    </row>
    <row r="266" spans="1:2" x14ac:dyDescent="0.25">
      <c r="A266" s="183">
        <v>10002278</v>
      </c>
      <c r="B266" t="s">
        <v>288</v>
      </c>
    </row>
    <row r="267" spans="1:2" x14ac:dyDescent="0.25">
      <c r="A267" s="183">
        <v>10120325</v>
      </c>
      <c r="B267" t="s">
        <v>2949</v>
      </c>
    </row>
    <row r="268" spans="1:2" x14ac:dyDescent="0.25">
      <c r="A268" s="183">
        <v>10000689</v>
      </c>
      <c r="B268" t="s">
        <v>2953</v>
      </c>
    </row>
    <row r="269" spans="1:2" x14ac:dyDescent="0.25">
      <c r="A269" s="183">
        <v>10002778</v>
      </c>
      <c r="B269" s="252" t="s">
        <v>55</v>
      </c>
    </row>
    <row r="270" spans="1:2" x14ac:dyDescent="0.25">
      <c r="A270" s="183">
        <v>10085268</v>
      </c>
      <c r="B270" t="s">
        <v>3012</v>
      </c>
    </row>
    <row r="271" spans="1:2" x14ac:dyDescent="0.25">
      <c r="A271" s="183">
        <v>10081780</v>
      </c>
      <c r="B271" t="s">
        <v>3015</v>
      </c>
    </row>
    <row r="272" spans="1:2" x14ac:dyDescent="0.25">
      <c r="A272" s="183">
        <v>10003730</v>
      </c>
      <c r="B272" s="252" t="s">
        <v>54</v>
      </c>
    </row>
    <row r="273" spans="1:2" x14ac:dyDescent="0.25">
      <c r="A273" s="183">
        <v>10015777</v>
      </c>
      <c r="B273" t="s">
        <v>1396</v>
      </c>
    </row>
    <row r="274" spans="1:2" x14ac:dyDescent="0.25">
      <c r="A274" s="183">
        <v>10000830</v>
      </c>
      <c r="B274" t="s">
        <v>1518</v>
      </c>
    </row>
    <row r="275" spans="1:2" x14ac:dyDescent="0.25">
      <c r="A275" s="183">
        <v>10127494</v>
      </c>
      <c r="B275" t="s">
        <v>3799</v>
      </c>
    </row>
    <row r="276" spans="1:2" x14ac:dyDescent="0.25">
      <c r="A276" s="183">
        <v>10002009</v>
      </c>
      <c r="B276" t="s">
        <v>2799</v>
      </c>
    </row>
    <row r="277" spans="1:2" x14ac:dyDescent="0.25">
      <c r="A277" s="183">
        <v>10002432</v>
      </c>
      <c r="B277" t="s">
        <v>53</v>
      </c>
    </row>
    <row r="278" spans="1:2" x14ac:dyDescent="0.25">
      <c r="A278" s="183">
        <v>10001035</v>
      </c>
      <c r="B278" t="s">
        <v>13</v>
      </c>
    </row>
    <row r="279" spans="1:2" x14ac:dyDescent="0.25">
      <c r="A279" s="183">
        <v>10000155</v>
      </c>
      <c r="B279" t="s">
        <v>2875</v>
      </c>
    </row>
    <row r="280" spans="1:2" x14ac:dyDescent="0.25">
      <c r="A280" s="183">
        <v>10000760</v>
      </c>
      <c r="B280" t="s">
        <v>1519</v>
      </c>
    </row>
    <row r="281" spans="1:2" x14ac:dyDescent="0.25">
      <c r="A281" s="183">
        <v>10002283</v>
      </c>
      <c r="B281" t="s">
        <v>294</v>
      </c>
    </row>
    <row r="282" spans="1:2" x14ac:dyDescent="0.25">
      <c r="A282" s="183">
        <v>10120323</v>
      </c>
      <c r="B282" t="s">
        <v>2860</v>
      </c>
    </row>
    <row r="283" spans="1:2" x14ac:dyDescent="0.25">
      <c r="A283" s="183">
        <v>10000832</v>
      </c>
      <c r="B283" t="s">
        <v>52</v>
      </c>
    </row>
    <row r="284" spans="1:2" x14ac:dyDescent="0.25">
      <c r="A284" s="183">
        <v>10000853</v>
      </c>
      <c r="B284" t="s">
        <v>51</v>
      </c>
    </row>
    <row r="285" spans="1:2" x14ac:dyDescent="0.25">
      <c r="A285" s="183">
        <v>10001045</v>
      </c>
      <c r="B285" t="s">
        <v>1566</v>
      </c>
    </row>
    <row r="286" spans="1:2" x14ac:dyDescent="0.25">
      <c r="A286" s="183">
        <v>10000781</v>
      </c>
      <c r="B286" t="s">
        <v>2878</v>
      </c>
    </row>
    <row r="287" spans="1:2" x14ac:dyDescent="0.25">
      <c r="A287" s="183">
        <v>10089655</v>
      </c>
      <c r="B287" t="s">
        <v>298</v>
      </c>
    </row>
    <row r="288" spans="1:2" x14ac:dyDescent="0.25">
      <c r="A288" s="183">
        <v>10003047</v>
      </c>
      <c r="B288" t="s">
        <v>1603</v>
      </c>
    </row>
    <row r="289" spans="1:2" x14ac:dyDescent="0.25">
      <c r="A289" s="183">
        <v>10000905</v>
      </c>
      <c r="B289" t="s">
        <v>49</v>
      </c>
    </row>
    <row r="290" spans="1:2" x14ac:dyDescent="0.25">
      <c r="A290" s="183">
        <v>10000147</v>
      </c>
      <c r="B290" t="s">
        <v>1609</v>
      </c>
    </row>
    <row r="291" spans="1:2" x14ac:dyDescent="0.25">
      <c r="A291" s="183">
        <v>10083872</v>
      </c>
      <c r="B291" t="s">
        <v>2685</v>
      </c>
    </row>
    <row r="292" spans="1:2" x14ac:dyDescent="0.25">
      <c r="A292" s="183">
        <v>10119253</v>
      </c>
      <c r="B292" t="s">
        <v>4054</v>
      </c>
    </row>
    <row r="293" spans="1:2" x14ac:dyDescent="0.25">
      <c r="A293" s="183">
        <v>10000795</v>
      </c>
      <c r="B293" t="s">
        <v>1676</v>
      </c>
    </row>
    <row r="294" spans="1:2" x14ac:dyDescent="0.25">
      <c r="A294" s="183">
        <v>10000835</v>
      </c>
      <c r="B294" t="s">
        <v>4164</v>
      </c>
    </row>
    <row r="295" spans="1:2" x14ac:dyDescent="0.25">
      <c r="A295" s="183">
        <v>10000834</v>
      </c>
      <c r="B295" t="s">
        <v>48</v>
      </c>
    </row>
    <row r="296" spans="1:2" x14ac:dyDescent="0.25">
      <c r="A296" s="183">
        <v>10127495</v>
      </c>
      <c r="B296" t="s">
        <v>3797</v>
      </c>
    </row>
    <row r="297" spans="1:2" x14ac:dyDescent="0.25">
      <c r="A297" s="183">
        <v>10001750</v>
      </c>
      <c r="B297" t="s">
        <v>47</v>
      </c>
    </row>
    <row r="298" spans="1:2" x14ac:dyDescent="0.25">
      <c r="A298" s="183">
        <v>10000873</v>
      </c>
      <c r="B298" t="s">
        <v>1384</v>
      </c>
    </row>
    <row r="299" spans="1:2" x14ac:dyDescent="0.25">
      <c r="A299" s="183">
        <v>10000819</v>
      </c>
      <c r="B299" t="s">
        <v>1640</v>
      </c>
    </row>
    <row r="300" spans="1:2" x14ac:dyDescent="0.25">
      <c r="A300" s="183">
        <v>10021945</v>
      </c>
      <c r="B300" t="s">
        <v>3266</v>
      </c>
    </row>
    <row r="301" spans="1:2" x14ac:dyDescent="0.25">
      <c r="A301" s="183">
        <v>20004167</v>
      </c>
      <c r="B301" t="s">
        <v>1687</v>
      </c>
    </row>
    <row r="302" spans="1:2" x14ac:dyDescent="0.25">
      <c r="A302" s="183">
        <v>20004169</v>
      </c>
      <c r="B302" t="s">
        <v>1683</v>
      </c>
    </row>
    <row r="303" spans="1:2" x14ac:dyDescent="0.25">
      <c r="A303" s="183">
        <v>20000106</v>
      </c>
      <c r="B303" t="s">
        <v>2725</v>
      </c>
    </row>
    <row r="304" spans="1:2" x14ac:dyDescent="0.25">
      <c r="A304" s="183">
        <v>10033031</v>
      </c>
      <c r="B304" t="s">
        <v>2809</v>
      </c>
    </row>
    <row r="305" spans="1:2" x14ac:dyDescent="0.25">
      <c r="A305" s="183">
        <v>10001754</v>
      </c>
      <c r="B305" t="s">
        <v>1717</v>
      </c>
    </row>
    <row r="306" spans="1:2" x14ac:dyDescent="0.25">
      <c r="A306" s="183">
        <v>10002435</v>
      </c>
      <c r="B306" t="s">
        <v>46</v>
      </c>
    </row>
    <row r="307" spans="1:2" x14ac:dyDescent="0.25">
      <c r="A307" s="183">
        <v>10001038</v>
      </c>
      <c r="B307" t="s">
        <v>12</v>
      </c>
    </row>
    <row r="308" spans="1:2" x14ac:dyDescent="0.25">
      <c r="A308" s="183">
        <v>10000223</v>
      </c>
      <c r="B308" t="s">
        <v>1524</v>
      </c>
    </row>
    <row r="309" spans="1:2" x14ac:dyDescent="0.25">
      <c r="A309" s="183">
        <v>10001616</v>
      </c>
      <c r="B309" t="s">
        <v>1401</v>
      </c>
    </row>
    <row r="310" spans="1:2" x14ac:dyDescent="0.25">
      <c r="A310" s="183">
        <v>10097401</v>
      </c>
      <c r="B310" s="252" t="s">
        <v>2869</v>
      </c>
    </row>
    <row r="311" spans="1:2" x14ac:dyDescent="0.25">
      <c r="A311" s="183">
        <v>10000765</v>
      </c>
      <c r="B311" t="s">
        <v>105</v>
      </c>
    </row>
    <row r="312" spans="1:2" x14ac:dyDescent="0.25">
      <c r="A312" s="183">
        <v>10127334</v>
      </c>
      <c r="B312" t="s">
        <v>3759</v>
      </c>
    </row>
    <row r="313" spans="1:2" x14ac:dyDescent="0.25">
      <c r="A313" s="183">
        <v>10000006</v>
      </c>
      <c r="B313" t="s">
        <v>2771</v>
      </c>
    </row>
    <row r="314" spans="1:2" x14ac:dyDescent="0.25">
      <c r="A314" s="183">
        <v>10002280</v>
      </c>
      <c r="B314" t="s">
        <v>290</v>
      </c>
    </row>
    <row r="315" spans="1:2" x14ac:dyDescent="0.25">
      <c r="A315" s="183">
        <v>10120324</v>
      </c>
      <c r="B315" t="s">
        <v>2950</v>
      </c>
    </row>
    <row r="316" spans="1:2" x14ac:dyDescent="0.25">
      <c r="A316" s="183">
        <v>10000690</v>
      </c>
      <c r="B316" t="s">
        <v>2956</v>
      </c>
    </row>
    <row r="317" spans="1:2" x14ac:dyDescent="0.25">
      <c r="A317" s="183">
        <v>10081820</v>
      </c>
      <c r="B317" t="s">
        <v>1707</v>
      </c>
    </row>
    <row r="318" spans="1:2" x14ac:dyDescent="0.25">
      <c r="A318" s="183">
        <v>10000839</v>
      </c>
      <c r="B318" t="s">
        <v>1274</v>
      </c>
    </row>
    <row r="319" spans="1:2" x14ac:dyDescent="0.25">
      <c r="A319" s="183">
        <v>10000909</v>
      </c>
      <c r="B319" t="s">
        <v>1270</v>
      </c>
    </row>
    <row r="320" spans="1:2" x14ac:dyDescent="0.25">
      <c r="A320" s="183">
        <v>10000842</v>
      </c>
      <c r="B320" t="s">
        <v>45</v>
      </c>
    </row>
    <row r="321" spans="1:2" x14ac:dyDescent="0.25">
      <c r="A321" s="183">
        <v>10002010</v>
      </c>
      <c r="B321" t="s">
        <v>2803</v>
      </c>
    </row>
    <row r="322" spans="1:2" x14ac:dyDescent="0.25">
      <c r="A322" s="183">
        <v>10000848</v>
      </c>
      <c r="B322" s="252" t="s">
        <v>1659</v>
      </c>
    </row>
    <row r="323" spans="1:2" x14ac:dyDescent="0.25">
      <c r="A323" s="183">
        <v>10000858</v>
      </c>
      <c r="B323" t="s">
        <v>1661</v>
      </c>
    </row>
    <row r="324" spans="1:2" x14ac:dyDescent="0.25">
      <c r="A324" s="183">
        <v>10000910</v>
      </c>
      <c r="B324" s="252" t="s">
        <v>1699</v>
      </c>
    </row>
    <row r="325" spans="1:2" x14ac:dyDescent="0.25">
      <c r="A325" s="183">
        <v>10000850</v>
      </c>
      <c r="B325" t="s">
        <v>44</v>
      </c>
    </row>
    <row r="326" spans="1:2" x14ac:dyDescent="0.25">
      <c r="A326" s="263">
        <v>10000368</v>
      </c>
      <c r="B326" s="252" t="s">
        <v>342</v>
      </c>
    </row>
    <row r="327" spans="1:2" x14ac:dyDescent="0.25">
      <c r="A327" s="183">
        <v>10000368</v>
      </c>
      <c r="B327" t="s">
        <v>342</v>
      </c>
    </row>
    <row r="328" spans="1:2" x14ac:dyDescent="0.25">
      <c r="A328" s="183">
        <v>10000360</v>
      </c>
      <c r="B328" t="s">
        <v>338</v>
      </c>
    </row>
    <row r="329" spans="1:2" x14ac:dyDescent="0.25">
      <c r="A329" s="183">
        <v>10000360</v>
      </c>
      <c r="B329" t="s">
        <v>338</v>
      </c>
    </row>
    <row r="330" spans="1:2" x14ac:dyDescent="0.25">
      <c r="A330" s="183">
        <v>10000877</v>
      </c>
      <c r="B330" s="252" t="s">
        <v>43</v>
      </c>
    </row>
    <row r="331" spans="1:2" x14ac:dyDescent="0.25">
      <c r="A331" s="183">
        <v>10000863</v>
      </c>
      <c r="B331" t="s">
        <v>42</v>
      </c>
    </row>
    <row r="332" spans="1:2" x14ac:dyDescent="0.25">
      <c r="A332" s="183">
        <v>10000841</v>
      </c>
      <c r="B332" t="s">
        <v>41</v>
      </c>
    </row>
    <row r="333" spans="1:2" x14ac:dyDescent="0.25">
      <c r="A333" s="183">
        <v>10002611</v>
      </c>
      <c r="B333" t="s">
        <v>2821</v>
      </c>
    </row>
    <row r="334" spans="1:2" x14ac:dyDescent="0.25">
      <c r="A334" s="183">
        <v>10000815</v>
      </c>
      <c r="B334" t="s">
        <v>1411</v>
      </c>
    </row>
    <row r="335" spans="1:2" x14ac:dyDescent="0.25">
      <c r="A335" s="183">
        <v>10032959</v>
      </c>
      <c r="B335" t="s">
        <v>2712</v>
      </c>
    </row>
    <row r="336" spans="1:2" x14ac:dyDescent="0.25">
      <c r="A336" s="183">
        <v>10000855</v>
      </c>
      <c r="B336" s="252" t="s">
        <v>40</v>
      </c>
    </row>
    <row r="337" spans="1:2" x14ac:dyDescent="0.25">
      <c r="A337" s="183">
        <v>10000043</v>
      </c>
      <c r="B337" t="s">
        <v>1280</v>
      </c>
    </row>
    <row r="338" spans="1:2" x14ac:dyDescent="0.25">
      <c r="A338" s="183">
        <v>10000032</v>
      </c>
      <c r="B338" t="s">
        <v>1536</v>
      </c>
    </row>
    <row r="339" spans="1:2" x14ac:dyDescent="0.25">
      <c r="A339" s="183">
        <v>10000783</v>
      </c>
      <c r="B339" t="s">
        <v>1413</v>
      </c>
    </row>
    <row r="340" spans="1:2" x14ac:dyDescent="0.25">
      <c r="A340" s="183">
        <v>20029227</v>
      </c>
      <c r="B340" t="s">
        <v>3697</v>
      </c>
    </row>
    <row r="341" spans="1:2" x14ac:dyDescent="0.25">
      <c r="A341" s="183">
        <v>20029229</v>
      </c>
      <c r="B341" t="s">
        <v>3699</v>
      </c>
    </row>
    <row r="342" spans="1:2" x14ac:dyDescent="0.25">
      <c r="A342" s="183">
        <v>20029228</v>
      </c>
      <c r="B342" t="s">
        <v>3698</v>
      </c>
    </row>
    <row r="343" spans="1:2" x14ac:dyDescent="0.25">
      <c r="A343" s="183">
        <v>10000851</v>
      </c>
      <c r="B343" t="s">
        <v>39</v>
      </c>
    </row>
    <row r="344" spans="1:2" x14ac:dyDescent="0.25">
      <c r="A344" s="183">
        <v>10087191</v>
      </c>
      <c r="B344" t="s">
        <v>3017</v>
      </c>
    </row>
    <row r="345" spans="1:2" x14ac:dyDescent="0.25">
      <c r="A345" s="183">
        <v>10087196</v>
      </c>
      <c r="B345" t="s">
        <v>3023</v>
      </c>
    </row>
    <row r="346" spans="1:2" x14ac:dyDescent="0.25">
      <c r="A346" s="183">
        <v>10087193</v>
      </c>
      <c r="B346" t="s">
        <v>2776</v>
      </c>
    </row>
    <row r="347" spans="1:2" x14ac:dyDescent="0.25">
      <c r="A347" s="183">
        <v>10002242</v>
      </c>
      <c r="B347" t="s">
        <v>2787</v>
      </c>
    </row>
    <row r="348" spans="1:2" x14ac:dyDescent="0.25">
      <c r="A348" s="183">
        <v>10002243</v>
      </c>
      <c r="B348" t="s">
        <v>2789</v>
      </c>
    </row>
    <row r="349" spans="1:2" x14ac:dyDescent="0.25">
      <c r="A349" s="183">
        <v>10000180</v>
      </c>
      <c r="B349" t="s">
        <v>38</v>
      </c>
    </row>
    <row r="350" spans="1:2" x14ac:dyDescent="0.25">
      <c r="A350" s="183">
        <v>10001390</v>
      </c>
      <c r="B350" t="s">
        <v>2785</v>
      </c>
    </row>
    <row r="351" spans="1:2" x14ac:dyDescent="0.25">
      <c r="A351" s="263">
        <v>10006322</v>
      </c>
      <c r="B351" s="252" t="s">
        <v>1689</v>
      </c>
    </row>
    <row r="352" spans="1:2" x14ac:dyDescent="0.25">
      <c r="A352" s="183">
        <v>10081819</v>
      </c>
      <c r="B352" t="s">
        <v>1705</v>
      </c>
    </row>
    <row r="353" spans="1:2" x14ac:dyDescent="0.25">
      <c r="A353" s="183">
        <v>10000838</v>
      </c>
      <c r="B353" t="s">
        <v>37</v>
      </c>
    </row>
    <row r="354" spans="1:2" x14ac:dyDescent="0.25">
      <c r="A354" s="183">
        <v>10033033</v>
      </c>
      <c r="B354" t="s">
        <v>3805</v>
      </c>
    </row>
    <row r="355" spans="1:2" x14ac:dyDescent="0.25">
      <c r="A355" s="183">
        <v>10001039</v>
      </c>
      <c r="B355" t="s">
        <v>11</v>
      </c>
    </row>
    <row r="356" spans="1:2" x14ac:dyDescent="0.25">
      <c r="A356" s="183">
        <v>10000225</v>
      </c>
      <c r="B356" s="252" t="s">
        <v>3807</v>
      </c>
    </row>
    <row r="357" spans="1:2" x14ac:dyDescent="0.25">
      <c r="A357" s="183">
        <v>10000766</v>
      </c>
      <c r="B357" t="s">
        <v>1417</v>
      </c>
    </row>
    <row r="358" spans="1:2" x14ac:dyDescent="0.25">
      <c r="A358" s="183">
        <v>10000008</v>
      </c>
      <c r="B358" t="s">
        <v>2791</v>
      </c>
    </row>
    <row r="359" spans="1:2" x14ac:dyDescent="0.25">
      <c r="A359" s="183">
        <v>10000860</v>
      </c>
      <c r="B359" t="s">
        <v>36</v>
      </c>
    </row>
    <row r="360" spans="1:2" x14ac:dyDescent="0.25">
      <c r="A360" s="183">
        <v>20028106</v>
      </c>
      <c r="B360" t="s">
        <v>1188</v>
      </c>
    </row>
    <row r="361" spans="1:2" x14ac:dyDescent="0.25">
      <c r="A361" s="183">
        <v>20028105</v>
      </c>
      <c r="B361" t="s">
        <v>1185</v>
      </c>
    </row>
    <row r="362" spans="1:2" x14ac:dyDescent="0.25">
      <c r="A362" s="183">
        <v>20028108</v>
      </c>
      <c r="B362" t="s">
        <v>1191</v>
      </c>
    </row>
    <row r="363" spans="1:2" x14ac:dyDescent="0.25">
      <c r="A363" s="183">
        <v>20028107</v>
      </c>
      <c r="B363" t="s">
        <v>1193</v>
      </c>
    </row>
    <row r="364" spans="1:2" x14ac:dyDescent="0.25">
      <c r="A364" s="183">
        <v>20028116</v>
      </c>
      <c r="B364" t="s">
        <v>1199</v>
      </c>
    </row>
    <row r="365" spans="1:2" x14ac:dyDescent="0.25">
      <c r="A365" s="183">
        <v>20028109</v>
      </c>
      <c r="B365" t="s">
        <v>1196</v>
      </c>
    </row>
    <row r="366" spans="1:2" x14ac:dyDescent="0.25">
      <c r="A366" s="183">
        <v>10000856</v>
      </c>
      <c r="B366" t="s">
        <v>1695</v>
      </c>
    </row>
    <row r="367" spans="1:2" x14ac:dyDescent="0.25">
      <c r="A367" s="183">
        <v>10000187</v>
      </c>
      <c r="B367" t="s">
        <v>35</v>
      </c>
    </row>
    <row r="368" spans="1:2" x14ac:dyDescent="0.25">
      <c r="A368" s="183">
        <v>10117325</v>
      </c>
      <c r="B368" t="s">
        <v>2813</v>
      </c>
    </row>
    <row r="369" spans="1:2" x14ac:dyDescent="0.25">
      <c r="A369" s="183">
        <v>10001043</v>
      </c>
      <c r="B369" t="s">
        <v>10</v>
      </c>
    </row>
    <row r="370" spans="1:2" x14ac:dyDescent="0.25">
      <c r="A370" s="183">
        <v>10000051</v>
      </c>
      <c r="B370" s="252" t="s">
        <v>1534</v>
      </c>
    </row>
    <row r="371" spans="1:2" x14ac:dyDescent="0.25">
      <c r="A371" s="183">
        <v>10002746</v>
      </c>
      <c r="B371" t="s">
        <v>1714</v>
      </c>
    </row>
    <row r="372" spans="1:2" x14ac:dyDescent="0.25">
      <c r="A372" s="183">
        <v>10000777</v>
      </c>
      <c r="B372" t="s">
        <v>1679</v>
      </c>
    </row>
    <row r="373" spans="1:2" x14ac:dyDescent="0.25">
      <c r="A373" s="183">
        <v>10028020</v>
      </c>
      <c r="B373" t="s">
        <v>304</v>
      </c>
    </row>
    <row r="374" spans="1:2" x14ac:dyDescent="0.25">
      <c r="A374" s="183">
        <v>10087170</v>
      </c>
      <c r="B374" t="s">
        <v>1544</v>
      </c>
    </row>
    <row r="375" spans="1:2" x14ac:dyDescent="0.25">
      <c r="A375" s="183">
        <v>10087170</v>
      </c>
      <c r="B375" t="s">
        <v>1544</v>
      </c>
    </row>
    <row r="376" spans="1:2" x14ac:dyDescent="0.25">
      <c r="A376" s="183">
        <v>10087166</v>
      </c>
      <c r="B376" t="s">
        <v>346</v>
      </c>
    </row>
    <row r="377" spans="1:2" x14ac:dyDescent="0.25">
      <c r="A377" s="183">
        <v>10087166</v>
      </c>
      <c r="B377" t="s">
        <v>346</v>
      </c>
    </row>
    <row r="378" spans="1:2" x14ac:dyDescent="0.25">
      <c r="A378" s="183">
        <v>10087167</v>
      </c>
      <c r="B378" t="s">
        <v>1542</v>
      </c>
    </row>
    <row r="379" spans="1:2" x14ac:dyDescent="0.25">
      <c r="A379" s="263">
        <v>10087167</v>
      </c>
      <c r="B379" s="252" t="s">
        <v>1542</v>
      </c>
    </row>
    <row r="380" spans="1:2" x14ac:dyDescent="0.25">
      <c r="A380" s="183">
        <v>10087164</v>
      </c>
      <c r="B380" t="s">
        <v>344</v>
      </c>
    </row>
    <row r="381" spans="1:2" x14ac:dyDescent="0.25">
      <c r="A381" s="183">
        <v>10087164</v>
      </c>
      <c r="B381" t="s">
        <v>344</v>
      </c>
    </row>
    <row r="382" spans="1:2" x14ac:dyDescent="0.25">
      <c r="A382" s="263">
        <v>10087168</v>
      </c>
      <c r="B382" s="252" t="s">
        <v>1546</v>
      </c>
    </row>
    <row r="383" spans="1:2" x14ac:dyDescent="0.25">
      <c r="A383" s="263">
        <v>10087168</v>
      </c>
      <c r="B383" s="252" t="s">
        <v>1546</v>
      </c>
    </row>
    <row r="384" spans="1:2" x14ac:dyDescent="0.25">
      <c r="A384" s="263">
        <v>10087169</v>
      </c>
      <c r="B384" s="252" t="s">
        <v>1323</v>
      </c>
    </row>
    <row r="385" spans="1:2" x14ac:dyDescent="0.25">
      <c r="A385" s="183">
        <v>10087169</v>
      </c>
      <c r="B385" t="s">
        <v>1323</v>
      </c>
    </row>
    <row r="386" spans="1:2" x14ac:dyDescent="0.25">
      <c r="A386" s="183">
        <v>10087163</v>
      </c>
      <c r="B386" t="s">
        <v>340</v>
      </c>
    </row>
    <row r="387" spans="1:2" x14ac:dyDescent="0.25">
      <c r="A387" s="263">
        <v>10087163</v>
      </c>
      <c r="B387" s="252" t="s">
        <v>340</v>
      </c>
    </row>
    <row r="388" spans="1:2" x14ac:dyDescent="0.25">
      <c r="A388" s="183">
        <v>10087165</v>
      </c>
      <c r="B388" t="s">
        <v>336</v>
      </c>
    </row>
    <row r="389" spans="1:2" x14ac:dyDescent="0.25">
      <c r="A389" s="183">
        <v>10087165</v>
      </c>
      <c r="B389" t="s">
        <v>336</v>
      </c>
    </row>
    <row r="390" spans="1:2" x14ac:dyDescent="0.25">
      <c r="A390" s="183">
        <v>10000874</v>
      </c>
      <c r="B390" t="s">
        <v>34</v>
      </c>
    </row>
    <row r="391" spans="1:2" x14ac:dyDescent="0.25">
      <c r="A391" s="183">
        <v>10001049</v>
      </c>
      <c r="B391" t="s">
        <v>1278</v>
      </c>
    </row>
    <row r="392" spans="1:2" x14ac:dyDescent="0.25">
      <c r="A392" s="183">
        <v>10001389</v>
      </c>
      <c r="B392" t="s">
        <v>2777</v>
      </c>
    </row>
    <row r="393" spans="1:2" x14ac:dyDescent="0.25">
      <c r="A393" s="183">
        <v>10000857</v>
      </c>
      <c r="B393" s="252" t="s">
        <v>1267</v>
      </c>
    </row>
    <row r="394" spans="1:2" x14ac:dyDescent="0.25">
      <c r="A394" s="183">
        <v>10001699</v>
      </c>
      <c r="B394" t="s">
        <v>33</v>
      </c>
    </row>
    <row r="395" spans="1:2" x14ac:dyDescent="0.25">
      <c r="A395" s="183">
        <v>10087790</v>
      </c>
      <c r="B395" t="s">
        <v>32</v>
      </c>
    </row>
    <row r="396" spans="1:2" x14ac:dyDescent="0.25">
      <c r="A396" s="183">
        <v>10087780</v>
      </c>
      <c r="B396" t="s">
        <v>1407</v>
      </c>
    </row>
    <row r="397" spans="1:2" x14ac:dyDescent="0.25">
      <c r="A397" s="183">
        <v>10000865</v>
      </c>
      <c r="B397" t="s">
        <v>1678</v>
      </c>
    </row>
    <row r="398" spans="1:2" x14ac:dyDescent="0.25">
      <c r="A398" s="183">
        <v>10120635</v>
      </c>
      <c r="B398" t="s">
        <v>2816</v>
      </c>
    </row>
    <row r="399" spans="1:2" x14ac:dyDescent="0.25">
      <c r="A399" s="183">
        <v>10002012</v>
      </c>
      <c r="B399" t="s">
        <v>2815</v>
      </c>
    </row>
    <row r="400" spans="1:2" x14ac:dyDescent="0.25">
      <c r="A400" s="183">
        <v>10002457</v>
      </c>
      <c r="B400" t="s">
        <v>31</v>
      </c>
    </row>
    <row r="401" spans="1:2" x14ac:dyDescent="0.25">
      <c r="A401" s="183">
        <v>10001048</v>
      </c>
      <c r="B401" t="s">
        <v>9</v>
      </c>
    </row>
    <row r="402" spans="1:2" x14ac:dyDescent="0.25">
      <c r="A402" s="183">
        <v>10000228</v>
      </c>
      <c r="B402" t="s">
        <v>1530</v>
      </c>
    </row>
    <row r="403" spans="1:2" x14ac:dyDescent="0.25">
      <c r="A403" s="183">
        <v>10001617</v>
      </c>
      <c r="B403" t="s">
        <v>1712</v>
      </c>
    </row>
    <row r="404" spans="1:2" x14ac:dyDescent="0.25">
      <c r="A404" s="183">
        <v>10000790</v>
      </c>
      <c r="B404" t="s">
        <v>104</v>
      </c>
    </row>
    <row r="405" spans="1:2" x14ac:dyDescent="0.25">
      <c r="A405" s="183">
        <v>10000012</v>
      </c>
      <c r="B405" t="s">
        <v>2779</v>
      </c>
    </row>
    <row r="406" spans="1:2" x14ac:dyDescent="0.25">
      <c r="A406" s="183">
        <v>10002285</v>
      </c>
      <c r="B406" t="s">
        <v>300</v>
      </c>
    </row>
    <row r="407" spans="1:2" x14ac:dyDescent="0.25">
      <c r="A407" s="183">
        <v>10002687</v>
      </c>
      <c r="B407" t="s">
        <v>1701</v>
      </c>
    </row>
    <row r="408" spans="1:2" x14ac:dyDescent="0.25">
      <c r="A408" s="183">
        <v>10087798</v>
      </c>
      <c r="B408" t="s">
        <v>1703</v>
      </c>
    </row>
    <row r="409" spans="1:2" x14ac:dyDescent="0.25">
      <c r="A409" s="183">
        <v>10001700</v>
      </c>
      <c r="B409" t="s">
        <v>30</v>
      </c>
    </row>
    <row r="410" spans="1:2" x14ac:dyDescent="0.25">
      <c r="A410" s="183">
        <v>10120690</v>
      </c>
      <c r="B410" t="s">
        <v>3793</v>
      </c>
    </row>
    <row r="411" spans="1:2" x14ac:dyDescent="0.25">
      <c r="A411" s="183">
        <v>10000878</v>
      </c>
      <c r="B411" t="s">
        <v>29</v>
      </c>
    </row>
    <row r="412" spans="1:2" x14ac:dyDescent="0.25">
      <c r="A412" s="183">
        <v>10023856</v>
      </c>
      <c r="B412" t="s">
        <v>28</v>
      </c>
    </row>
    <row r="413" spans="1:2" x14ac:dyDescent="0.25">
      <c r="A413" s="183">
        <v>10000840</v>
      </c>
      <c r="B413" t="s">
        <v>27</v>
      </c>
    </row>
    <row r="414" spans="1:2" x14ac:dyDescent="0.25">
      <c r="A414" s="183">
        <v>10002610</v>
      </c>
      <c r="B414" t="s">
        <v>2820</v>
      </c>
    </row>
    <row r="415" spans="1:2" x14ac:dyDescent="0.25">
      <c r="A415" s="183">
        <v>10001719</v>
      </c>
      <c r="B415" t="s">
        <v>1540</v>
      </c>
    </row>
    <row r="416" spans="1:2" x14ac:dyDescent="0.25">
      <c r="A416" s="183">
        <v>10000814</v>
      </c>
      <c r="B416" t="s">
        <v>1284</v>
      </c>
    </row>
    <row r="417" spans="1:2" x14ac:dyDescent="0.25">
      <c r="A417" s="183">
        <v>10032958</v>
      </c>
      <c r="B417" t="s">
        <v>2710</v>
      </c>
    </row>
    <row r="418" spans="1:2" x14ac:dyDescent="0.25">
      <c r="A418" s="183">
        <v>20027689</v>
      </c>
      <c r="B418" t="s">
        <v>1168</v>
      </c>
    </row>
    <row r="419" spans="1:2" x14ac:dyDescent="0.25">
      <c r="A419" s="263">
        <v>20027688</v>
      </c>
      <c r="B419" s="252" t="s">
        <v>1171</v>
      </c>
    </row>
    <row r="420" spans="1:2" x14ac:dyDescent="0.25">
      <c r="A420" s="183">
        <v>20027690</v>
      </c>
      <c r="B420" t="s">
        <v>1177</v>
      </c>
    </row>
    <row r="421" spans="1:2" x14ac:dyDescent="0.25">
      <c r="A421" s="183">
        <v>20027687</v>
      </c>
      <c r="B421" t="s">
        <v>1174</v>
      </c>
    </row>
    <row r="422" spans="1:2" x14ac:dyDescent="0.25">
      <c r="A422" s="183">
        <v>10006325</v>
      </c>
      <c r="B422" t="s">
        <v>1364</v>
      </c>
    </row>
    <row r="423" spans="1:2" x14ac:dyDescent="0.25">
      <c r="A423" s="183">
        <v>20031238</v>
      </c>
      <c r="B423" t="s">
        <v>4088</v>
      </c>
    </row>
    <row r="424" spans="1:2" x14ac:dyDescent="0.25">
      <c r="A424" s="183">
        <v>20031237</v>
      </c>
      <c r="B424" t="s">
        <v>4087</v>
      </c>
    </row>
    <row r="425" spans="1:2" x14ac:dyDescent="0.25">
      <c r="A425" s="183">
        <v>20031235</v>
      </c>
      <c r="B425" t="s">
        <v>4085</v>
      </c>
    </row>
    <row r="426" spans="1:2" x14ac:dyDescent="0.25">
      <c r="A426" s="183">
        <v>20031236</v>
      </c>
      <c r="B426" t="s">
        <v>4086</v>
      </c>
    </row>
    <row r="427" spans="1:2" x14ac:dyDescent="0.25">
      <c r="A427" s="183">
        <v>20019291</v>
      </c>
      <c r="B427" t="s">
        <v>541</v>
      </c>
    </row>
    <row r="428" spans="1:2" x14ac:dyDescent="0.25">
      <c r="A428" s="183">
        <v>20019290</v>
      </c>
      <c r="B428" t="s">
        <v>539</v>
      </c>
    </row>
    <row r="429" spans="1:2" x14ac:dyDescent="0.25">
      <c r="A429" s="183">
        <v>20028806</v>
      </c>
      <c r="B429" t="s">
        <v>3775</v>
      </c>
    </row>
    <row r="430" spans="1:2" x14ac:dyDescent="0.25">
      <c r="A430" s="183">
        <v>20019292</v>
      </c>
      <c r="B430" t="s">
        <v>543</v>
      </c>
    </row>
    <row r="431" spans="1:2" x14ac:dyDescent="0.25">
      <c r="A431" s="183">
        <v>20019289</v>
      </c>
      <c r="B431" t="s">
        <v>545</v>
      </c>
    </row>
    <row r="432" spans="1:2" x14ac:dyDescent="0.25">
      <c r="A432" s="183">
        <v>20019288</v>
      </c>
      <c r="B432" t="s">
        <v>537</v>
      </c>
    </row>
    <row r="433" spans="1:2" x14ac:dyDescent="0.25">
      <c r="A433" s="183">
        <v>20019287</v>
      </c>
      <c r="B433" t="s">
        <v>535</v>
      </c>
    </row>
    <row r="434" spans="1:2" x14ac:dyDescent="0.25">
      <c r="A434" s="183">
        <v>20002035</v>
      </c>
      <c r="B434" t="s">
        <v>547</v>
      </c>
    </row>
    <row r="435" spans="1:2" x14ac:dyDescent="0.25">
      <c r="A435" s="183">
        <v>20028280</v>
      </c>
      <c r="B435" t="s">
        <v>4073</v>
      </c>
    </row>
    <row r="436" spans="1:2" x14ac:dyDescent="0.25">
      <c r="A436" s="183">
        <v>20028278</v>
      </c>
      <c r="B436" t="s">
        <v>4071</v>
      </c>
    </row>
    <row r="437" spans="1:2" x14ac:dyDescent="0.25">
      <c r="A437" s="183" t="s">
        <v>1248</v>
      </c>
      <c r="B437" t="s">
        <v>4074</v>
      </c>
    </row>
    <row r="438" spans="1:2" x14ac:dyDescent="0.25">
      <c r="A438" s="183" t="s">
        <v>1248</v>
      </c>
      <c r="B438" t="s">
        <v>4075</v>
      </c>
    </row>
    <row r="439" spans="1:2" x14ac:dyDescent="0.25">
      <c r="A439" s="183">
        <v>20028279</v>
      </c>
      <c r="B439" t="s">
        <v>4072</v>
      </c>
    </row>
    <row r="440" spans="1:2" x14ac:dyDescent="0.25">
      <c r="A440" s="183">
        <v>10006323</v>
      </c>
      <c r="B440" t="s">
        <v>496</v>
      </c>
    </row>
    <row r="441" spans="1:2" x14ac:dyDescent="0.25">
      <c r="A441" s="183">
        <v>10123483</v>
      </c>
      <c r="B441" t="s">
        <v>601</v>
      </c>
    </row>
    <row r="442" spans="1:2" x14ac:dyDescent="0.25">
      <c r="A442" s="183">
        <v>10130147</v>
      </c>
      <c r="B442" t="s">
        <v>3867</v>
      </c>
    </row>
    <row r="443" spans="1:2" x14ac:dyDescent="0.25">
      <c r="A443" s="263">
        <v>10130146</v>
      </c>
      <c r="B443" s="252" t="s">
        <v>3862</v>
      </c>
    </row>
    <row r="444" spans="1:2" x14ac:dyDescent="0.25">
      <c r="A444" s="183">
        <v>10130149</v>
      </c>
      <c r="B444" t="s">
        <v>3866</v>
      </c>
    </row>
    <row r="445" spans="1:2" x14ac:dyDescent="0.25">
      <c r="A445" s="263">
        <v>10130148</v>
      </c>
      <c r="B445" s="252" t="s">
        <v>3863</v>
      </c>
    </row>
    <row r="446" spans="1:2" x14ac:dyDescent="0.25">
      <c r="A446" s="263">
        <v>10130150</v>
      </c>
      <c r="B446" s="252" t="s">
        <v>3865</v>
      </c>
    </row>
    <row r="447" spans="1:2" x14ac:dyDescent="0.25">
      <c r="A447" s="183">
        <v>10130151</v>
      </c>
      <c r="B447" t="s">
        <v>3864</v>
      </c>
    </row>
    <row r="448" spans="1:2" x14ac:dyDescent="0.25">
      <c r="A448" s="183">
        <v>10089301</v>
      </c>
      <c r="B448" t="s">
        <v>135</v>
      </c>
    </row>
    <row r="449" spans="1:2" x14ac:dyDescent="0.25">
      <c r="A449" s="183">
        <v>20029376</v>
      </c>
      <c r="B449" t="s">
        <v>3720</v>
      </c>
    </row>
    <row r="450" spans="1:2" x14ac:dyDescent="0.25">
      <c r="A450" s="183">
        <v>20029374</v>
      </c>
      <c r="B450" t="s">
        <v>3719</v>
      </c>
    </row>
    <row r="451" spans="1:2" x14ac:dyDescent="0.25">
      <c r="A451" s="183">
        <v>20029371</v>
      </c>
      <c r="B451" t="s">
        <v>3713</v>
      </c>
    </row>
    <row r="452" spans="1:2" x14ac:dyDescent="0.25">
      <c r="A452" s="183">
        <v>20029375</v>
      </c>
      <c r="B452" t="s">
        <v>3717</v>
      </c>
    </row>
    <row r="453" spans="1:2" x14ac:dyDescent="0.25">
      <c r="A453" s="183">
        <v>20029377</v>
      </c>
      <c r="B453" t="s">
        <v>3722</v>
      </c>
    </row>
    <row r="454" spans="1:2" x14ac:dyDescent="0.25">
      <c r="A454" s="216">
        <v>20029370</v>
      </c>
      <c r="B454" s="217" t="s">
        <v>3711</v>
      </c>
    </row>
    <row r="455" spans="1:2" x14ac:dyDescent="0.25">
      <c r="A455" s="263">
        <v>20029373</v>
      </c>
      <c r="B455" s="252" t="s">
        <v>3715</v>
      </c>
    </row>
    <row r="456" spans="1:2" x14ac:dyDescent="0.25">
      <c r="A456" s="216">
        <v>20029372</v>
      </c>
      <c r="B456" s="210" t="s">
        <v>3718</v>
      </c>
    </row>
    <row r="457" spans="1:2" x14ac:dyDescent="0.25">
      <c r="A457" s="183">
        <v>10089269</v>
      </c>
      <c r="B457" t="s">
        <v>137</v>
      </c>
    </row>
    <row r="458" spans="1:2" x14ac:dyDescent="0.25">
      <c r="A458" s="216">
        <v>20004149</v>
      </c>
      <c r="B458" s="217" t="s">
        <v>2888</v>
      </c>
    </row>
    <row r="459" spans="1:2" x14ac:dyDescent="0.25">
      <c r="A459" s="263">
        <v>20004151</v>
      </c>
      <c r="B459" s="252" t="s">
        <v>2892</v>
      </c>
    </row>
    <row r="460" spans="1:2" x14ac:dyDescent="0.25">
      <c r="A460" s="216">
        <v>20026254</v>
      </c>
      <c r="B460" s="217" t="s">
        <v>2896</v>
      </c>
    </row>
    <row r="461" spans="1:2" x14ac:dyDescent="0.25">
      <c r="A461" s="263">
        <v>20008087</v>
      </c>
      <c r="B461" s="252" t="s">
        <v>2894</v>
      </c>
    </row>
    <row r="462" spans="1:2" x14ac:dyDescent="0.25">
      <c r="A462" s="216">
        <v>20004155</v>
      </c>
      <c r="B462" s="210" t="s">
        <v>2890</v>
      </c>
    </row>
    <row r="463" spans="1:2" x14ac:dyDescent="0.25">
      <c r="A463" s="183">
        <v>10090161</v>
      </c>
      <c r="B463" t="s">
        <v>1288</v>
      </c>
    </row>
    <row r="464" spans="1:2" x14ac:dyDescent="0.25">
      <c r="A464" s="183">
        <v>10089257</v>
      </c>
      <c r="B464" t="s">
        <v>141</v>
      </c>
    </row>
    <row r="465" spans="1:2" x14ac:dyDescent="0.25">
      <c r="A465" s="183">
        <v>10011917</v>
      </c>
      <c r="B465" t="s">
        <v>491</v>
      </c>
    </row>
    <row r="466" spans="1:2" x14ac:dyDescent="0.25">
      <c r="A466" s="183">
        <v>10130565</v>
      </c>
      <c r="B466" t="s">
        <v>3980</v>
      </c>
    </row>
    <row r="467" spans="1:2" x14ac:dyDescent="0.25">
      <c r="A467" s="183">
        <v>10011916</v>
      </c>
      <c r="B467" t="s">
        <v>1345</v>
      </c>
    </row>
    <row r="468" spans="1:2" x14ac:dyDescent="0.25">
      <c r="A468" s="183">
        <v>10130568</v>
      </c>
      <c r="B468" t="s">
        <v>3982</v>
      </c>
    </row>
    <row r="469" spans="1:2" x14ac:dyDescent="0.25">
      <c r="A469" s="183">
        <v>10078678</v>
      </c>
      <c r="B469" t="s">
        <v>1347</v>
      </c>
    </row>
    <row r="470" spans="1:2" x14ac:dyDescent="0.25">
      <c r="A470" s="183">
        <v>10130567</v>
      </c>
      <c r="B470" t="s">
        <v>3984</v>
      </c>
    </row>
    <row r="471" spans="1:2" x14ac:dyDescent="0.25">
      <c r="A471" s="183">
        <v>10078568</v>
      </c>
      <c r="B471" s="252" t="s">
        <v>133</v>
      </c>
    </row>
    <row r="472" spans="1:2" x14ac:dyDescent="0.25">
      <c r="A472" s="183">
        <v>10086157</v>
      </c>
      <c r="B472" t="s">
        <v>2959</v>
      </c>
    </row>
    <row r="473" spans="1:2" x14ac:dyDescent="0.25">
      <c r="A473" s="183">
        <v>10129364</v>
      </c>
      <c r="B473" t="s">
        <v>3763</v>
      </c>
    </row>
    <row r="474" spans="1:2" x14ac:dyDescent="0.25">
      <c r="A474" s="183">
        <v>10129363</v>
      </c>
      <c r="B474" t="s">
        <v>3764</v>
      </c>
    </row>
    <row r="475" spans="1:2" x14ac:dyDescent="0.25">
      <c r="A475" s="183">
        <v>10001689</v>
      </c>
      <c r="B475" t="s">
        <v>1752</v>
      </c>
    </row>
    <row r="476" spans="1:2" x14ac:dyDescent="0.25">
      <c r="A476" s="183">
        <v>10099499</v>
      </c>
      <c r="B476" t="s">
        <v>1794</v>
      </c>
    </row>
    <row r="477" spans="1:2" x14ac:dyDescent="0.25">
      <c r="A477" s="183">
        <v>10001805</v>
      </c>
      <c r="B477" t="s">
        <v>1748</v>
      </c>
    </row>
    <row r="478" spans="1:2" x14ac:dyDescent="0.25">
      <c r="A478" s="183">
        <v>10099502</v>
      </c>
      <c r="B478" t="s">
        <v>1340</v>
      </c>
    </row>
    <row r="479" spans="1:2" x14ac:dyDescent="0.25">
      <c r="A479" s="183">
        <v>10099497</v>
      </c>
      <c r="B479" t="s">
        <v>1793</v>
      </c>
    </row>
    <row r="480" spans="1:2" x14ac:dyDescent="0.25">
      <c r="A480" s="183">
        <v>10107874</v>
      </c>
      <c r="B480" t="s">
        <v>1766</v>
      </c>
    </row>
    <row r="481" spans="1:2" x14ac:dyDescent="0.25">
      <c r="A481" s="183">
        <v>10014800</v>
      </c>
      <c r="B481" t="s">
        <v>418</v>
      </c>
    </row>
    <row r="482" spans="1:2" x14ac:dyDescent="0.25">
      <c r="A482" s="263">
        <v>10014798</v>
      </c>
      <c r="B482" s="252" t="s">
        <v>1740</v>
      </c>
    </row>
    <row r="483" spans="1:2" x14ac:dyDescent="0.25">
      <c r="A483" s="183">
        <v>10099500</v>
      </c>
      <c r="B483" t="s">
        <v>3300</v>
      </c>
    </row>
    <row r="484" spans="1:2" x14ac:dyDescent="0.25">
      <c r="A484" s="263">
        <v>10099504</v>
      </c>
      <c r="B484" s="252" t="s">
        <v>1769</v>
      </c>
    </row>
    <row r="485" spans="1:2" x14ac:dyDescent="0.25">
      <c r="A485" s="183">
        <v>10002864</v>
      </c>
      <c r="B485" t="s">
        <v>1733</v>
      </c>
    </row>
    <row r="486" spans="1:2" x14ac:dyDescent="0.25">
      <c r="A486" s="183">
        <v>10001690</v>
      </c>
      <c r="B486" t="s">
        <v>1746</v>
      </c>
    </row>
    <row r="487" spans="1:2" x14ac:dyDescent="0.25">
      <c r="A487" s="183">
        <v>10099498</v>
      </c>
      <c r="B487" t="s">
        <v>1336</v>
      </c>
    </row>
    <row r="488" spans="1:2" x14ac:dyDescent="0.25">
      <c r="A488" s="183">
        <v>10099503</v>
      </c>
      <c r="B488" t="s">
        <v>1758</v>
      </c>
    </row>
    <row r="489" spans="1:2" x14ac:dyDescent="0.25">
      <c r="A489" s="183">
        <v>10119503</v>
      </c>
      <c r="B489" t="s">
        <v>2990</v>
      </c>
    </row>
    <row r="490" spans="1:2" x14ac:dyDescent="0.25">
      <c r="A490" s="183">
        <v>10118821</v>
      </c>
      <c r="B490" t="s">
        <v>3809</v>
      </c>
    </row>
    <row r="491" spans="1:2" x14ac:dyDescent="0.25">
      <c r="A491" s="183">
        <v>10113788</v>
      </c>
      <c r="B491" t="s">
        <v>961</v>
      </c>
    </row>
    <row r="492" spans="1:2" x14ac:dyDescent="0.25">
      <c r="A492" s="183">
        <v>10113787</v>
      </c>
      <c r="B492" t="s">
        <v>960</v>
      </c>
    </row>
    <row r="493" spans="1:2" x14ac:dyDescent="0.25">
      <c r="A493" s="183">
        <v>10113786</v>
      </c>
      <c r="B493" t="s">
        <v>3609</v>
      </c>
    </row>
    <row r="494" spans="1:2" x14ac:dyDescent="0.25">
      <c r="A494" s="183">
        <v>10002859</v>
      </c>
      <c r="B494" t="s">
        <v>1735</v>
      </c>
    </row>
    <row r="495" spans="1:2" x14ac:dyDescent="0.25">
      <c r="A495" s="183">
        <v>10001682</v>
      </c>
      <c r="B495" t="s">
        <v>410</v>
      </c>
    </row>
    <row r="496" spans="1:2" x14ac:dyDescent="0.25">
      <c r="A496" s="183">
        <v>10099496</v>
      </c>
      <c r="B496" t="s">
        <v>3295</v>
      </c>
    </row>
    <row r="497" spans="1:2" x14ac:dyDescent="0.25">
      <c r="A497" s="183">
        <v>10099505</v>
      </c>
      <c r="B497" s="252" t="s">
        <v>1760</v>
      </c>
    </row>
    <row r="498" spans="1:2" x14ac:dyDescent="0.25">
      <c r="A498" s="183">
        <v>10119509</v>
      </c>
      <c r="B498" t="s">
        <v>2992</v>
      </c>
    </row>
    <row r="499" spans="1:2" x14ac:dyDescent="0.25">
      <c r="A499" s="183">
        <v>10003295</v>
      </c>
      <c r="B499" t="s">
        <v>1738</v>
      </c>
    </row>
    <row r="500" spans="1:2" x14ac:dyDescent="0.25">
      <c r="A500" s="183">
        <v>10001688</v>
      </c>
      <c r="B500" t="s">
        <v>413</v>
      </c>
    </row>
    <row r="501" spans="1:2" x14ac:dyDescent="0.25">
      <c r="A501" s="183">
        <v>10099476</v>
      </c>
      <c r="B501" t="s">
        <v>3298</v>
      </c>
    </row>
    <row r="502" spans="1:2" x14ac:dyDescent="0.25">
      <c r="A502" s="183">
        <v>10099482</v>
      </c>
      <c r="B502" t="s">
        <v>1763</v>
      </c>
    </row>
    <row r="503" spans="1:2" x14ac:dyDescent="0.25">
      <c r="A503" s="183">
        <v>10000220</v>
      </c>
      <c r="B503" t="s">
        <v>414</v>
      </c>
    </row>
    <row r="504" spans="1:2" x14ac:dyDescent="0.25">
      <c r="A504" s="183">
        <v>10107873</v>
      </c>
      <c r="B504" t="s">
        <v>1771</v>
      </c>
    </row>
    <row r="505" spans="1:2" x14ac:dyDescent="0.25">
      <c r="A505" s="183">
        <v>10120792</v>
      </c>
      <c r="B505" t="s">
        <v>575</v>
      </c>
    </row>
    <row r="506" spans="1:2" x14ac:dyDescent="0.25">
      <c r="A506" s="183">
        <v>10120803</v>
      </c>
      <c r="B506" t="s">
        <v>574</v>
      </c>
    </row>
    <row r="507" spans="1:2" x14ac:dyDescent="0.25">
      <c r="A507" s="183">
        <v>10120837</v>
      </c>
      <c r="B507" t="s">
        <v>576</v>
      </c>
    </row>
    <row r="508" spans="1:2" x14ac:dyDescent="0.25">
      <c r="A508" s="183">
        <v>10120838</v>
      </c>
      <c r="B508" t="s">
        <v>4057</v>
      </c>
    </row>
    <row r="509" spans="1:2" x14ac:dyDescent="0.25">
      <c r="A509" s="183">
        <v>10120833</v>
      </c>
      <c r="B509" t="s">
        <v>4058</v>
      </c>
    </row>
    <row r="510" spans="1:2" x14ac:dyDescent="0.25">
      <c r="A510" s="183">
        <v>10120832</v>
      </c>
      <c r="B510" t="s">
        <v>577</v>
      </c>
    </row>
    <row r="511" spans="1:2" x14ac:dyDescent="0.25">
      <c r="A511" s="263">
        <v>10003151</v>
      </c>
      <c r="B511" s="252" t="s">
        <v>3308</v>
      </c>
    </row>
    <row r="512" spans="1:2" x14ac:dyDescent="0.25">
      <c r="A512" s="183">
        <v>10003152</v>
      </c>
      <c r="B512" t="s">
        <v>3307</v>
      </c>
    </row>
    <row r="513" spans="1:2" x14ac:dyDescent="0.25">
      <c r="A513" s="183">
        <v>10002911</v>
      </c>
      <c r="B513" t="s">
        <v>3312</v>
      </c>
    </row>
    <row r="514" spans="1:2" x14ac:dyDescent="0.25">
      <c r="A514" s="183">
        <v>10003157</v>
      </c>
      <c r="B514" t="s">
        <v>3310</v>
      </c>
    </row>
    <row r="515" spans="1:2" x14ac:dyDescent="0.25">
      <c r="A515" s="183">
        <v>10003153</v>
      </c>
      <c r="B515" t="s">
        <v>3311</v>
      </c>
    </row>
    <row r="516" spans="1:2" x14ac:dyDescent="0.25">
      <c r="A516" s="183">
        <v>10003154</v>
      </c>
      <c r="B516" t="s">
        <v>3309</v>
      </c>
    </row>
    <row r="517" spans="1:2" x14ac:dyDescent="0.25">
      <c r="A517" s="183">
        <v>10003150</v>
      </c>
      <c r="B517" t="s">
        <v>3313</v>
      </c>
    </row>
    <row r="518" spans="1:2" x14ac:dyDescent="0.25">
      <c r="A518" s="183">
        <v>10002917</v>
      </c>
      <c r="B518" t="s">
        <v>3320</v>
      </c>
    </row>
    <row r="519" spans="1:2" x14ac:dyDescent="0.25">
      <c r="A519" s="183">
        <v>10003155</v>
      </c>
      <c r="B519" t="s">
        <v>3314</v>
      </c>
    </row>
    <row r="520" spans="1:2" x14ac:dyDescent="0.25">
      <c r="A520" s="183">
        <v>10002920</v>
      </c>
      <c r="B520" t="s">
        <v>3321</v>
      </c>
    </row>
    <row r="521" spans="1:2" x14ac:dyDescent="0.25">
      <c r="A521" s="183">
        <v>10003149</v>
      </c>
      <c r="B521" t="s">
        <v>3316</v>
      </c>
    </row>
    <row r="522" spans="1:2" x14ac:dyDescent="0.25">
      <c r="A522" s="183">
        <v>10002919</v>
      </c>
      <c r="B522" t="s">
        <v>3323</v>
      </c>
    </row>
    <row r="523" spans="1:2" x14ac:dyDescent="0.25">
      <c r="A523" s="183">
        <v>10002924</v>
      </c>
      <c r="B523" t="s">
        <v>3324</v>
      </c>
    </row>
    <row r="524" spans="1:2" x14ac:dyDescent="0.25">
      <c r="A524" s="183">
        <v>10003158</v>
      </c>
      <c r="B524" t="s">
        <v>3315</v>
      </c>
    </row>
    <row r="525" spans="1:2" x14ac:dyDescent="0.25">
      <c r="A525" s="183">
        <v>10002921</v>
      </c>
      <c r="B525" t="s">
        <v>3322</v>
      </c>
    </row>
    <row r="526" spans="1:2" x14ac:dyDescent="0.25">
      <c r="A526" s="183">
        <v>10056913</v>
      </c>
      <c r="B526" t="s">
        <v>3318</v>
      </c>
    </row>
    <row r="527" spans="1:2" x14ac:dyDescent="0.25">
      <c r="A527" s="183">
        <v>10002925</v>
      </c>
      <c r="B527" t="s">
        <v>3326</v>
      </c>
    </row>
    <row r="528" spans="1:2" x14ac:dyDescent="0.25">
      <c r="A528" s="263">
        <v>10002923</v>
      </c>
      <c r="B528" s="252" t="s">
        <v>3325</v>
      </c>
    </row>
    <row r="529" spans="1:2" x14ac:dyDescent="0.25">
      <c r="A529" s="183">
        <v>10003156</v>
      </c>
      <c r="B529" t="s">
        <v>3317</v>
      </c>
    </row>
    <row r="530" spans="1:2" x14ac:dyDescent="0.25">
      <c r="A530" s="183">
        <v>10056911</v>
      </c>
      <c r="B530" t="s">
        <v>3319</v>
      </c>
    </row>
    <row r="531" spans="1:2" x14ac:dyDescent="0.25">
      <c r="A531" s="183">
        <v>10002922</v>
      </c>
      <c r="B531" t="s">
        <v>3327</v>
      </c>
    </row>
    <row r="532" spans="1:2" x14ac:dyDescent="0.25">
      <c r="A532" s="183">
        <v>10002918</v>
      </c>
      <c r="B532" t="s">
        <v>3328</v>
      </c>
    </row>
    <row r="533" spans="1:2" x14ac:dyDescent="0.25">
      <c r="A533" s="183">
        <v>10081665</v>
      </c>
      <c r="B533" t="s">
        <v>3329</v>
      </c>
    </row>
    <row r="534" spans="1:2" x14ac:dyDescent="0.25">
      <c r="A534" s="183">
        <v>10033520</v>
      </c>
      <c r="B534" t="s">
        <v>3025</v>
      </c>
    </row>
    <row r="535" spans="1:2" x14ac:dyDescent="0.25">
      <c r="A535" s="183">
        <v>10081667</v>
      </c>
      <c r="B535" t="s">
        <v>3332</v>
      </c>
    </row>
    <row r="536" spans="1:2" x14ac:dyDescent="0.25">
      <c r="A536" s="183">
        <v>10081672</v>
      </c>
      <c r="B536" t="s">
        <v>3342</v>
      </c>
    </row>
    <row r="537" spans="1:2" x14ac:dyDescent="0.25">
      <c r="A537" s="183">
        <v>10112575</v>
      </c>
      <c r="B537" t="s">
        <v>3339</v>
      </c>
    </row>
    <row r="538" spans="1:2" x14ac:dyDescent="0.25">
      <c r="A538" s="263">
        <v>10081669</v>
      </c>
      <c r="B538" s="252" t="s">
        <v>3331</v>
      </c>
    </row>
    <row r="539" spans="1:2" x14ac:dyDescent="0.25">
      <c r="A539" s="183">
        <v>10081663</v>
      </c>
      <c r="B539" t="s">
        <v>3330</v>
      </c>
    </row>
    <row r="540" spans="1:2" x14ac:dyDescent="0.25">
      <c r="A540" s="183">
        <v>10033521</v>
      </c>
      <c r="B540" t="s">
        <v>3026</v>
      </c>
    </row>
    <row r="541" spans="1:2" x14ac:dyDescent="0.25">
      <c r="A541" s="183">
        <v>10081664</v>
      </c>
      <c r="B541" t="s">
        <v>3338</v>
      </c>
    </row>
    <row r="542" spans="1:2" x14ac:dyDescent="0.25">
      <c r="A542" s="263">
        <v>10081656</v>
      </c>
      <c r="B542" s="252" t="s">
        <v>1490</v>
      </c>
    </row>
    <row r="543" spans="1:2" x14ac:dyDescent="0.25">
      <c r="A543" s="183">
        <v>10081629</v>
      </c>
      <c r="B543" t="s">
        <v>3334</v>
      </c>
    </row>
    <row r="544" spans="1:2" x14ac:dyDescent="0.25">
      <c r="A544" s="183">
        <v>10081670</v>
      </c>
      <c r="B544" t="s">
        <v>3340</v>
      </c>
    </row>
    <row r="545" spans="1:2" x14ac:dyDescent="0.25">
      <c r="A545" s="183">
        <v>10081627</v>
      </c>
      <c r="B545" t="s">
        <v>3336</v>
      </c>
    </row>
    <row r="546" spans="1:2" x14ac:dyDescent="0.25">
      <c r="A546" s="183">
        <v>10081625</v>
      </c>
      <c r="B546" t="s">
        <v>3333</v>
      </c>
    </row>
    <row r="547" spans="1:2" x14ac:dyDescent="0.25">
      <c r="A547" s="263">
        <v>10112574</v>
      </c>
      <c r="B547" s="252" t="s">
        <v>1495</v>
      </c>
    </row>
    <row r="548" spans="1:2" x14ac:dyDescent="0.25">
      <c r="A548" s="183">
        <v>10081626</v>
      </c>
      <c r="B548" t="s">
        <v>3337</v>
      </c>
    </row>
    <row r="549" spans="1:2" x14ac:dyDescent="0.25">
      <c r="A549" s="183">
        <v>10081666</v>
      </c>
      <c r="B549" t="s">
        <v>3335</v>
      </c>
    </row>
    <row r="550" spans="1:2" x14ac:dyDescent="0.25">
      <c r="A550" s="183">
        <v>10081668</v>
      </c>
      <c r="B550" t="s">
        <v>3341</v>
      </c>
    </row>
    <row r="551" spans="1:2" x14ac:dyDescent="0.25">
      <c r="A551" s="183">
        <v>10006319</v>
      </c>
      <c r="B551" t="s">
        <v>2967</v>
      </c>
    </row>
    <row r="552" spans="1:2" x14ac:dyDescent="0.25">
      <c r="A552" s="183">
        <v>20004180</v>
      </c>
      <c r="B552" s="252" t="s">
        <v>3075</v>
      </c>
    </row>
    <row r="553" spans="1:2" x14ac:dyDescent="0.25">
      <c r="A553" s="183">
        <v>20000081</v>
      </c>
      <c r="B553" t="s">
        <v>3073</v>
      </c>
    </row>
    <row r="554" spans="1:2" x14ac:dyDescent="0.25">
      <c r="A554" s="183">
        <v>10003319</v>
      </c>
      <c r="B554" t="s">
        <v>1741</v>
      </c>
    </row>
    <row r="555" spans="1:2" x14ac:dyDescent="0.25">
      <c r="A555" s="183">
        <v>10063897</v>
      </c>
      <c r="B555" t="s">
        <v>416</v>
      </c>
    </row>
    <row r="556" spans="1:2" x14ac:dyDescent="0.25">
      <c r="A556" s="183">
        <v>10099477</v>
      </c>
      <c r="B556" t="s">
        <v>3301</v>
      </c>
    </row>
    <row r="557" spans="1:2" x14ac:dyDescent="0.25">
      <c r="A557" s="183">
        <v>10099474</v>
      </c>
      <c r="B557" t="s">
        <v>1780</v>
      </c>
    </row>
    <row r="558" spans="1:2" x14ac:dyDescent="0.25">
      <c r="A558" s="183">
        <v>10119504</v>
      </c>
      <c r="B558" t="s">
        <v>2994</v>
      </c>
    </row>
    <row r="559" spans="1:2" x14ac:dyDescent="0.25">
      <c r="A559" s="183">
        <v>10099464</v>
      </c>
      <c r="B559" t="s">
        <v>1788</v>
      </c>
    </row>
    <row r="560" spans="1:2" x14ac:dyDescent="0.25">
      <c r="A560" s="183">
        <v>10099481</v>
      </c>
      <c r="B560" t="s">
        <v>3304</v>
      </c>
    </row>
    <row r="561" spans="1:2" x14ac:dyDescent="0.25">
      <c r="A561" s="183">
        <v>10099478</v>
      </c>
      <c r="B561" t="s">
        <v>1783</v>
      </c>
    </row>
    <row r="562" spans="1:2" x14ac:dyDescent="0.25">
      <c r="A562" s="183">
        <v>10128136</v>
      </c>
      <c r="B562" t="s">
        <v>3833</v>
      </c>
    </row>
    <row r="563" spans="1:2" x14ac:dyDescent="0.25">
      <c r="A563" s="183">
        <v>10099462</v>
      </c>
      <c r="B563" t="s">
        <v>1786</v>
      </c>
    </row>
    <row r="564" spans="1:2" x14ac:dyDescent="0.25">
      <c r="A564" s="263">
        <v>10099467</v>
      </c>
      <c r="B564" s="252" t="s">
        <v>1775</v>
      </c>
    </row>
    <row r="565" spans="1:2" x14ac:dyDescent="0.25">
      <c r="A565" s="183">
        <v>10001804</v>
      </c>
      <c r="B565" t="s">
        <v>1747</v>
      </c>
    </row>
    <row r="566" spans="1:2" x14ac:dyDescent="0.25">
      <c r="A566" s="183">
        <v>10099480</v>
      </c>
      <c r="B566" t="s">
        <v>3302</v>
      </c>
    </row>
    <row r="567" spans="1:2" x14ac:dyDescent="0.25">
      <c r="A567" s="183">
        <v>10099479</v>
      </c>
      <c r="B567" t="s">
        <v>1781</v>
      </c>
    </row>
    <row r="568" spans="1:2" x14ac:dyDescent="0.25">
      <c r="A568" s="183">
        <v>10003318</v>
      </c>
      <c r="B568" t="s">
        <v>1742</v>
      </c>
    </row>
    <row r="569" spans="1:2" x14ac:dyDescent="0.25">
      <c r="A569" s="183">
        <v>10001686</v>
      </c>
      <c r="B569" t="s">
        <v>415</v>
      </c>
    </row>
    <row r="570" spans="1:2" x14ac:dyDescent="0.25">
      <c r="A570" s="183">
        <v>10119506</v>
      </c>
      <c r="B570" t="s">
        <v>2995</v>
      </c>
    </row>
    <row r="571" spans="1:2" x14ac:dyDescent="0.25">
      <c r="A571" s="183">
        <v>10099475</v>
      </c>
      <c r="B571" t="s">
        <v>1754</v>
      </c>
    </row>
    <row r="572" spans="1:2" x14ac:dyDescent="0.25">
      <c r="A572" s="183">
        <v>10099483</v>
      </c>
      <c r="B572" t="s">
        <v>1779</v>
      </c>
    </row>
    <row r="573" spans="1:2" x14ac:dyDescent="0.25">
      <c r="A573" s="183">
        <v>10119618</v>
      </c>
      <c r="B573" t="s">
        <v>4158</v>
      </c>
    </row>
    <row r="574" spans="1:2" x14ac:dyDescent="0.25">
      <c r="A574" s="183">
        <v>10119609</v>
      </c>
      <c r="B574" t="s">
        <v>3601</v>
      </c>
    </row>
    <row r="575" spans="1:2" x14ac:dyDescent="0.25">
      <c r="A575" s="183">
        <v>10119616</v>
      </c>
      <c r="B575" t="s">
        <v>3608</v>
      </c>
    </row>
    <row r="576" spans="1:2" x14ac:dyDescent="0.25">
      <c r="A576" s="183">
        <v>10119613</v>
      </c>
      <c r="B576" t="s">
        <v>4157</v>
      </c>
    </row>
    <row r="577" spans="1:2" x14ac:dyDescent="0.25">
      <c r="A577" s="183">
        <v>10119610</v>
      </c>
      <c r="B577" t="s">
        <v>3602</v>
      </c>
    </row>
    <row r="578" spans="1:2" x14ac:dyDescent="0.25">
      <c r="A578" s="183">
        <v>10119617</v>
      </c>
      <c r="B578" t="s">
        <v>3607</v>
      </c>
    </row>
    <row r="579" spans="1:2" x14ac:dyDescent="0.25">
      <c r="A579" s="183">
        <v>10099463</v>
      </c>
      <c r="B579" t="s">
        <v>1777</v>
      </c>
    </row>
    <row r="580" spans="1:2" x14ac:dyDescent="0.25">
      <c r="A580" s="183">
        <v>10119615</v>
      </c>
      <c r="B580" t="s">
        <v>3600</v>
      </c>
    </row>
    <row r="581" spans="1:2" x14ac:dyDescent="0.25">
      <c r="A581" s="183">
        <v>10119611</v>
      </c>
      <c r="B581" t="s">
        <v>3603</v>
      </c>
    </row>
    <row r="582" spans="1:2" x14ac:dyDescent="0.25">
      <c r="A582" s="183">
        <v>10119614</v>
      </c>
      <c r="B582" t="s">
        <v>3606</v>
      </c>
    </row>
    <row r="583" spans="1:2" x14ac:dyDescent="0.25">
      <c r="A583" s="183">
        <v>10125812</v>
      </c>
      <c r="B583" t="s">
        <v>3835</v>
      </c>
    </row>
    <row r="584" spans="1:2" x14ac:dyDescent="0.25">
      <c r="A584" s="183">
        <v>10125813</v>
      </c>
      <c r="B584" t="s">
        <v>3836</v>
      </c>
    </row>
    <row r="585" spans="1:2" x14ac:dyDescent="0.25">
      <c r="A585" s="183">
        <v>10099494</v>
      </c>
      <c r="B585" t="s">
        <v>1782</v>
      </c>
    </row>
    <row r="586" spans="1:2" x14ac:dyDescent="0.25">
      <c r="A586" s="183">
        <v>10002860</v>
      </c>
      <c r="B586" t="s">
        <v>1744</v>
      </c>
    </row>
    <row r="587" spans="1:2" x14ac:dyDescent="0.25">
      <c r="A587" s="183">
        <v>10001692</v>
      </c>
      <c r="B587" t="s">
        <v>1344</v>
      </c>
    </row>
    <row r="588" spans="1:2" x14ac:dyDescent="0.25">
      <c r="A588" s="183">
        <v>10099491</v>
      </c>
      <c r="B588" t="s">
        <v>3303</v>
      </c>
    </row>
    <row r="589" spans="1:2" x14ac:dyDescent="0.25">
      <c r="A589" s="183">
        <v>10132886</v>
      </c>
      <c r="B589" t="s">
        <v>4156</v>
      </c>
    </row>
    <row r="590" spans="1:2" x14ac:dyDescent="0.25">
      <c r="A590" s="183">
        <v>10099470</v>
      </c>
      <c r="B590" t="s">
        <v>1790</v>
      </c>
    </row>
    <row r="591" spans="1:2" x14ac:dyDescent="0.25">
      <c r="A591" s="183">
        <v>10002862</v>
      </c>
      <c r="B591" t="s">
        <v>1743</v>
      </c>
    </row>
    <row r="592" spans="1:2" x14ac:dyDescent="0.25">
      <c r="A592" s="183">
        <v>10099469</v>
      </c>
      <c r="B592" t="s">
        <v>1773</v>
      </c>
    </row>
    <row r="593" spans="1:2" x14ac:dyDescent="0.25">
      <c r="A593" s="183">
        <v>10128135</v>
      </c>
      <c r="B593" t="s">
        <v>3832</v>
      </c>
    </row>
    <row r="594" spans="1:2" x14ac:dyDescent="0.25">
      <c r="A594" s="183">
        <v>10099492</v>
      </c>
      <c r="B594" t="s">
        <v>1342</v>
      </c>
    </row>
    <row r="595" spans="1:2" x14ac:dyDescent="0.25">
      <c r="A595" s="183">
        <v>10099488</v>
      </c>
      <c r="B595" t="s">
        <v>1792</v>
      </c>
    </row>
    <row r="596" spans="1:2" x14ac:dyDescent="0.25">
      <c r="A596" s="183">
        <v>10133999</v>
      </c>
      <c r="B596" t="s">
        <v>3995</v>
      </c>
    </row>
    <row r="597" spans="1:2" x14ac:dyDescent="0.25">
      <c r="A597" s="183">
        <v>10134000</v>
      </c>
      <c r="B597" t="s">
        <v>4359</v>
      </c>
    </row>
    <row r="598" spans="1:2" x14ac:dyDescent="0.25">
      <c r="A598" s="183">
        <v>10099515</v>
      </c>
      <c r="B598" t="s">
        <v>1784</v>
      </c>
    </row>
    <row r="599" spans="1:2" x14ac:dyDescent="0.25">
      <c r="A599" s="183">
        <v>10107872</v>
      </c>
      <c r="B599" t="s">
        <v>1764</v>
      </c>
    </row>
    <row r="600" spans="1:2" x14ac:dyDescent="0.25">
      <c r="A600" s="183">
        <v>10031905</v>
      </c>
      <c r="B600" t="s">
        <v>1739</v>
      </c>
    </row>
    <row r="601" spans="1:2" x14ac:dyDescent="0.25">
      <c r="A601" s="183">
        <v>10031904</v>
      </c>
      <c r="B601" t="s">
        <v>417</v>
      </c>
    </row>
    <row r="602" spans="1:2" x14ac:dyDescent="0.25">
      <c r="A602" s="183">
        <v>10099490</v>
      </c>
      <c r="B602" t="s">
        <v>3299</v>
      </c>
    </row>
    <row r="603" spans="1:2" x14ac:dyDescent="0.25">
      <c r="A603" s="183">
        <v>10099486</v>
      </c>
      <c r="B603" t="s">
        <v>1768</v>
      </c>
    </row>
    <row r="604" spans="1:2" x14ac:dyDescent="0.25">
      <c r="A604" s="183">
        <v>10109319</v>
      </c>
      <c r="B604" t="s">
        <v>995</v>
      </c>
    </row>
    <row r="605" spans="1:2" x14ac:dyDescent="0.25">
      <c r="A605" s="183">
        <v>10109317</v>
      </c>
      <c r="B605" t="s">
        <v>996</v>
      </c>
    </row>
    <row r="606" spans="1:2" x14ac:dyDescent="0.25">
      <c r="A606" s="263">
        <v>10109318</v>
      </c>
      <c r="B606" s="252" t="s">
        <v>1770</v>
      </c>
    </row>
    <row r="607" spans="1:2" x14ac:dyDescent="0.25">
      <c r="A607" s="183">
        <v>10002863</v>
      </c>
      <c r="B607" t="s">
        <v>1732</v>
      </c>
    </row>
    <row r="608" spans="1:2" x14ac:dyDescent="0.25">
      <c r="A608" s="183">
        <v>10001685</v>
      </c>
      <c r="B608" t="s">
        <v>1745</v>
      </c>
    </row>
    <row r="609" spans="1:2" x14ac:dyDescent="0.25">
      <c r="A609" s="183">
        <v>10099489</v>
      </c>
      <c r="B609" t="s">
        <v>1334</v>
      </c>
    </row>
    <row r="610" spans="1:2" x14ac:dyDescent="0.25">
      <c r="A610" s="183">
        <v>10099493</v>
      </c>
      <c r="B610" t="s">
        <v>1757</v>
      </c>
    </row>
    <row r="611" spans="1:2" x14ac:dyDescent="0.25">
      <c r="A611" s="183">
        <v>10119508</v>
      </c>
      <c r="B611" t="s">
        <v>2988</v>
      </c>
    </row>
    <row r="612" spans="1:2" x14ac:dyDescent="0.25">
      <c r="A612" s="183">
        <v>10090323</v>
      </c>
      <c r="B612" t="s">
        <v>1736</v>
      </c>
    </row>
    <row r="613" spans="1:2" x14ac:dyDescent="0.25">
      <c r="A613" s="183">
        <v>10090322</v>
      </c>
      <c r="B613" t="s">
        <v>411</v>
      </c>
    </row>
    <row r="614" spans="1:2" x14ac:dyDescent="0.25">
      <c r="A614" s="183">
        <v>10099465</v>
      </c>
      <c r="B614" t="s">
        <v>3296</v>
      </c>
    </row>
    <row r="615" spans="1:2" x14ac:dyDescent="0.25">
      <c r="A615" s="183">
        <v>10099466</v>
      </c>
      <c r="B615" t="s">
        <v>1761</v>
      </c>
    </row>
    <row r="616" spans="1:2" x14ac:dyDescent="0.25">
      <c r="A616" s="183">
        <v>10119505</v>
      </c>
      <c r="B616" t="s">
        <v>2993</v>
      </c>
    </row>
    <row r="617" spans="1:2" x14ac:dyDescent="0.25">
      <c r="A617" s="183">
        <v>10002858</v>
      </c>
      <c r="B617" t="s">
        <v>1734</v>
      </c>
    </row>
    <row r="618" spans="1:2" x14ac:dyDescent="0.25">
      <c r="A618" s="183">
        <v>10001684</v>
      </c>
      <c r="B618" t="s">
        <v>409</v>
      </c>
    </row>
    <row r="619" spans="1:2" x14ac:dyDescent="0.25">
      <c r="A619" s="183">
        <v>10099485</v>
      </c>
      <c r="B619" t="s">
        <v>3294</v>
      </c>
    </row>
    <row r="620" spans="1:2" x14ac:dyDescent="0.25">
      <c r="A620" s="183">
        <v>10099487</v>
      </c>
      <c r="B620" t="s">
        <v>1759</v>
      </c>
    </row>
    <row r="621" spans="1:2" x14ac:dyDescent="0.25">
      <c r="A621" s="183">
        <v>10119507</v>
      </c>
      <c r="B621" t="s">
        <v>2991</v>
      </c>
    </row>
    <row r="622" spans="1:2" x14ac:dyDescent="0.25">
      <c r="A622" s="183">
        <v>10002865</v>
      </c>
      <c r="B622" t="s">
        <v>1737</v>
      </c>
    </row>
    <row r="623" spans="1:2" x14ac:dyDescent="0.25">
      <c r="A623" s="183">
        <v>10001683</v>
      </c>
      <c r="B623" t="s">
        <v>412</v>
      </c>
    </row>
    <row r="624" spans="1:2" x14ac:dyDescent="0.25">
      <c r="A624" s="183">
        <v>10099468</v>
      </c>
      <c r="B624" t="s">
        <v>3297</v>
      </c>
    </row>
    <row r="625" spans="1:2" x14ac:dyDescent="0.25">
      <c r="A625" s="183">
        <v>10099471</v>
      </c>
      <c r="B625" t="s">
        <v>1762</v>
      </c>
    </row>
    <row r="626" spans="1:2" x14ac:dyDescent="0.25">
      <c r="A626" s="183">
        <v>10002429</v>
      </c>
      <c r="B626" t="s">
        <v>1749</v>
      </c>
    </row>
    <row r="627" spans="1:2" x14ac:dyDescent="0.25">
      <c r="A627" s="183">
        <v>10086430</v>
      </c>
      <c r="B627" t="s">
        <v>139</v>
      </c>
    </row>
    <row r="628" spans="1:2" x14ac:dyDescent="0.25">
      <c r="A628" s="263">
        <v>20019320</v>
      </c>
      <c r="B628" s="252" t="s">
        <v>506</v>
      </c>
    </row>
    <row r="629" spans="1:2" x14ac:dyDescent="0.25">
      <c r="A629" s="183">
        <v>20009692</v>
      </c>
      <c r="B629" t="s">
        <v>3776</v>
      </c>
    </row>
    <row r="630" spans="1:2" x14ac:dyDescent="0.25">
      <c r="A630" s="263">
        <v>20000947</v>
      </c>
      <c r="B630" s="252" t="s">
        <v>510</v>
      </c>
    </row>
    <row r="631" spans="1:2" x14ac:dyDescent="0.25">
      <c r="A631" s="183">
        <v>20022637</v>
      </c>
      <c r="B631" t="s">
        <v>508</v>
      </c>
    </row>
    <row r="632" spans="1:2" x14ac:dyDescent="0.25">
      <c r="A632" s="263">
        <v>20000951</v>
      </c>
      <c r="B632" s="252" t="s">
        <v>569</v>
      </c>
    </row>
    <row r="633" spans="1:2" x14ac:dyDescent="0.25">
      <c r="A633" s="263">
        <v>20000949</v>
      </c>
      <c r="B633" s="252" t="s">
        <v>503</v>
      </c>
    </row>
    <row r="634" spans="1:2" x14ac:dyDescent="0.25">
      <c r="A634" s="183">
        <v>20001900</v>
      </c>
      <c r="B634" t="s">
        <v>3779</v>
      </c>
    </row>
    <row r="635" spans="1:2" x14ac:dyDescent="0.25">
      <c r="A635" s="183">
        <v>20000948</v>
      </c>
      <c r="B635" t="s">
        <v>501</v>
      </c>
    </row>
    <row r="636" spans="1:2" x14ac:dyDescent="0.25">
      <c r="A636" s="263">
        <v>20025548</v>
      </c>
      <c r="B636" s="252" t="s">
        <v>570</v>
      </c>
    </row>
    <row r="637" spans="1:2" x14ac:dyDescent="0.25">
      <c r="A637" s="183">
        <v>20025547</v>
      </c>
      <c r="B637" t="s">
        <v>568</v>
      </c>
    </row>
    <row r="638" spans="1:2" x14ac:dyDescent="0.25">
      <c r="A638" s="183">
        <v>10063828</v>
      </c>
      <c r="B638" t="s">
        <v>551</v>
      </c>
    </row>
    <row r="639" spans="1:2" x14ac:dyDescent="0.25">
      <c r="A639" s="263">
        <v>10090141</v>
      </c>
      <c r="B639" s="252" t="s">
        <v>553</v>
      </c>
    </row>
    <row r="640" spans="1:2" x14ac:dyDescent="0.25">
      <c r="A640" s="183">
        <v>10083916</v>
      </c>
      <c r="B640" t="s">
        <v>561</v>
      </c>
    </row>
    <row r="641" spans="1:2" x14ac:dyDescent="0.25">
      <c r="A641" s="183">
        <v>10063830</v>
      </c>
      <c r="B641" t="s">
        <v>557</v>
      </c>
    </row>
    <row r="642" spans="1:2" x14ac:dyDescent="0.25">
      <c r="A642" s="183">
        <v>10063829</v>
      </c>
      <c r="B642" t="s">
        <v>555</v>
      </c>
    </row>
    <row r="643" spans="1:2" x14ac:dyDescent="0.25">
      <c r="A643" s="183">
        <v>10063825</v>
      </c>
      <c r="B643" t="s">
        <v>559</v>
      </c>
    </row>
    <row r="644" spans="1:2" x14ac:dyDescent="0.25">
      <c r="A644" s="183">
        <v>10083917</v>
      </c>
      <c r="B644" t="s">
        <v>563</v>
      </c>
    </row>
    <row r="645" spans="1:2" x14ac:dyDescent="0.25">
      <c r="A645" s="183">
        <v>10090140</v>
      </c>
      <c r="B645" t="s">
        <v>565</v>
      </c>
    </row>
    <row r="646" spans="1:2" x14ac:dyDescent="0.25">
      <c r="A646" s="183">
        <v>10120847</v>
      </c>
      <c r="B646" t="s">
        <v>1126</v>
      </c>
    </row>
    <row r="647" spans="1:2" x14ac:dyDescent="0.25">
      <c r="A647" s="183">
        <v>10120848</v>
      </c>
      <c r="B647" t="s">
        <v>1122</v>
      </c>
    </row>
    <row r="648" spans="1:2" x14ac:dyDescent="0.25">
      <c r="A648" s="183">
        <v>10120840</v>
      </c>
      <c r="B648" t="s">
        <v>3345</v>
      </c>
    </row>
    <row r="649" spans="1:2" x14ac:dyDescent="0.25">
      <c r="A649" s="183">
        <v>10120846</v>
      </c>
      <c r="B649" t="s">
        <v>4059</v>
      </c>
    </row>
    <row r="650" spans="1:2" x14ac:dyDescent="0.25">
      <c r="A650" s="183">
        <v>10120842</v>
      </c>
      <c r="B650" t="s">
        <v>1127</v>
      </c>
    </row>
    <row r="651" spans="1:2" x14ac:dyDescent="0.25">
      <c r="A651" s="183">
        <v>10120841</v>
      </c>
      <c r="B651" t="s">
        <v>1128</v>
      </c>
    </row>
    <row r="652" spans="1:2" x14ac:dyDescent="0.25">
      <c r="A652" s="183">
        <v>10120844</v>
      </c>
      <c r="B652" t="s">
        <v>1125</v>
      </c>
    </row>
    <row r="653" spans="1:2" x14ac:dyDescent="0.25">
      <c r="A653" s="183">
        <v>10120843</v>
      </c>
      <c r="B653" t="s">
        <v>3346</v>
      </c>
    </row>
    <row r="654" spans="1:2" x14ac:dyDescent="0.25">
      <c r="A654" s="183">
        <v>10120845</v>
      </c>
      <c r="B654" t="s">
        <v>3347</v>
      </c>
    </row>
    <row r="655" spans="1:2" x14ac:dyDescent="0.25">
      <c r="A655" s="183">
        <v>10120849</v>
      </c>
      <c r="B655" t="s">
        <v>1129</v>
      </c>
    </row>
    <row r="656" spans="1:2" x14ac:dyDescent="0.25">
      <c r="A656" s="183">
        <v>10083936</v>
      </c>
      <c r="B656" t="s">
        <v>364</v>
      </c>
    </row>
    <row r="657" spans="1:2" x14ac:dyDescent="0.25">
      <c r="A657" s="183">
        <v>10083935</v>
      </c>
      <c r="B657" t="s">
        <v>366</v>
      </c>
    </row>
    <row r="658" spans="1:2" x14ac:dyDescent="0.25">
      <c r="A658" s="183">
        <v>10084026</v>
      </c>
      <c r="B658" t="s">
        <v>4039</v>
      </c>
    </row>
    <row r="659" spans="1:2" x14ac:dyDescent="0.25">
      <c r="A659" s="263">
        <v>10079085</v>
      </c>
      <c r="B659" s="252" t="s">
        <v>4035</v>
      </c>
    </row>
    <row r="660" spans="1:2" x14ac:dyDescent="0.25">
      <c r="A660" s="263">
        <v>10084025</v>
      </c>
      <c r="B660" s="252" t="s">
        <v>4038</v>
      </c>
    </row>
    <row r="661" spans="1:2" x14ac:dyDescent="0.25">
      <c r="A661" s="183">
        <v>10079084</v>
      </c>
      <c r="B661" t="s">
        <v>4034</v>
      </c>
    </row>
    <row r="662" spans="1:2" x14ac:dyDescent="0.25">
      <c r="A662" s="183">
        <v>10084024</v>
      </c>
      <c r="B662" t="s">
        <v>4037</v>
      </c>
    </row>
    <row r="663" spans="1:2" x14ac:dyDescent="0.25">
      <c r="A663" s="263">
        <v>10079086</v>
      </c>
      <c r="B663" s="252" t="s">
        <v>4036</v>
      </c>
    </row>
    <row r="664" spans="1:2" x14ac:dyDescent="0.25">
      <c r="A664" s="183">
        <v>10111501</v>
      </c>
      <c r="B664" t="s">
        <v>3349</v>
      </c>
    </row>
    <row r="665" spans="1:2" x14ac:dyDescent="0.25">
      <c r="A665" s="183">
        <v>10128281</v>
      </c>
      <c r="B665" t="s">
        <v>4062</v>
      </c>
    </row>
    <row r="666" spans="1:2" x14ac:dyDescent="0.25">
      <c r="A666" s="183">
        <v>10132777</v>
      </c>
      <c r="B666" t="s">
        <v>4115</v>
      </c>
    </row>
    <row r="667" spans="1:2" x14ac:dyDescent="0.25">
      <c r="A667" s="183">
        <v>10124151</v>
      </c>
      <c r="B667" t="s">
        <v>3650</v>
      </c>
    </row>
    <row r="668" spans="1:2" x14ac:dyDescent="0.25">
      <c r="A668" s="183">
        <v>10110064</v>
      </c>
      <c r="B668" t="s">
        <v>446</v>
      </c>
    </row>
    <row r="669" spans="1:2" x14ac:dyDescent="0.25">
      <c r="A669" s="183">
        <v>10110019</v>
      </c>
      <c r="B669" t="s">
        <v>3952</v>
      </c>
    </row>
    <row r="670" spans="1:2" x14ac:dyDescent="0.25">
      <c r="A670" s="183">
        <v>10124149</v>
      </c>
      <c r="B670" t="s">
        <v>3653</v>
      </c>
    </row>
    <row r="671" spans="1:2" x14ac:dyDescent="0.25">
      <c r="A671" s="183">
        <v>10110033</v>
      </c>
      <c r="B671" t="s">
        <v>806</v>
      </c>
    </row>
    <row r="672" spans="1:2" x14ac:dyDescent="0.25">
      <c r="A672" s="263">
        <v>10110049</v>
      </c>
      <c r="B672" s="252" t="s">
        <v>463</v>
      </c>
    </row>
    <row r="673" spans="1:2" x14ac:dyDescent="0.25">
      <c r="A673" s="183">
        <v>10112767</v>
      </c>
      <c r="B673" t="s">
        <v>4053</v>
      </c>
    </row>
    <row r="674" spans="1:2" x14ac:dyDescent="0.25">
      <c r="A674" s="183">
        <v>10124152</v>
      </c>
      <c r="B674" t="s">
        <v>3651</v>
      </c>
    </row>
    <row r="675" spans="1:2" x14ac:dyDescent="0.25">
      <c r="A675" s="183">
        <v>10110014</v>
      </c>
      <c r="B675" t="s">
        <v>460</v>
      </c>
    </row>
    <row r="676" spans="1:2" x14ac:dyDescent="0.25">
      <c r="A676" s="183">
        <v>10110007</v>
      </c>
      <c r="B676" t="s">
        <v>4048</v>
      </c>
    </row>
    <row r="677" spans="1:2" x14ac:dyDescent="0.25">
      <c r="A677" s="183">
        <v>10110067</v>
      </c>
      <c r="B677" t="s">
        <v>458</v>
      </c>
    </row>
    <row r="678" spans="1:2" x14ac:dyDescent="0.25">
      <c r="A678" s="183">
        <v>10110022</v>
      </c>
      <c r="B678" t="s">
        <v>454</v>
      </c>
    </row>
    <row r="679" spans="1:2" x14ac:dyDescent="0.25">
      <c r="A679" s="183">
        <v>10110038</v>
      </c>
      <c r="B679" t="s">
        <v>456</v>
      </c>
    </row>
    <row r="680" spans="1:2" x14ac:dyDescent="0.25">
      <c r="A680" s="183">
        <v>10110069</v>
      </c>
      <c r="B680" t="s">
        <v>451</v>
      </c>
    </row>
    <row r="681" spans="1:2" x14ac:dyDescent="0.25">
      <c r="A681" s="183">
        <v>10110023</v>
      </c>
      <c r="B681" t="s">
        <v>4049</v>
      </c>
    </row>
    <row r="682" spans="1:2" x14ac:dyDescent="0.25">
      <c r="A682" s="183">
        <v>10110009</v>
      </c>
      <c r="B682" t="s">
        <v>4050</v>
      </c>
    </row>
    <row r="683" spans="1:2" x14ac:dyDescent="0.25">
      <c r="A683" s="183">
        <v>10110053</v>
      </c>
      <c r="B683" t="s">
        <v>4052</v>
      </c>
    </row>
    <row r="684" spans="1:2" x14ac:dyDescent="0.25">
      <c r="A684" s="183">
        <v>10121163</v>
      </c>
      <c r="B684" t="s">
        <v>3655</v>
      </c>
    </row>
    <row r="685" spans="1:2" x14ac:dyDescent="0.25">
      <c r="A685" s="183">
        <v>10110032</v>
      </c>
      <c r="B685" t="s">
        <v>808</v>
      </c>
    </row>
    <row r="686" spans="1:2" x14ac:dyDescent="0.25">
      <c r="A686" s="263">
        <v>10110040</v>
      </c>
      <c r="B686" s="252" t="s">
        <v>4051</v>
      </c>
    </row>
    <row r="687" spans="1:2" x14ac:dyDescent="0.25">
      <c r="A687" s="183">
        <v>10121162</v>
      </c>
      <c r="B687" t="s">
        <v>3654</v>
      </c>
    </row>
    <row r="688" spans="1:2" x14ac:dyDescent="0.25">
      <c r="A688" s="183">
        <v>10124150</v>
      </c>
      <c r="B688" t="s">
        <v>3652</v>
      </c>
    </row>
    <row r="689" spans="1:2" x14ac:dyDescent="0.25">
      <c r="A689" s="183">
        <v>10110015</v>
      </c>
      <c r="B689" t="s">
        <v>448</v>
      </c>
    </row>
    <row r="690" spans="1:2" x14ac:dyDescent="0.25">
      <c r="A690" s="183">
        <v>10123491</v>
      </c>
      <c r="B690" t="s">
        <v>2391</v>
      </c>
    </row>
    <row r="691" spans="1:2" x14ac:dyDescent="0.25">
      <c r="A691" s="183">
        <v>10123494</v>
      </c>
      <c r="B691" t="s">
        <v>876</v>
      </c>
    </row>
    <row r="692" spans="1:2" x14ac:dyDescent="0.25">
      <c r="A692" s="183">
        <v>10123495</v>
      </c>
      <c r="B692" t="s">
        <v>623</v>
      </c>
    </row>
    <row r="693" spans="1:2" x14ac:dyDescent="0.25">
      <c r="A693" s="183">
        <v>10123499</v>
      </c>
      <c r="B693" t="s">
        <v>625</v>
      </c>
    </row>
    <row r="694" spans="1:2" x14ac:dyDescent="0.25">
      <c r="A694" s="183">
        <v>10123492</v>
      </c>
      <c r="B694" t="s">
        <v>626</v>
      </c>
    </row>
    <row r="695" spans="1:2" x14ac:dyDescent="0.25">
      <c r="A695" s="183">
        <v>10123497</v>
      </c>
      <c r="B695" t="s">
        <v>628</v>
      </c>
    </row>
    <row r="696" spans="1:2" x14ac:dyDescent="0.25">
      <c r="A696" s="183">
        <v>10123498</v>
      </c>
      <c r="B696" t="s">
        <v>627</v>
      </c>
    </row>
    <row r="697" spans="1:2" x14ac:dyDescent="0.25">
      <c r="A697" s="183">
        <v>10123496</v>
      </c>
      <c r="B697" t="s">
        <v>624</v>
      </c>
    </row>
    <row r="698" spans="1:2" x14ac:dyDescent="0.25">
      <c r="A698" s="263">
        <v>20000063</v>
      </c>
      <c r="B698" s="252" t="s">
        <v>3047</v>
      </c>
    </row>
    <row r="699" spans="1:2" x14ac:dyDescent="0.25">
      <c r="A699" s="183">
        <v>10001315</v>
      </c>
      <c r="B699" t="s">
        <v>197</v>
      </c>
    </row>
    <row r="700" spans="1:2" x14ac:dyDescent="0.25">
      <c r="A700" s="263">
        <v>10001323</v>
      </c>
      <c r="B700" s="252" t="s">
        <v>199</v>
      </c>
    </row>
    <row r="701" spans="1:2" x14ac:dyDescent="0.25">
      <c r="A701" s="183">
        <v>20030107</v>
      </c>
      <c r="B701" t="s">
        <v>3840</v>
      </c>
    </row>
    <row r="702" spans="1:2" x14ac:dyDescent="0.25">
      <c r="A702" s="183">
        <v>10110362</v>
      </c>
      <c r="B702" t="s">
        <v>3350</v>
      </c>
    </row>
    <row r="703" spans="1:2" x14ac:dyDescent="0.25">
      <c r="A703" s="183">
        <v>10000069</v>
      </c>
      <c r="B703" t="s">
        <v>1570</v>
      </c>
    </row>
    <row r="704" spans="1:2" x14ac:dyDescent="0.25">
      <c r="A704" s="183">
        <v>10003027</v>
      </c>
      <c r="B704" t="s">
        <v>2940</v>
      </c>
    </row>
    <row r="705" spans="1:2" x14ac:dyDescent="0.25">
      <c r="A705" s="183">
        <v>10001336</v>
      </c>
      <c r="B705" t="s">
        <v>359</v>
      </c>
    </row>
    <row r="706" spans="1:2" x14ac:dyDescent="0.25">
      <c r="A706" s="183">
        <v>10003030</v>
      </c>
      <c r="B706" t="s">
        <v>2935</v>
      </c>
    </row>
    <row r="707" spans="1:2" x14ac:dyDescent="0.25">
      <c r="A707" s="263">
        <v>10001335</v>
      </c>
      <c r="B707" s="252" t="s">
        <v>203</v>
      </c>
    </row>
    <row r="708" spans="1:2" x14ac:dyDescent="0.25">
      <c r="A708" s="183">
        <v>10003031</v>
      </c>
      <c r="B708" t="s">
        <v>2943</v>
      </c>
    </row>
    <row r="709" spans="1:2" x14ac:dyDescent="0.25">
      <c r="A709" s="263">
        <v>10003032</v>
      </c>
      <c r="B709" s="252" t="s">
        <v>2947</v>
      </c>
    </row>
    <row r="710" spans="1:2" x14ac:dyDescent="0.25">
      <c r="A710" s="183">
        <v>10003033</v>
      </c>
      <c r="B710" t="s">
        <v>2941</v>
      </c>
    </row>
    <row r="711" spans="1:2" x14ac:dyDescent="0.25">
      <c r="A711" s="183">
        <v>10003034</v>
      </c>
      <c r="B711" t="s">
        <v>2945</v>
      </c>
    </row>
    <row r="712" spans="1:2" x14ac:dyDescent="0.25">
      <c r="A712" s="183">
        <v>10003036</v>
      </c>
      <c r="B712" t="s">
        <v>2938</v>
      </c>
    </row>
    <row r="713" spans="1:2" x14ac:dyDescent="0.25">
      <c r="A713" s="183">
        <v>10000071</v>
      </c>
      <c r="B713" t="s">
        <v>355</v>
      </c>
    </row>
    <row r="714" spans="1:2" x14ac:dyDescent="0.25">
      <c r="A714" s="183">
        <v>10001337</v>
      </c>
      <c r="B714" t="s">
        <v>2432</v>
      </c>
    </row>
    <row r="715" spans="1:2" x14ac:dyDescent="0.25">
      <c r="A715" s="263">
        <v>10000254</v>
      </c>
      <c r="B715" s="252" t="s">
        <v>3107</v>
      </c>
    </row>
    <row r="716" spans="1:2" x14ac:dyDescent="0.25">
      <c r="A716" s="183">
        <v>10012926</v>
      </c>
      <c r="B716" t="s">
        <v>3108</v>
      </c>
    </row>
    <row r="717" spans="1:2" x14ac:dyDescent="0.25">
      <c r="A717" s="183">
        <v>10001314</v>
      </c>
      <c r="B717" t="s">
        <v>3104</v>
      </c>
    </row>
    <row r="718" spans="1:2" x14ac:dyDescent="0.25">
      <c r="A718" s="183">
        <v>10030102</v>
      </c>
      <c r="B718" t="s">
        <v>3106</v>
      </c>
    </row>
    <row r="719" spans="1:2" x14ac:dyDescent="0.25">
      <c r="A719" s="183">
        <v>10001633</v>
      </c>
      <c r="B719" t="s">
        <v>596</v>
      </c>
    </row>
    <row r="720" spans="1:2" x14ac:dyDescent="0.25">
      <c r="A720" s="183">
        <v>10064022</v>
      </c>
      <c r="B720" t="s">
        <v>3105</v>
      </c>
    </row>
    <row r="721" spans="1:2" x14ac:dyDescent="0.25">
      <c r="A721" s="183">
        <v>10001317</v>
      </c>
      <c r="B721" t="s">
        <v>193</v>
      </c>
    </row>
    <row r="722" spans="1:2" x14ac:dyDescent="0.25">
      <c r="A722" s="183">
        <v>10004677</v>
      </c>
      <c r="B722" t="s">
        <v>2936</v>
      </c>
    </row>
    <row r="723" spans="1:2" x14ac:dyDescent="0.25">
      <c r="A723" s="183">
        <v>10004677</v>
      </c>
      <c r="B723" t="s">
        <v>2936</v>
      </c>
    </row>
    <row r="724" spans="1:2" x14ac:dyDescent="0.25">
      <c r="A724" s="183">
        <v>10003028</v>
      </c>
      <c r="B724" t="s">
        <v>2939</v>
      </c>
    </row>
    <row r="725" spans="1:2" x14ac:dyDescent="0.25">
      <c r="A725" s="183">
        <v>10001334</v>
      </c>
      <c r="B725" t="s">
        <v>357</v>
      </c>
    </row>
    <row r="726" spans="1:2" x14ac:dyDescent="0.25">
      <c r="A726" s="183">
        <v>10084096</v>
      </c>
      <c r="B726" t="s">
        <v>2434</v>
      </c>
    </row>
    <row r="727" spans="1:2" x14ac:dyDescent="0.25">
      <c r="A727" s="263">
        <v>10001318</v>
      </c>
      <c r="B727" s="252" t="s">
        <v>195</v>
      </c>
    </row>
    <row r="728" spans="1:2" x14ac:dyDescent="0.25">
      <c r="A728" s="183">
        <v>10001289</v>
      </c>
      <c r="B728" t="s">
        <v>3289</v>
      </c>
    </row>
    <row r="729" spans="1:2" x14ac:dyDescent="0.25">
      <c r="A729" s="183">
        <v>10001327</v>
      </c>
      <c r="B729" t="s">
        <v>3002</v>
      </c>
    </row>
    <row r="730" spans="1:2" x14ac:dyDescent="0.25">
      <c r="A730" s="263">
        <v>20028329</v>
      </c>
      <c r="B730" s="252" t="s">
        <v>1019</v>
      </c>
    </row>
    <row r="731" spans="1:2" x14ac:dyDescent="0.25">
      <c r="A731" s="183">
        <v>20028335</v>
      </c>
      <c r="B731" t="s">
        <v>1030</v>
      </c>
    </row>
    <row r="732" spans="1:2" x14ac:dyDescent="0.25">
      <c r="A732" s="263">
        <v>10001325</v>
      </c>
      <c r="B732" s="252" t="s">
        <v>2436</v>
      </c>
    </row>
    <row r="733" spans="1:2" x14ac:dyDescent="0.25">
      <c r="A733" s="263">
        <v>10006321</v>
      </c>
      <c r="B733" s="252" t="s">
        <v>2969</v>
      </c>
    </row>
    <row r="734" spans="1:2" x14ac:dyDescent="0.25">
      <c r="A734" s="183">
        <v>20029840</v>
      </c>
      <c r="B734" t="s">
        <v>3818</v>
      </c>
    </row>
    <row r="735" spans="1:2" x14ac:dyDescent="0.25">
      <c r="A735" s="183">
        <v>20029836</v>
      </c>
      <c r="B735" t="s">
        <v>3812</v>
      </c>
    </row>
    <row r="736" spans="1:2" x14ac:dyDescent="0.25">
      <c r="A736" s="183">
        <v>20029841</v>
      </c>
      <c r="B736" t="s">
        <v>3814</v>
      </c>
    </row>
    <row r="737" spans="1:2" x14ac:dyDescent="0.25">
      <c r="A737" s="183">
        <v>20029843</v>
      </c>
      <c r="B737" t="s">
        <v>3822</v>
      </c>
    </row>
    <row r="738" spans="1:2" x14ac:dyDescent="0.25">
      <c r="A738" s="183">
        <v>20029844</v>
      </c>
      <c r="B738" t="s">
        <v>3810</v>
      </c>
    </row>
    <row r="739" spans="1:2" x14ac:dyDescent="0.25">
      <c r="A739" s="183">
        <v>20029839</v>
      </c>
      <c r="B739" t="s">
        <v>3820</v>
      </c>
    </row>
    <row r="740" spans="1:2" x14ac:dyDescent="0.25">
      <c r="A740" s="183">
        <v>20029842</v>
      </c>
      <c r="B740" t="s">
        <v>3816</v>
      </c>
    </row>
    <row r="741" spans="1:2" x14ac:dyDescent="0.25">
      <c r="A741" s="183">
        <v>20004202</v>
      </c>
      <c r="B741" t="s">
        <v>3094</v>
      </c>
    </row>
    <row r="742" spans="1:2" x14ac:dyDescent="0.25">
      <c r="A742" s="183">
        <v>20004233</v>
      </c>
      <c r="B742" t="s">
        <v>3092</v>
      </c>
    </row>
    <row r="743" spans="1:2" x14ac:dyDescent="0.25">
      <c r="A743" s="183">
        <v>10001319</v>
      </c>
      <c r="B743" t="s">
        <v>207</v>
      </c>
    </row>
    <row r="744" spans="1:2" x14ac:dyDescent="0.25">
      <c r="A744" s="183">
        <v>10001290</v>
      </c>
      <c r="B744" t="s">
        <v>3290</v>
      </c>
    </row>
    <row r="745" spans="1:2" x14ac:dyDescent="0.25">
      <c r="A745" s="183">
        <v>10001328</v>
      </c>
      <c r="B745" t="s">
        <v>3003</v>
      </c>
    </row>
    <row r="746" spans="1:2" x14ac:dyDescent="0.25">
      <c r="A746" s="183">
        <v>10001291</v>
      </c>
      <c r="B746" t="s">
        <v>2998</v>
      </c>
    </row>
    <row r="747" spans="1:2" x14ac:dyDescent="0.25">
      <c r="A747" s="183">
        <v>10001329</v>
      </c>
      <c r="B747" t="s">
        <v>3831</v>
      </c>
    </row>
    <row r="748" spans="1:2" x14ac:dyDescent="0.25">
      <c r="A748" s="183">
        <v>10012968</v>
      </c>
      <c r="B748" t="s">
        <v>3291</v>
      </c>
    </row>
    <row r="749" spans="1:2" x14ac:dyDescent="0.25">
      <c r="A749" s="183">
        <v>10001288</v>
      </c>
      <c r="B749" t="s">
        <v>3288</v>
      </c>
    </row>
    <row r="750" spans="1:2" x14ac:dyDescent="0.25">
      <c r="A750" s="183">
        <v>10001326</v>
      </c>
      <c r="B750" t="s">
        <v>3001</v>
      </c>
    </row>
    <row r="751" spans="1:2" x14ac:dyDescent="0.25">
      <c r="A751" s="183">
        <v>10001322</v>
      </c>
      <c r="B751" t="s">
        <v>205</v>
      </c>
    </row>
    <row r="752" spans="1:2" x14ac:dyDescent="0.25">
      <c r="A752" s="183">
        <v>10001332</v>
      </c>
      <c r="B752" t="s">
        <v>201</v>
      </c>
    </row>
    <row r="753" spans="1:2" x14ac:dyDescent="0.25">
      <c r="A753" s="183">
        <v>10000384</v>
      </c>
      <c r="B753" t="s">
        <v>2438</v>
      </c>
    </row>
    <row r="754" spans="1:2" x14ac:dyDescent="0.25">
      <c r="A754" s="183">
        <v>20020822</v>
      </c>
      <c r="B754" t="s">
        <v>588</v>
      </c>
    </row>
    <row r="755" spans="1:2" x14ac:dyDescent="0.25">
      <c r="A755" s="183">
        <v>20028242</v>
      </c>
      <c r="B755" t="s">
        <v>1159</v>
      </c>
    </row>
    <row r="756" spans="1:2" x14ac:dyDescent="0.25">
      <c r="A756" s="183">
        <v>20000631</v>
      </c>
      <c r="B756" t="s">
        <v>587</v>
      </c>
    </row>
    <row r="757" spans="1:2" x14ac:dyDescent="0.25">
      <c r="A757" s="183">
        <v>10000321</v>
      </c>
      <c r="B757" t="s">
        <v>2587</v>
      </c>
    </row>
    <row r="758" spans="1:2" x14ac:dyDescent="0.25">
      <c r="A758" s="183">
        <v>10120827</v>
      </c>
      <c r="B758" t="s">
        <v>2625</v>
      </c>
    </row>
    <row r="759" spans="1:2" x14ac:dyDescent="0.25">
      <c r="A759" s="183">
        <v>10000324</v>
      </c>
      <c r="B759" t="s">
        <v>2617</v>
      </c>
    </row>
    <row r="760" spans="1:2" x14ac:dyDescent="0.25">
      <c r="A760" s="183">
        <v>10000332</v>
      </c>
      <c r="B760" t="s">
        <v>4125</v>
      </c>
    </row>
    <row r="761" spans="1:2" x14ac:dyDescent="0.25">
      <c r="A761" s="183">
        <v>10066318</v>
      </c>
      <c r="B761" t="s">
        <v>2603</v>
      </c>
    </row>
    <row r="762" spans="1:2" x14ac:dyDescent="0.25">
      <c r="A762" s="183">
        <v>10000330</v>
      </c>
      <c r="B762" t="s">
        <v>2605</v>
      </c>
    </row>
    <row r="763" spans="1:2" x14ac:dyDescent="0.25">
      <c r="A763" s="183">
        <v>10000320</v>
      </c>
      <c r="B763" t="s">
        <v>2583</v>
      </c>
    </row>
    <row r="764" spans="1:2" x14ac:dyDescent="0.25">
      <c r="A764" s="183">
        <v>10000331</v>
      </c>
      <c r="B764" t="s">
        <v>4123</v>
      </c>
    </row>
    <row r="765" spans="1:2" x14ac:dyDescent="0.25">
      <c r="A765" s="183">
        <v>10000322</v>
      </c>
      <c r="B765" t="s">
        <v>2589</v>
      </c>
    </row>
    <row r="766" spans="1:2" x14ac:dyDescent="0.25">
      <c r="A766" s="183">
        <v>10001622</v>
      </c>
      <c r="B766" t="s">
        <v>2585</v>
      </c>
    </row>
    <row r="767" spans="1:2" x14ac:dyDescent="0.25">
      <c r="A767" s="183">
        <v>10000323</v>
      </c>
      <c r="B767" t="s">
        <v>2621</v>
      </c>
    </row>
    <row r="768" spans="1:2" x14ac:dyDescent="0.25">
      <c r="A768" s="183">
        <v>10000260</v>
      </c>
      <c r="B768" t="s">
        <v>2619</v>
      </c>
    </row>
    <row r="769" spans="1:2" x14ac:dyDescent="0.25">
      <c r="A769" s="183">
        <v>10100209</v>
      </c>
      <c r="B769" t="s">
        <v>2641</v>
      </c>
    </row>
    <row r="770" spans="1:2" x14ac:dyDescent="0.25">
      <c r="A770" s="183">
        <v>10000329</v>
      </c>
      <c r="B770" t="s">
        <v>2609</v>
      </c>
    </row>
    <row r="771" spans="1:2" x14ac:dyDescent="0.25">
      <c r="A771" s="183">
        <v>10010403</v>
      </c>
      <c r="B771" t="s">
        <v>2611</v>
      </c>
    </row>
    <row r="772" spans="1:2" x14ac:dyDescent="0.25">
      <c r="A772" s="183">
        <v>10088270</v>
      </c>
      <c r="B772" t="s">
        <v>2613</v>
      </c>
    </row>
    <row r="773" spans="1:2" x14ac:dyDescent="0.25">
      <c r="A773" s="183">
        <v>10088970</v>
      </c>
      <c r="B773" t="s">
        <v>2615</v>
      </c>
    </row>
    <row r="774" spans="1:2" x14ac:dyDescent="0.25">
      <c r="A774" s="183">
        <v>10001732</v>
      </c>
      <c r="B774" t="s">
        <v>2591</v>
      </c>
    </row>
    <row r="775" spans="1:2" x14ac:dyDescent="0.25">
      <c r="A775" s="183">
        <v>20000472</v>
      </c>
      <c r="B775" t="s">
        <v>2643</v>
      </c>
    </row>
    <row r="776" spans="1:2" x14ac:dyDescent="0.25">
      <c r="A776" s="183">
        <v>10109325</v>
      </c>
      <c r="B776" t="s">
        <v>2647</v>
      </c>
    </row>
    <row r="777" spans="1:2" x14ac:dyDescent="0.25">
      <c r="A777" s="183">
        <v>10109324</v>
      </c>
      <c r="B777" t="s">
        <v>2645</v>
      </c>
    </row>
    <row r="778" spans="1:2" x14ac:dyDescent="0.25">
      <c r="A778" s="183">
        <v>10000261</v>
      </c>
      <c r="B778" t="s">
        <v>2623</v>
      </c>
    </row>
    <row r="779" spans="1:2" x14ac:dyDescent="0.25">
      <c r="A779" s="183">
        <v>10000232</v>
      </c>
      <c r="B779" t="s">
        <v>2607</v>
      </c>
    </row>
    <row r="780" spans="1:2" x14ac:dyDescent="0.25">
      <c r="A780" s="183">
        <v>10100221</v>
      </c>
      <c r="B780" t="s">
        <v>2633</v>
      </c>
    </row>
    <row r="781" spans="1:2" x14ac:dyDescent="0.25">
      <c r="A781" s="183">
        <v>10100210</v>
      </c>
      <c r="B781" t="s">
        <v>2631</v>
      </c>
    </row>
    <row r="782" spans="1:2" x14ac:dyDescent="0.25">
      <c r="A782" s="183">
        <v>10100195</v>
      </c>
      <c r="B782" t="s">
        <v>2639</v>
      </c>
    </row>
    <row r="783" spans="1:2" x14ac:dyDescent="0.25">
      <c r="A783" s="183">
        <v>10100225</v>
      </c>
      <c r="B783" t="s">
        <v>2627</v>
      </c>
    </row>
    <row r="784" spans="1:2" x14ac:dyDescent="0.25">
      <c r="A784" s="183">
        <v>10100211</v>
      </c>
      <c r="B784" t="s">
        <v>2635</v>
      </c>
    </row>
    <row r="785" spans="1:2" x14ac:dyDescent="0.25">
      <c r="A785" s="183">
        <v>10100217</v>
      </c>
      <c r="B785" t="s">
        <v>2637</v>
      </c>
    </row>
    <row r="786" spans="1:2" x14ac:dyDescent="0.25">
      <c r="A786" s="183">
        <v>10100219</v>
      </c>
      <c r="B786" t="s">
        <v>2629</v>
      </c>
    </row>
    <row r="787" spans="1:2" x14ac:dyDescent="0.25">
      <c r="A787" s="183">
        <v>10012014</v>
      </c>
      <c r="B787" t="s">
        <v>2593</v>
      </c>
    </row>
    <row r="788" spans="1:2" x14ac:dyDescent="0.25">
      <c r="A788" s="183">
        <v>10000328</v>
      </c>
      <c r="B788" t="s">
        <v>2601</v>
      </c>
    </row>
    <row r="789" spans="1:2" x14ac:dyDescent="0.25">
      <c r="A789" s="183">
        <v>10000333</v>
      </c>
      <c r="B789" t="s">
        <v>3789</v>
      </c>
    </row>
    <row r="790" spans="1:2" x14ac:dyDescent="0.25">
      <c r="A790" s="183">
        <v>10078957</v>
      </c>
      <c r="B790" t="s">
        <v>2599</v>
      </c>
    </row>
    <row r="791" spans="1:2" x14ac:dyDescent="0.25">
      <c r="A791" s="183">
        <v>10000327</v>
      </c>
      <c r="B791" t="s">
        <v>2595</v>
      </c>
    </row>
    <row r="792" spans="1:2" x14ac:dyDescent="0.25">
      <c r="A792" s="183">
        <v>10078956</v>
      </c>
      <c r="B792" t="s">
        <v>2597</v>
      </c>
    </row>
    <row r="793" spans="1:2" x14ac:dyDescent="0.25">
      <c r="A793" s="183">
        <v>10001108</v>
      </c>
      <c r="B793" t="s">
        <v>151</v>
      </c>
    </row>
    <row r="794" spans="1:2" x14ac:dyDescent="0.25">
      <c r="A794" s="183">
        <v>10001854</v>
      </c>
      <c r="B794" t="s">
        <v>2729</v>
      </c>
    </row>
    <row r="795" spans="1:2" x14ac:dyDescent="0.25">
      <c r="A795" s="183">
        <v>10001109</v>
      </c>
      <c r="B795" t="s">
        <v>161</v>
      </c>
    </row>
    <row r="796" spans="1:2" x14ac:dyDescent="0.25">
      <c r="A796" s="183">
        <v>10001880</v>
      </c>
      <c r="B796" t="s">
        <v>2734</v>
      </c>
    </row>
    <row r="797" spans="1:2" x14ac:dyDescent="0.25">
      <c r="A797" s="183">
        <v>10001096</v>
      </c>
      <c r="B797" t="s">
        <v>157</v>
      </c>
    </row>
    <row r="798" spans="1:2" x14ac:dyDescent="0.25">
      <c r="A798" s="183">
        <v>10001881</v>
      </c>
      <c r="B798" t="s">
        <v>2732</v>
      </c>
    </row>
    <row r="799" spans="1:2" x14ac:dyDescent="0.25">
      <c r="A799" s="183">
        <v>20001632</v>
      </c>
      <c r="B799" t="s">
        <v>2907</v>
      </c>
    </row>
    <row r="800" spans="1:2" x14ac:dyDescent="0.25">
      <c r="A800" s="183">
        <v>10000042</v>
      </c>
      <c r="B800" t="s">
        <v>1300</v>
      </c>
    </row>
    <row r="801" spans="1:2" x14ac:dyDescent="0.25">
      <c r="A801" s="183">
        <v>10003275</v>
      </c>
      <c r="B801" t="s">
        <v>2748</v>
      </c>
    </row>
    <row r="802" spans="1:2" x14ac:dyDescent="0.25">
      <c r="A802" s="183">
        <v>10100151</v>
      </c>
      <c r="B802" t="s">
        <v>2912</v>
      </c>
    </row>
    <row r="803" spans="1:2" x14ac:dyDescent="0.25">
      <c r="A803" s="183">
        <v>10128112</v>
      </c>
      <c r="B803" t="s">
        <v>3855</v>
      </c>
    </row>
    <row r="804" spans="1:2" x14ac:dyDescent="0.25">
      <c r="A804" s="183">
        <v>10001136</v>
      </c>
      <c r="B804" t="s">
        <v>1427</v>
      </c>
    </row>
    <row r="805" spans="1:2" x14ac:dyDescent="0.25">
      <c r="A805" s="183">
        <v>10001142</v>
      </c>
      <c r="B805" t="s">
        <v>1429</v>
      </c>
    </row>
    <row r="806" spans="1:2" x14ac:dyDescent="0.25">
      <c r="A806" s="183">
        <v>10001128</v>
      </c>
      <c r="B806" t="s">
        <v>189</v>
      </c>
    </row>
    <row r="807" spans="1:2" x14ac:dyDescent="0.25">
      <c r="A807" s="183">
        <v>10126828</v>
      </c>
      <c r="B807" t="s">
        <v>3851</v>
      </c>
    </row>
    <row r="808" spans="1:2" x14ac:dyDescent="0.25">
      <c r="A808" s="263">
        <v>10029260</v>
      </c>
      <c r="B808" s="252" t="s">
        <v>2747</v>
      </c>
    </row>
    <row r="809" spans="1:2" x14ac:dyDescent="0.25">
      <c r="A809" s="183">
        <v>10100152</v>
      </c>
      <c r="B809" t="s">
        <v>2911</v>
      </c>
    </row>
    <row r="810" spans="1:2" x14ac:dyDescent="0.25">
      <c r="A810" s="183">
        <v>10128111</v>
      </c>
      <c r="B810" t="s">
        <v>3853</v>
      </c>
    </row>
    <row r="811" spans="1:2" x14ac:dyDescent="0.25">
      <c r="A811" s="183">
        <v>10001141</v>
      </c>
      <c r="B811" t="s">
        <v>2440</v>
      </c>
    </row>
    <row r="812" spans="1:2" x14ac:dyDescent="0.25">
      <c r="A812" s="183">
        <v>10001100</v>
      </c>
      <c r="B812" t="s">
        <v>1425</v>
      </c>
    </row>
    <row r="813" spans="1:2" x14ac:dyDescent="0.25">
      <c r="A813" s="183">
        <v>10100153</v>
      </c>
      <c r="B813" t="s">
        <v>2913</v>
      </c>
    </row>
    <row r="814" spans="1:2" x14ac:dyDescent="0.25">
      <c r="A814" s="183">
        <v>10011968</v>
      </c>
      <c r="B814" s="252" t="s">
        <v>1575</v>
      </c>
    </row>
    <row r="815" spans="1:2" x14ac:dyDescent="0.25">
      <c r="A815" s="183">
        <v>10011971</v>
      </c>
      <c r="B815" t="s">
        <v>2746</v>
      </c>
    </row>
    <row r="816" spans="1:2" x14ac:dyDescent="0.25">
      <c r="A816" s="183">
        <v>10083871</v>
      </c>
      <c r="B816" t="s">
        <v>2444</v>
      </c>
    </row>
    <row r="817" spans="1:2" x14ac:dyDescent="0.25">
      <c r="A817" s="183">
        <v>10079300</v>
      </c>
      <c r="B817" t="s">
        <v>2687</v>
      </c>
    </row>
    <row r="818" spans="1:2" x14ac:dyDescent="0.25">
      <c r="A818" s="183">
        <v>10079297</v>
      </c>
      <c r="B818" s="252" t="s">
        <v>2443</v>
      </c>
    </row>
    <row r="819" spans="1:2" x14ac:dyDescent="0.25">
      <c r="A819" s="183">
        <v>10001150</v>
      </c>
      <c r="B819" t="s">
        <v>175</v>
      </c>
    </row>
    <row r="820" spans="1:2" x14ac:dyDescent="0.25">
      <c r="A820" s="183">
        <v>10001887</v>
      </c>
      <c r="B820" t="s">
        <v>2741</v>
      </c>
    </row>
    <row r="821" spans="1:2" x14ac:dyDescent="0.25">
      <c r="A821" s="183">
        <v>10105911</v>
      </c>
      <c r="B821" t="s">
        <v>3667</v>
      </c>
    </row>
    <row r="822" spans="1:2" x14ac:dyDescent="0.25">
      <c r="A822" s="183">
        <v>10105909</v>
      </c>
      <c r="B822" t="s">
        <v>2138</v>
      </c>
    </row>
    <row r="823" spans="1:2" x14ac:dyDescent="0.25">
      <c r="A823" s="183">
        <v>10079290</v>
      </c>
      <c r="B823" t="s">
        <v>3847</v>
      </c>
    </row>
    <row r="824" spans="1:2" x14ac:dyDescent="0.25">
      <c r="A824" s="183">
        <v>10004675</v>
      </c>
      <c r="B824" t="s">
        <v>2446</v>
      </c>
    </row>
    <row r="825" spans="1:2" x14ac:dyDescent="0.25">
      <c r="A825" s="183">
        <v>10079293</v>
      </c>
      <c r="B825" t="s">
        <v>3849</v>
      </c>
    </row>
    <row r="826" spans="1:2" x14ac:dyDescent="0.25">
      <c r="A826" s="183">
        <v>10079291</v>
      </c>
      <c r="B826" t="s">
        <v>2445</v>
      </c>
    </row>
    <row r="827" spans="1:2" x14ac:dyDescent="0.25">
      <c r="A827" s="183">
        <v>10001110</v>
      </c>
      <c r="B827" t="s">
        <v>155</v>
      </c>
    </row>
    <row r="828" spans="1:2" x14ac:dyDescent="0.25">
      <c r="A828" s="183">
        <v>10001855</v>
      </c>
      <c r="B828" t="s">
        <v>2731</v>
      </c>
    </row>
    <row r="829" spans="1:2" x14ac:dyDescent="0.25">
      <c r="A829" s="183">
        <v>10001796</v>
      </c>
      <c r="B829" t="s">
        <v>147</v>
      </c>
    </row>
    <row r="830" spans="1:2" x14ac:dyDescent="0.25">
      <c r="A830" s="183">
        <v>10123486</v>
      </c>
      <c r="B830" t="s">
        <v>598</v>
      </c>
    </row>
    <row r="831" spans="1:2" x14ac:dyDescent="0.25">
      <c r="A831" s="183">
        <v>10001176</v>
      </c>
      <c r="B831" t="s">
        <v>2454</v>
      </c>
    </row>
    <row r="832" spans="1:2" x14ac:dyDescent="0.25">
      <c r="A832" s="183">
        <v>10021991</v>
      </c>
      <c r="B832" t="s">
        <v>3658</v>
      </c>
    </row>
    <row r="833" spans="1:2" x14ac:dyDescent="0.25">
      <c r="A833" s="183">
        <v>10021992</v>
      </c>
      <c r="B833" t="s">
        <v>3271</v>
      </c>
    </row>
    <row r="834" spans="1:2" x14ac:dyDescent="0.25">
      <c r="A834" s="183">
        <v>10021990</v>
      </c>
      <c r="B834" t="s">
        <v>3270</v>
      </c>
    </row>
    <row r="835" spans="1:2" x14ac:dyDescent="0.25">
      <c r="A835" s="183">
        <v>10021993</v>
      </c>
      <c r="B835" t="s">
        <v>3272</v>
      </c>
    </row>
    <row r="836" spans="1:2" x14ac:dyDescent="0.25">
      <c r="A836" s="183">
        <v>20000042</v>
      </c>
      <c r="B836" t="s">
        <v>3045</v>
      </c>
    </row>
    <row r="837" spans="1:2" x14ac:dyDescent="0.25">
      <c r="A837" s="183">
        <v>10030100</v>
      </c>
      <c r="B837" t="s">
        <v>3352</v>
      </c>
    </row>
    <row r="838" spans="1:2" x14ac:dyDescent="0.25">
      <c r="A838" s="183">
        <v>10120586</v>
      </c>
      <c r="B838" t="s">
        <v>4055</v>
      </c>
    </row>
    <row r="839" spans="1:2" x14ac:dyDescent="0.25">
      <c r="A839" s="183">
        <v>10000252</v>
      </c>
      <c r="B839" t="s">
        <v>3096</v>
      </c>
    </row>
    <row r="840" spans="1:2" x14ac:dyDescent="0.25">
      <c r="A840" s="183">
        <v>10000250</v>
      </c>
      <c r="B840" t="s">
        <v>594</v>
      </c>
    </row>
    <row r="841" spans="1:2" x14ac:dyDescent="0.25">
      <c r="A841" s="183">
        <v>10064021</v>
      </c>
      <c r="B841" t="s">
        <v>3351</v>
      </c>
    </row>
    <row r="842" spans="1:2" x14ac:dyDescent="0.25">
      <c r="A842" s="183">
        <v>10012925</v>
      </c>
      <c r="B842" t="s">
        <v>3098</v>
      </c>
    </row>
    <row r="843" spans="1:2" x14ac:dyDescent="0.25">
      <c r="A843" s="183">
        <v>10127330</v>
      </c>
      <c r="B843" t="s">
        <v>3769</v>
      </c>
    </row>
    <row r="844" spans="1:2" x14ac:dyDescent="0.25">
      <c r="A844" s="183">
        <v>10001195</v>
      </c>
      <c r="B844" t="s">
        <v>143</v>
      </c>
    </row>
    <row r="845" spans="1:2" x14ac:dyDescent="0.25">
      <c r="A845" s="183">
        <v>10122305</v>
      </c>
      <c r="B845" t="s">
        <v>3657</v>
      </c>
    </row>
    <row r="846" spans="1:2" x14ac:dyDescent="0.25">
      <c r="A846" s="183">
        <v>10083297</v>
      </c>
      <c r="B846" t="s">
        <v>1421</v>
      </c>
    </row>
    <row r="847" spans="1:2" x14ac:dyDescent="0.25">
      <c r="A847" s="183">
        <v>10006261</v>
      </c>
      <c r="B847" t="s">
        <v>1423</v>
      </c>
    </row>
    <row r="848" spans="1:2" x14ac:dyDescent="0.25">
      <c r="A848" s="183">
        <v>10001091</v>
      </c>
      <c r="B848" t="s">
        <v>153</v>
      </c>
    </row>
    <row r="849" spans="1:2" x14ac:dyDescent="0.25">
      <c r="A849" s="183">
        <v>10001858</v>
      </c>
      <c r="B849" t="s">
        <v>2730</v>
      </c>
    </row>
    <row r="850" spans="1:2" x14ac:dyDescent="0.25">
      <c r="A850" s="183">
        <v>10001122</v>
      </c>
      <c r="B850" t="s">
        <v>159</v>
      </c>
    </row>
    <row r="851" spans="1:2" x14ac:dyDescent="0.25">
      <c r="A851" s="183">
        <v>10001882</v>
      </c>
      <c r="B851" t="s">
        <v>2733</v>
      </c>
    </row>
    <row r="852" spans="1:2" x14ac:dyDescent="0.25">
      <c r="A852" s="183">
        <v>10057516</v>
      </c>
      <c r="B852" t="s">
        <v>177</v>
      </c>
    </row>
    <row r="853" spans="1:2" x14ac:dyDescent="0.25">
      <c r="A853" s="183">
        <v>10001797</v>
      </c>
      <c r="B853" t="s">
        <v>149</v>
      </c>
    </row>
    <row r="854" spans="1:2" x14ac:dyDescent="0.25">
      <c r="A854" s="183">
        <v>10127333</v>
      </c>
      <c r="B854" t="s">
        <v>3770</v>
      </c>
    </row>
    <row r="855" spans="1:2" x14ac:dyDescent="0.25">
      <c r="A855" s="183">
        <v>10001625</v>
      </c>
      <c r="B855" s="252" t="s">
        <v>145</v>
      </c>
    </row>
    <row r="856" spans="1:2" x14ac:dyDescent="0.25">
      <c r="A856" s="183">
        <v>10000039</v>
      </c>
      <c r="B856" t="s">
        <v>1302</v>
      </c>
    </row>
    <row r="857" spans="1:2" x14ac:dyDescent="0.25">
      <c r="A857" s="183">
        <v>10069058</v>
      </c>
      <c r="B857" t="s">
        <v>403</v>
      </c>
    </row>
    <row r="858" spans="1:2" x14ac:dyDescent="0.25">
      <c r="A858" s="263">
        <v>10002882</v>
      </c>
      <c r="B858" s="252" t="s">
        <v>2476</v>
      </c>
    </row>
    <row r="859" spans="1:2" x14ac:dyDescent="0.25">
      <c r="A859" s="183">
        <v>10002880</v>
      </c>
      <c r="B859" t="s">
        <v>399</v>
      </c>
    </row>
    <row r="860" spans="1:2" x14ac:dyDescent="0.25">
      <c r="A860" s="183">
        <v>10002883</v>
      </c>
      <c r="B860" t="s">
        <v>401</v>
      </c>
    </row>
    <row r="861" spans="1:2" x14ac:dyDescent="0.25">
      <c r="A861" s="183">
        <v>10001121</v>
      </c>
      <c r="B861" t="s">
        <v>181</v>
      </c>
    </row>
    <row r="862" spans="1:2" x14ac:dyDescent="0.25">
      <c r="A862" s="183">
        <v>10001134</v>
      </c>
      <c r="B862" t="s">
        <v>1290</v>
      </c>
    </row>
    <row r="863" spans="1:2" x14ac:dyDescent="0.25">
      <c r="A863" s="183">
        <v>10001129</v>
      </c>
      <c r="B863" t="s">
        <v>167</v>
      </c>
    </row>
    <row r="864" spans="1:2" x14ac:dyDescent="0.25">
      <c r="A864" s="183">
        <v>10001895</v>
      </c>
      <c r="B864" t="s">
        <v>2736</v>
      </c>
    </row>
    <row r="865" spans="1:2" x14ac:dyDescent="0.25">
      <c r="A865" s="183">
        <v>10001113</v>
      </c>
      <c r="B865" t="s">
        <v>2705</v>
      </c>
    </row>
    <row r="866" spans="1:2" x14ac:dyDescent="0.25">
      <c r="A866" s="183">
        <v>10081259</v>
      </c>
      <c r="B866" t="s">
        <v>2964</v>
      </c>
    </row>
    <row r="867" spans="1:2" x14ac:dyDescent="0.25">
      <c r="A867" s="183">
        <v>10001123</v>
      </c>
      <c r="B867" t="s">
        <v>185</v>
      </c>
    </row>
    <row r="868" spans="1:2" x14ac:dyDescent="0.25">
      <c r="A868" s="183">
        <v>10001889</v>
      </c>
      <c r="B868" t="s">
        <v>2744</v>
      </c>
    </row>
    <row r="869" spans="1:2" x14ac:dyDescent="0.25">
      <c r="A869" s="183">
        <v>10000041</v>
      </c>
      <c r="B869" t="s">
        <v>1297</v>
      </c>
    </row>
    <row r="870" spans="1:2" x14ac:dyDescent="0.25">
      <c r="A870" s="183">
        <v>10001111</v>
      </c>
      <c r="B870" t="s">
        <v>191</v>
      </c>
    </row>
    <row r="871" spans="1:2" x14ac:dyDescent="0.25">
      <c r="A871" s="263">
        <v>10029261</v>
      </c>
      <c r="B871" s="252" t="s">
        <v>2749</v>
      </c>
    </row>
    <row r="872" spans="1:2" x14ac:dyDescent="0.25">
      <c r="A872" s="183">
        <v>10001127</v>
      </c>
      <c r="B872" t="s">
        <v>183</v>
      </c>
    </row>
    <row r="873" spans="1:2" x14ac:dyDescent="0.25">
      <c r="A873" s="183">
        <v>10001892</v>
      </c>
      <c r="B873" t="s">
        <v>2743</v>
      </c>
    </row>
    <row r="874" spans="1:2" x14ac:dyDescent="0.25">
      <c r="A874" s="183">
        <v>10001124</v>
      </c>
      <c r="B874" t="s">
        <v>2996</v>
      </c>
    </row>
    <row r="875" spans="1:2" x14ac:dyDescent="0.25">
      <c r="A875" s="183">
        <v>10002881</v>
      </c>
      <c r="B875" t="s">
        <v>2482</v>
      </c>
    </row>
    <row r="876" spans="1:2" x14ac:dyDescent="0.25">
      <c r="A876" s="183">
        <v>10002878</v>
      </c>
      <c r="B876" t="s">
        <v>2486</v>
      </c>
    </row>
    <row r="877" spans="1:2" x14ac:dyDescent="0.25">
      <c r="A877" s="263">
        <v>10002876</v>
      </c>
      <c r="B877" s="252" t="s">
        <v>405</v>
      </c>
    </row>
    <row r="878" spans="1:2" x14ac:dyDescent="0.25">
      <c r="A878" s="263">
        <v>10002877</v>
      </c>
      <c r="B878" s="252" t="s">
        <v>2484</v>
      </c>
    </row>
    <row r="879" spans="1:2" x14ac:dyDescent="0.25">
      <c r="A879" s="183">
        <v>10068816</v>
      </c>
      <c r="B879" t="s">
        <v>2480</v>
      </c>
    </row>
    <row r="880" spans="1:2" x14ac:dyDescent="0.25">
      <c r="A880" s="183">
        <v>10002874</v>
      </c>
      <c r="B880" t="s">
        <v>2474</v>
      </c>
    </row>
    <row r="881" spans="1:2" x14ac:dyDescent="0.25">
      <c r="A881" s="183">
        <v>10000562</v>
      </c>
      <c r="B881" t="s">
        <v>407</v>
      </c>
    </row>
    <row r="882" spans="1:2" x14ac:dyDescent="0.25">
      <c r="A882" s="183">
        <v>10002875</v>
      </c>
      <c r="B882" t="s">
        <v>2478</v>
      </c>
    </row>
    <row r="883" spans="1:2" x14ac:dyDescent="0.25">
      <c r="A883" s="183">
        <v>10001120</v>
      </c>
      <c r="B883" t="s">
        <v>179</v>
      </c>
    </row>
    <row r="884" spans="1:2" x14ac:dyDescent="0.25">
      <c r="A884" s="263">
        <v>10001890</v>
      </c>
      <c r="B884" s="252" t="s">
        <v>2742</v>
      </c>
    </row>
    <row r="885" spans="1:2" x14ac:dyDescent="0.25">
      <c r="A885" s="183">
        <v>10001751</v>
      </c>
      <c r="B885" t="s">
        <v>163</v>
      </c>
    </row>
    <row r="886" spans="1:2" x14ac:dyDescent="0.25">
      <c r="A886" s="183">
        <v>10001704</v>
      </c>
      <c r="B886" t="s">
        <v>171</v>
      </c>
    </row>
    <row r="887" spans="1:2" x14ac:dyDescent="0.25">
      <c r="A887" s="183">
        <v>10022241</v>
      </c>
      <c r="B887" t="s">
        <v>2738</v>
      </c>
    </row>
    <row r="888" spans="1:2" x14ac:dyDescent="0.25">
      <c r="A888" s="183">
        <v>10087783</v>
      </c>
      <c r="B888" t="s">
        <v>173</v>
      </c>
    </row>
    <row r="889" spans="1:2" x14ac:dyDescent="0.25">
      <c r="A889" s="183">
        <v>10088075</v>
      </c>
      <c r="B889" t="s">
        <v>2740</v>
      </c>
    </row>
    <row r="890" spans="1:2" x14ac:dyDescent="0.25">
      <c r="A890" s="183">
        <v>10001130</v>
      </c>
      <c r="B890" t="s">
        <v>165</v>
      </c>
    </row>
    <row r="891" spans="1:2" x14ac:dyDescent="0.25">
      <c r="A891" s="183">
        <v>10001894</v>
      </c>
      <c r="B891" t="s">
        <v>2735</v>
      </c>
    </row>
    <row r="892" spans="1:2" x14ac:dyDescent="0.25">
      <c r="A892" s="183">
        <v>10000045</v>
      </c>
      <c r="B892" t="s">
        <v>1292</v>
      </c>
    </row>
    <row r="893" spans="1:2" x14ac:dyDescent="0.25">
      <c r="A893" s="183">
        <v>10036212</v>
      </c>
      <c r="B893" t="s">
        <v>2739</v>
      </c>
    </row>
    <row r="894" spans="1:2" x14ac:dyDescent="0.25">
      <c r="A894" s="183">
        <v>10087800</v>
      </c>
      <c r="B894" t="s">
        <v>1295</v>
      </c>
    </row>
    <row r="895" spans="1:2" x14ac:dyDescent="0.25">
      <c r="A895" s="183">
        <v>10001705</v>
      </c>
      <c r="B895" t="s">
        <v>169</v>
      </c>
    </row>
    <row r="896" spans="1:2" x14ac:dyDescent="0.25">
      <c r="A896" s="263">
        <v>10022242</v>
      </c>
      <c r="B896" s="252" t="s">
        <v>2737</v>
      </c>
    </row>
    <row r="897" spans="1:2" x14ac:dyDescent="0.25">
      <c r="A897" s="263">
        <v>10120687</v>
      </c>
      <c r="B897" s="252" t="s">
        <v>3794</v>
      </c>
    </row>
    <row r="898" spans="1:2" x14ac:dyDescent="0.25">
      <c r="A898" s="183">
        <v>10133175</v>
      </c>
      <c r="B898" t="s">
        <v>4112</v>
      </c>
    </row>
    <row r="899" spans="1:2" x14ac:dyDescent="0.25">
      <c r="A899" s="263">
        <v>10023919</v>
      </c>
      <c r="B899" s="252" t="s">
        <v>2745</v>
      </c>
    </row>
    <row r="900" spans="1:2" x14ac:dyDescent="0.25">
      <c r="A900" s="263">
        <v>10027683</v>
      </c>
      <c r="B900" s="252" t="s">
        <v>187</v>
      </c>
    </row>
    <row r="901" spans="1:2" x14ac:dyDescent="0.25">
      <c r="A901" s="263">
        <v>10001112</v>
      </c>
      <c r="B901" s="252" t="s">
        <v>2703</v>
      </c>
    </row>
    <row r="902" spans="1:2" x14ac:dyDescent="0.25">
      <c r="A902" s="183">
        <v>10123484</v>
      </c>
      <c r="B902" t="s">
        <v>599</v>
      </c>
    </row>
    <row r="903" spans="1:2" x14ac:dyDescent="0.25">
      <c r="A903" s="263">
        <v>20001385</v>
      </c>
      <c r="B903" s="252" t="s">
        <v>442</v>
      </c>
    </row>
    <row r="904" spans="1:2" x14ac:dyDescent="0.25">
      <c r="A904" s="183">
        <v>20001374</v>
      </c>
      <c r="B904" t="s">
        <v>1452</v>
      </c>
    </row>
    <row r="905" spans="1:2" x14ac:dyDescent="0.25">
      <c r="A905" s="183">
        <v>20001379</v>
      </c>
      <c r="B905" t="s">
        <v>444</v>
      </c>
    </row>
    <row r="906" spans="1:2" x14ac:dyDescent="0.25">
      <c r="A906" s="183">
        <v>20001380</v>
      </c>
      <c r="B906" t="s">
        <v>1450</v>
      </c>
    </row>
    <row r="907" spans="1:2" x14ac:dyDescent="0.25">
      <c r="A907" s="183">
        <v>20001377</v>
      </c>
      <c r="B907" t="s">
        <v>1455</v>
      </c>
    </row>
    <row r="908" spans="1:2" x14ac:dyDescent="0.25">
      <c r="A908" s="183">
        <v>20000449</v>
      </c>
      <c r="B908" t="s">
        <v>2906</v>
      </c>
    </row>
    <row r="909" spans="1:2" x14ac:dyDescent="0.25">
      <c r="A909" s="263">
        <v>20001378</v>
      </c>
      <c r="B909" s="252" t="s">
        <v>436</v>
      </c>
    </row>
    <row r="910" spans="1:2" x14ac:dyDescent="0.25">
      <c r="A910" s="263">
        <v>20001375</v>
      </c>
      <c r="B910" s="252" t="s">
        <v>438</v>
      </c>
    </row>
    <row r="911" spans="1:2" x14ac:dyDescent="0.25">
      <c r="A911" s="183">
        <v>20001392</v>
      </c>
      <c r="B911" t="s">
        <v>440</v>
      </c>
    </row>
    <row r="912" spans="1:2" x14ac:dyDescent="0.25">
      <c r="A912" s="183">
        <v>20004179</v>
      </c>
      <c r="B912" t="s">
        <v>3090</v>
      </c>
    </row>
    <row r="913" spans="1:2" x14ac:dyDescent="0.25">
      <c r="A913" s="183">
        <v>20004228</v>
      </c>
      <c r="B913" t="s">
        <v>3088</v>
      </c>
    </row>
    <row r="914" spans="1:2" x14ac:dyDescent="0.25">
      <c r="A914" s="183">
        <v>20027930</v>
      </c>
      <c r="B914" t="s">
        <v>2664</v>
      </c>
    </row>
    <row r="915" spans="1:2" x14ac:dyDescent="0.25">
      <c r="A915" s="183">
        <v>20000538</v>
      </c>
      <c r="B915" t="s">
        <v>2665</v>
      </c>
    </row>
    <row r="916" spans="1:2" x14ac:dyDescent="0.25">
      <c r="A916" s="183">
        <v>10001415</v>
      </c>
      <c r="B916" t="s">
        <v>217</v>
      </c>
    </row>
    <row r="917" spans="1:2" x14ac:dyDescent="0.25">
      <c r="A917" s="183">
        <v>10078452</v>
      </c>
      <c r="B917" t="s">
        <v>2822</v>
      </c>
    </row>
    <row r="918" spans="1:2" x14ac:dyDescent="0.25">
      <c r="A918" s="263">
        <v>10083794</v>
      </c>
      <c r="B918" s="252" t="s">
        <v>1579</v>
      </c>
    </row>
    <row r="919" spans="1:2" x14ac:dyDescent="0.25">
      <c r="A919" s="183">
        <v>10001417</v>
      </c>
      <c r="B919" t="s">
        <v>229</v>
      </c>
    </row>
    <row r="920" spans="1:2" x14ac:dyDescent="0.25">
      <c r="A920" s="183">
        <v>10001437</v>
      </c>
      <c r="B920" t="s">
        <v>225</v>
      </c>
    </row>
    <row r="921" spans="1:2" x14ac:dyDescent="0.25">
      <c r="A921" s="183">
        <v>10078451</v>
      </c>
      <c r="B921" t="s">
        <v>2824</v>
      </c>
    </row>
    <row r="922" spans="1:2" x14ac:dyDescent="0.25">
      <c r="A922" s="183">
        <v>10002245</v>
      </c>
      <c r="B922" t="s">
        <v>1310</v>
      </c>
    </row>
    <row r="923" spans="1:2" x14ac:dyDescent="0.25">
      <c r="A923" s="183">
        <v>10089515</v>
      </c>
      <c r="B923" t="s">
        <v>1590</v>
      </c>
    </row>
    <row r="924" spans="1:2" x14ac:dyDescent="0.25">
      <c r="A924" s="183">
        <v>10105874</v>
      </c>
      <c r="B924" t="s">
        <v>1591</v>
      </c>
    </row>
    <row r="925" spans="1:2" x14ac:dyDescent="0.25">
      <c r="A925" s="183">
        <v>10000094</v>
      </c>
      <c r="B925" t="s">
        <v>1435</v>
      </c>
    </row>
    <row r="926" spans="1:2" x14ac:dyDescent="0.25">
      <c r="A926" s="183">
        <v>10070593</v>
      </c>
      <c r="B926" t="s">
        <v>1592</v>
      </c>
    </row>
    <row r="927" spans="1:2" x14ac:dyDescent="0.25">
      <c r="A927" s="183">
        <v>10001453</v>
      </c>
      <c r="B927" t="s">
        <v>265</v>
      </c>
    </row>
    <row r="928" spans="1:2" x14ac:dyDescent="0.25">
      <c r="A928" s="183">
        <v>10001602</v>
      </c>
      <c r="B928" t="s">
        <v>278</v>
      </c>
    </row>
    <row r="929" spans="1:2" x14ac:dyDescent="0.25">
      <c r="A929" s="183">
        <v>10121412</v>
      </c>
      <c r="B929" t="s">
        <v>1073</v>
      </c>
    </row>
    <row r="930" spans="1:2" x14ac:dyDescent="0.25">
      <c r="A930" s="183">
        <v>10001470</v>
      </c>
      <c r="B930" t="s">
        <v>267</v>
      </c>
    </row>
    <row r="931" spans="1:2" x14ac:dyDescent="0.25">
      <c r="A931" s="183">
        <v>10011973</v>
      </c>
      <c r="B931" t="s">
        <v>1577</v>
      </c>
    </row>
    <row r="932" spans="1:2" x14ac:dyDescent="0.25">
      <c r="A932" s="183">
        <v>10026329</v>
      </c>
      <c r="B932" t="s">
        <v>1588</v>
      </c>
    </row>
    <row r="933" spans="1:2" x14ac:dyDescent="0.25">
      <c r="A933" s="183">
        <v>10081257</v>
      </c>
      <c r="B933" t="s">
        <v>251</v>
      </c>
    </row>
    <row r="934" spans="1:2" x14ac:dyDescent="0.25">
      <c r="A934" s="183">
        <v>10126466</v>
      </c>
      <c r="B934" t="s">
        <v>3959</v>
      </c>
    </row>
    <row r="935" spans="1:2" x14ac:dyDescent="0.25">
      <c r="A935" s="183">
        <v>10001595</v>
      </c>
      <c r="B935" t="s">
        <v>247</v>
      </c>
    </row>
    <row r="936" spans="1:2" x14ac:dyDescent="0.25">
      <c r="A936" s="183">
        <v>20004221</v>
      </c>
      <c r="B936" t="s">
        <v>2856</v>
      </c>
    </row>
    <row r="937" spans="1:2" x14ac:dyDescent="0.25">
      <c r="A937" s="183">
        <v>10001487</v>
      </c>
      <c r="B937" t="s">
        <v>243</v>
      </c>
    </row>
    <row r="938" spans="1:2" x14ac:dyDescent="0.25">
      <c r="A938" s="183">
        <v>10078450</v>
      </c>
      <c r="B938" t="s">
        <v>2826</v>
      </c>
    </row>
    <row r="939" spans="1:2" x14ac:dyDescent="0.25">
      <c r="A939" s="183">
        <v>10105907</v>
      </c>
      <c r="B939" t="s">
        <v>1104</v>
      </c>
    </row>
    <row r="940" spans="1:2" x14ac:dyDescent="0.25">
      <c r="A940" s="183">
        <v>10105906</v>
      </c>
      <c r="B940" t="s">
        <v>4047</v>
      </c>
    </row>
    <row r="941" spans="1:2" x14ac:dyDescent="0.25">
      <c r="A941" s="183">
        <v>10000109</v>
      </c>
      <c r="B941" t="s">
        <v>2838</v>
      </c>
    </row>
    <row r="942" spans="1:2" x14ac:dyDescent="0.25">
      <c r="A942" s="183">
        <v>20004219</v>
      </c>
      <c r="B942" t="s">
        <v>2854</v>
      </c>
    </row>
    <row r="943" spans="1:2" x14ac:dyDescent="0.25">
      <c r="A943" s="183">
        <v>10001489</v>
      </c>
      <c r="B943" t="s">
        <v>2834</v>
      </c>
    </row>
    <row r="944" spans="1:2" x14ac:dyDescent="0.25">
      <c r="A944" s="183">
        <v>20004216</v>
      </c>
      <c r="B944" t="s">
        <v>2855</v>
      </c>
    </row>
    <row r="945" spans="1:2" x14ac:dyDescent="0.25">
      <c r="A945" s="183">
        <v>10001766</v>
      </c>
      <c r="B945" t="s">
        <v>2836</v>
      </c>
    </row>
    <row r="946" spans="1:2" x14ac:dyDescent="0.25">
      <c r="A946" s="183">
        <v>20004217</v>
      </c>
      <c r="B946" t="s">
        <v>2853</v>
      </c>
    </row>
    <row r="947" spans="1:2" x14ac:dyDescent="0.25">
      <c r="A947" s="183">
        <v>10001486</v>
      </c>
      <c r="B947" t="s">
        <v>2832</v>
      </c>
    </row>
    <row r="948" spans="1:2" x14ac:dyDescent="0.25">
      <c r="A948" s="183">
        <v>10001490</v>
      </c>
      <c r="B948" t="s">
        <v>2840</v>
      </c>
    </row>
    <row r="949" spans="1:2" x14ac:dyDescent="0.25">
      <c r="A949" s="183">
        <v>10006263</v>
      </c>
      <c r="B949" t="s">
        <v>2830</v>
      </c>
    </row>
    <row r="950" spans="1:2" x14ac:dyDescent="0.25">
      <c r="A950" s="183">
        <v>10001460</v>
      </c>
      <c r="B950" t="s">
        <v>2450</v>
      </c>
    </row>
    <row r="951" spans="1:2" x14ac:dyDescent="0.25">
      <c r="A951" s="183">
        <v>10001459</v>
      </c>
      <c r="B951" t="s">
        <v>2452</v>
      </c>
    </row>
    <row r="952" spans="1:2" x14ac:dyDescent="0.25">
      <c r="A952" s="183">
        <v>10001458</v>
      </c>
      <c r="B952" t="s">
        <v>2448</v>
      </c>
    </row>
    <row r="953" spans="1:2" x14ac:dyDescent="0.25">
      <c r="A953" s="183">
        <v>10000088</v>
      </c>
      <c r="B953" t="s">
        <v>1433</v>
      </c>
    </row>
    <row r="954" spans="1:2" x14ac:dyDescent="0.25">
      <c r="A954" s="183">
        <v>10001419</v>
      </c>
      <c r="B954" t="s">
        <v>221</v>
      </c>
    </row>
    <row r="955" spans="1:2" x14ac:dyDescent="0.25">
      <c r="A955" s="183">
        <v>10083961</v>
      </c>
      <c r="B955" t="s">
        <v>1580</v>
      </c>
    </row>
    <row r="956" spans="1:2" x14ac:dyDescent="0.25">
      <c r="A956" s="183">
        <v>10001798</v>
      </c>
      <c r="B956" t="s">
        <v>213</v>
      </c>
    </row>
    <row r="957" spans="1:2" x14ac:dyDescent="0.25">
      <c r="A957" s="183">
        <v>10001606</v>
      </c>
      <c r="B957" t="s">
        <v>273</v>
      </c>
    </row>
    <row r="958" spans="1:2" x14ac:dyDescent="0.25">
      <c r="A958" s="183">
        <v>10006385</v>
      </c>
      <c r="B958" t="s">
        <v>1595</v>
      </c>
    </row>
    <row r="959" spans="1:2" x14ac:dyDescent="0.25">
      <c r="A959" s="183">
        <v>10120765</v>
      </c>
      <c r="B959" t="s">
        <v>1075</v>
      </c>
    </row>
    <row r="960" spans="1:2" x14ac:dyDescent="0.25">
      <c r="A960" s="263">
        <v>10001576</v>
      </c>
      <c r="B960" s="252" t="s">
        <v>4166</v>
      </c>
    </row>
    <row r="961" spans="1:2" x14ac:dyDescent="0.25">
      <c r="A961" s="263">
        <v>10001585</v>
      </c>
      <c r="B961" s="252" t="s">
        <v>2462</v>
      </c>
    </row>
    <row r="962" spans="1:2" x14ac:dyDescent="0.25">
      <c r="A962" s="183">
        <v>10001586</v>
      </c>
      <c r="B962" t="s">
        <v>2460</v>
      </c>
    </row>
    <row r="963" spans="1:2" x14ac:dyDescent="0.25">
      <c r="A963" s="183">
        <v>10001580</v>
      </c>
      <c r="B963" t="s">
        <v>2456</v>
      </c>
    </row>
    <row r="964" spans="1:2" x14ac:dyDescent="0.25">
      <c r="A964" s="183">
        <v>10001587</v>
      </c>
      <c r="B964" t="s">
        <v>2464</v>
      </c>
    </row>
    <row r="965" spans="1:2" x14ac:dyDescent="0.25">
      <c r="A965" s="183">
        <v>10021983</v>
      </c>
      <c r="B965" t="s">
        <v>3275</v>
      </c>
    </row>
    <row r="966" spans="1:2" x14ac:dyDescent="0.25">
      <c r="A966" s="183">
        <v>10021981</v>
      </c>
      <c r="B966" t="s">
        <v>3274</v>
      </c>
    </row>
    <row r="967" spans="1:2" x14ac:dyDescent="0.25">
      <c r="A967" s="183">
        <v>10021984</v>
      </c>
      <c r="B967" t="s">
        <v>3276</v>
      </c>
    </row>
    <row r="968" spans="1:2" x14ac:dyDescent="0.25">
      <c r="A968" s="183">
        <v>20006831</v>
      </c>
      <c r="B968" t="s">
        <v>2847</v>
      </c>
    </row>
    <row r="969" spans="1:2" x14ac:dyDescent="0.25">
      <c r="A969" s="183">
        <v>20006833</v>
      </c>
      <c r="B969" t="s">
        <v>2843</v>
      </c>
    </row>
    <row r="970" spans="1:2" x14ac:dyDescent="0.25">
      <c r="A970" s="183">
        <v>20006835</v>
      </c>
      <c r="B970" t="s">
        <v>2851</v>
      </c>
    </row>
    <row r="971" spans="1:2" x14ac:dyDescent="0.25">
      <c r="A971" s="183">
        <v>10001422</v>
      </c>
      <c r="B971" t="s">
        <v>209</v>
      </c>
    </row>
    <row r="972" spans="1:2" x14ac:dyDescent="0.25">
      <c r="A972" s="183">
        <v>10089255</v>
      </c>
      <c r="B972" t="s">
        <v>1431</v>
      </c>
    </row>
    <row r="973" spans="1:2" x14ac:dyDescent="0.25">
      <c r="A973" s="183">
        <v>10006260</v>
      </c>
      <c r="B973" t="s">
        <v>3273</v>
      </c>
    </row>
    <row r="974" spans="1:2" x14ac:dyDescent="0.25">
      <c r="A974" s="183">
        <v>10001416</v>
      </c>
      <c r="B974" t="s">
        <v>219</v>
      </c>
    </row>
    <row r="975" spans="1:2" x14ac:dyDescent="0.25">
      <c r="A975" s="183">
        <v>10000095</v>
      </c>
      <c r="B975" t="s">
        <v>231</v>
      </c>
    </row>
    <row r="976" spans="1:2" x14ac:dyDescent="0.25">
      <c r="A976" s="183">
        <v>10001438</v>
      </c>
      <c r="B976" t="s">
        <v>227</v>
      </c>
    </row>
    <row r="977" spans="1:2" x14ac:dyDescent="0.25">
      <c r="A977" s="183">
        <v>10001596</v>
      </c>
      <c r="B977" t="s">
        <v>249</v>
      </c>
    </row>
    <row r="978" spans="1:2" x14ac:dyDescent="0.25">
      <c r="A978" s="183">
        <v>20004220</v>
      </c>
      <c r="B978" t="s">
        <v>2857</v>
      </c>
    </row>
    <row r="979" spans="1:2" x14ac:dyDescent="0.25">
      <c r="A979" s="183">
        <v>10001488</v>
      </c>
      <c r="B979" t="s">
        <v>245</v>
      </c>
    </row>
    <row r="980" spans="1:2" x14ac:dyDescent="0.25">
      <c r="A980" s="183">
        <v>10001421</v>
      </c>
      <c r="B980" t="s">
        <v>4165</v>
      </c>
    </row>
    <row r="981" spans="1:2" x14ac:dyDescent="0.25">
      <c r="A981" s="183">
        <v>10001420</v>
      </c>
      <c r="B981" t="s">
        <v>223</v>
      </c>
    </row>
    <row r="982" spans="1:2" x14ac:dyDescent="0.25">
      <c r="A982" s="183">
        <v>10001799</v>
      </c>
      <c r="B982" s="252" t="s">
        <v>215</v>
      </c>
    </row>
    <row r="983" spans="1:2" x14ac:dyDescent="0.25">
      <c r="A983" s="183">
        <v>10001577</v>
      </c>
      <c r="B983" s="252" t="s">
        <v>2458</v>
      </c>
    </row>
    <row r="984" spans="1:2" x14ac:dyDescent="0.25">
      <c r="A984" s="183">
        <v>10021980</v>
      </c>
      <c r="B984" s="252" t="s">
        <v>1598</v>
      </c>
    </row>
    <row r="985" spans="1:2" x14ac:dyDescent="0.25">
      <c r="A985" s="183">
        <v>20006832</v>
      </c>
      <c r="B985" t="s">
        <v>2849</v>
      </c>
    </row>
    <row r="986" spans="1:2" x14ac:dyDescent="0.25">
      <c r="A986" s="183">
        <v>20006834</v>
      </c>
      <c r="B986" t="s">
        <v>2845</v>
      </c>
    </row>
    <row r="987" spans="1:2" x14ac:dyDescent="0.25">
      <c r="A987" s="183">
        <v>10001423</v>
      </c>
      <c r="B987" s="252" t="s">
        <v>211</v>
      </c>
    </row>
    <row r="988" spans="1:2" x14ac:dyDescent="0.25">
      <c r="A988" s="183">
        <v>10027339</v>
      </c>
      <c r="B988" t="s">
        <v>4167</v>
      </c>
    </row>
    <row r="989" spans="1:2" x14ac:dyDescent="0.25">
      <c r="A989" s="183">
        <v>10081250</v>
      </c>
      <c r="B989" t="s">
        <v>2758</v>
      </c>
    </row>
    <row r="990" spans="1:2" x14ac:dyDescent="0.25">
      <c r="A990" s="183">
        <v>10001426</v>
      </c>
      <c r="B990" t="s">
        <v>271</v>
      </c>
    </row>
    <row r="991" spans="1:2" x14ac:dyDescent="0.25">
      <c r="A991" s="183">
        <v>10001493</v>
      </c>
      <c r="B991" t="s">
        <v>2693</v>
      </c>
    </row>
    <row r="992" spans="1:2" x14ac:dyDescent="0.25">
      <c r="A992" s="216">
        <v>10001436</v>
      </c>
      <c r="B992" t="s">
        <v>255</v>
      </c>
    </row>
    <row r="993" spans="1:2" x14ac:dyDescent="0.25">
      <c r="A993" s="263">
        <v>10001468</v>
      </c>
      <c r="B993" s="252" t="s">
        <v>1304</v>
      </c>
    </row>
    <row r="994" spans="1:2" x14ac:dyDescent="0.25">
      <c r="A994" s="263">
        <v>10001454</v>
      </c>
      <c r="B994" s="252" t="s">
        <v>235</v>
      </c>
    </row>
    <row r="995" spans="1:2" x14ac:dyDescent="0.25">
      <c r="A995" s="183">
        <v>10001535</v>
      </c>
      <c r="B995" t="s">
        <v>1308</v>
      </c>
    </row>
    <row r="996" spans="1:2" x14ac:dyDescent="0.25">
      <c r="A996" s="183">
        <v>10081258</v>
      </c>
      <c r="B996" t="s">
        <v>2750</v>
      </c>
    </row>
    <row r="997" spans="1:2" x14ac:dyDescent="0.25">
      <c r="A997" s="183">
        <v>10027338</v>
      </c>
      <c r="B997" t="s">
        <v>4168</v>
      </c>
    </row>
    <row r="998" spans="1:2" x14ac:dyDescent="0.25">
      <c r="A998" s="183">
        <v>10001440</v>
      </c>
      <c r="B998" t="s">
        <v>259</v>
      </c>
    </row>
    <row r="999" spans="1:2" x14ac:dyDescent="0.25">
      <c r="A999" s="183">
        <v>10002348</v>
      </c>
      <c r="B999" t="s">
        <v>1594</v>
      </c>
    </row>
    <row r="1000" spans="1:2" x14ac:dyDescent="0.25">
      <c r="A1000" s="183">
        <v>10001471</v>
      </c>
      <c r="B1000" t="s">
        <v>1312</v>
      </c>
    </row>
    <row r="1001" spans="1:2" x14ac:dyDescent="0.25">
      <c r="A1001" s="183">
        <v>10001714</v>
      </c>
      <c r="B1001" t="s">
        <v>1593</v>
      </c>
    </row>
    <row r="1002" spans="1:2" x14ac:dyDescent="0.25">
      <c r="A1002" s="263">
        <v>10120771</v>
      </c>
      <c r="B1002" s="252" t="s">
        <v>1074</v>
      </c>
    </row>
    <row r="1003" spans="1:2" x14ac:dyDescent="0.25">
      <c r="A1003" s="183">
        <v>10081251</v>
      </c>
      <c r="B1003" t="s">
        <v>2756</v>
      </c>
    </row>
    <row r="1004" spans="1:2" x14ac:dyDescent="0.25">
      <c r="A1004" s="263">
        <v>10001424</v>
      </c>
      <c r="B1004" s="252" t="s">
        <v>275</v>
      </c>
    </row>
    <row r="1005" spans="1:2" x14ac:dyDescent="0.25">
      <c r="A1005" s="183">
        <v>10001597</v>
      </c>
      <c r="B1005" t="s">
        <v>279</v>
      </c>
    </row>
    <row r="1006" spans="1:2" x14ac:dyDescent="0.25">
      <c r="A1006" s="183">
        <v>10120951</v>
      </c>
      <c r="B1006" t="s">
        <v>1064</v>
      </c>
    </row>
    <row r="1007" spans="1:2" x14ac:dyDescent="0.25">
      <c r="A1007" s="183">
        <v>10120764</v>
      </c>
      <c r="B1007" t="s">
        <v>1076</v>
      </c>
    </row>
    <row r="1008" spans="1:2" x14ac:dyDescent="0.25">
      <c r="A1008" s="183">
        <v>10000096</v>
      </c>
      <c r="B1008" t="s">
        <v>257</v>
      </c>
    </row>
    <row r="1009" spans="1:2" x14ac:dyDescent="0.25">
      <c r="A1009" s="183">
        <v>10001442</v>
      </c>
      <c r="B1009" t="s">
        <v>2760</v>
      </c>
    </row>
    <row r="1010" spans="1:2" x14ac:dyDescent="0.25">
      <c r="A1010" s="183">
        <v>10001435</v>
      </c>
      <c r="B1010" t="s">
        <v>253</v>
      </c>
    </row>
    <row r="1011" spans="1:2" x14ac:dyDescent="0.25">
      <c r="A1011" s="183">
        <v>10001467</v>
      </c>
      <c r="B1011" t="s">
        <v>269</v>
      </c>
    </row>
    <row r="1012" spans="1:2" x14ac:dyDescent="0.25">
      <c r="A1012" s="183">
        <v>10033321</v>
      </c>
      <c r="B1012" t="s">
        <v>1581</v>
      </c>
    </row>
    <row r="1013" spans="1:2" x14ac:dyDescent="0.25">
      <c r="A1013" s="183">
        <v>10001712</v>
      </c>
      <c r="B1013" t="s">
        <v>239</v>
      </c>
    </row>
    <row r="1014" spans="1:2" x14ac:dyDescent="0.25">
      <c r="A1014" s="183">
        <v>10026326</v>
      </c>
      <c r="B1014" t="s">
        <v>1584</v>
      </c>
    </row>
    <row r="1015" spans="1:2" x14ac:dyDescent="0.25">
      <c r="A1015" s="183">
        <v>10120822</v>
      </c>
      <c r="B1015" t="s">
        <v>1067</v>
      </c>
    </row>
    <row r="1016" spans="1:2" x14ac:dyDescent="0.25">
      <c r="A1016" s="183">
        <v>10120770</v>
      </c>
      <c r="B1016" t="s">
        <v>1079</v>
      </c>
    </row>
    <row r="1017" spans="1:2" x14ac:dyDescent="0.25">
      <c r="A1017" s="183">
        <v>10087793</v>
      </c>
      <c r="B1017" t="s">
        <v>241</v>
      </c>
    </row>
    <row r="1018" spans="1:2" x14ac:dyDescent="0.25">
      <c r="A1018" s="183">
        <v>10119485</v>
      </c>
      <c r="B1018" t="s">
        <v>1586</v>
      </c>
    </row>
    <row r="1019" spans="1:2" x14ac:dyDescent="0.25">
      <c r="A1019" s="183">
        <v>10001455</v>
      </c>
      <c r="B1019" t="s">
        <v>233</v>
      </c>
    </row>
    <row r="1020" spans="1:2" x14ac:dyDescent="0.25">
      <c r="A1020" s="183">
        <v>10078453</v>
      </c>
      <c r="B1020" t="s">
        <v>2828</v>
      </c>
    </row>
    <row r="1021" spans="1:2" x14ac:dyDescent="0.25">
      <c r="A1021" s="183">
        <v>10088173</v>
      </c>
      <c r="B1021" s="252" t="s">
        <v>1582</v>
      </c>
    </row>
    <row r="1022" spans="1:2" x14ac:dyDescent="0.25">
      <c r="A1022" s="183">
        <v>10120952</v>
      </c>
      <c r="B1022" t="s">
        <v>1065</v>
      </c>
    </row>
    <row r="1023" spans="1:2" x14ac:dyDescent="0.25">
      <c r="A1023" s="216">
        <v>10120772</v>
      </c>
      <c r="B1023" s="217" t="s">
        <v>1077</v>
      </c>
    </row>
    <row r="1024" spans="1:2" x14ac:dyDescent="0.25">
      <c r="A1024" s="183">
        <v>10133230</v>
      </c>
      <c r="B1024" s="252" t="s">
        <v>4020</v>
      </c>
    </row>
    <row r="1025" spans="1:2" x14ac:dyDescent="0.25">
      <c r="A1025" s="183">
        <v>10128280</v>
      </c>
      <c r="B1025" t="s">
        <v>3784</v>
      </c>
    </row>
    <row r="1026" spans="1:2" x14ac:dyDescent="0.25">
      <c r="A1026" s="263">
        <v>10120769</v>
      </c>
      <c r="B1026" s="252" t="s">
        <v>1081</v>
      </c>
    </row>
    <row r="1027" spans="1:2" x14ac:dyDescent="0.25">
      <c r="A1027" s="183">
        <v>10002707</v>
      </c>
      <c r="B1027" t="s">
        <v>2695</v>
      </c>
    </row>
    <row r="1028" spans="1:2" x14ac:dyDescent="0.25">
      <c r="A1028" s="183">
        <v>10063204</v>
      </c>
      <c r="B1028" t="s">
        <v>1585</v>
      </c>
    </row>
    <row r="1029" spans="1:2" x14ac:dyDescent="0.25">
      <c r="A1029" s="183">
        <v>10120823</v>
      </c>
      <c r="B1029" t="s">
        <v>1068</v>
      </c>
    </row>
    <row r="1030" spans="1:2" x14ac:dyDescent="0.25">
      <c r="A1030" s="183">
        <v>10120766</v>
      </c>
      <c r="B1030" t="s">
        <v>1080</v>
      </c>
    </row>
    <row r="1031" spans="1:2" x14ac:dyDescent="0.25">
      <c r="A1031" s="263">
        <v>10087801</v>
      </c>
      <c r="B1031" s="252" t="s">
        <v>2697</v>
      </c>
    </row>
    <row r="1032" spans="1:2" x14ac:dyDescent="0.25">
      <c r="A1032" s="183">
        <v>10119486</v>
      </c>
      <c r="B1032" t="s">
        <v>1587</v>
      </c>
    </row>
    <row r="1033" spans="1:2" x14ac:dyDescent="0.25">
      <c r="A1033" s="263">
        <v>10001713</v>
      </c>
      <c r="B1033" s="252" t="s">
        <v>237</v>
      </c>
    </row>
    <row r="1034" spans="1:2" x14ac:dyDescent="0.25">
      <c r="A1034" s="183">
        <v>10026324</v>
      </c>
      <c r="B1034" t="s">
        <v>1583</v>
      </c>
    </row>
    <row r="1035" spans="1:2" x14ac:dyDescent="0.25">
      <c r="A1035" s="183">
        <v>10120821</v>
      </c>
      <c r="B1035" t="s">
        <v>1066</v>
      </c>
    </row>
    <row r="1036" spans="1:2" x14ac:dyDescent="0.25">
      <c r="A1036" s="183">
        <v>10120767</v>
      </c>
      <c r="B1036" t="s">
        <v>1078</v>
      </c>
    </row>
    <row r="1037" spans="1:2" x14ac:dyDescent="0.25">
      <c r="A1037" s="263">
        <v>10120686</v>
      </c>
      <c r="B1037" s="252" t="s">
        <v>4056</v>
      </c>
    </row>
    <row r="1038" spans="1:2" x14ac:dyDescent="0.25">
      <c r="A1038" s="183">
        <v>10133232</v>
      </c>
      <c r="B1038" t="s">
        <v>4023</v>
      </c>
    </row>
    <row r="1039" spans="1:2" x14ac:dyDescent="0.25">
      <c r="A1039" s="263">
        <v>10001469</v>
      </c>
      <c r="B1039" s="252" t="s">
        <v>263</v>
      </c>
    </row>
    <row r="1040" spans="1:2" x14ac:dyDescent="0.25">
      <c r="A1040" s="183">
        <v>10044944</v>
      </c>
      <c r="B1040" t="s">
        <v>1589</v>
      </c>
    </row>
    <row r="1041" spans="1:2" x14ac:dyDescent="0.25">
      <c r="A1041" s="183">
        <v>10121439</v>
      </c>
      <c r="B1041" t="s">
        <v>1072</v>
      </c>
    </row>
    <row r="1042" spans="1:2" x14ac:dyDescent="0.25">
      <c r="A1042" s="263">
        <v>10023918</v>
      </c>
      <c r="B1042" s="252" t="s">
        <v>261</v>
      </c>
    </row>
    <row r="1043" spans="1:2" x14ac:dyDescent="0.25">
      <c r="A1043" s="183">
        <v>10023922</v>
      </c>
      <c r="B1043" t="s">
        <v>277</v>
      </c>
    </row>
    <row r="1044" spans="1:2" x14ac:dyDescent="0.25">
      <c r="A1044" s="183">
        <v>10023921</v>
      </c>
      <c r="B1044" t="s">
        <v>1063</v>
      </c>
    </row>
    <row r="1045" spans="1:2" x14ac:dyDescent="0.25">
      <c r="A1045" s="183">
        <v>10120768</v>
      </c>
      <c r="B1045" t="s">
        <v>1071</v>
      </c>
    </row>
    <row r="1046" spans="1:2" x14ac:dyDescent="0.25">
      <c r="A1046" s="263">
        <v>10002268</v>
      </c>
      <c r="B1046" s="252" t="s">
        <v>2762</v>
      </c>
    </row>
    <row r="1047" spans="1:2" x14ac:dyDescent="0.25">
      <c r="A1047" s="263">
        <v>10000098</v>
      </c>
      <c r="B1047" s="252" t="s">
        <v>1306</v>
      </c>
    </row>
    <row r="1048" spans="1:2" x14ac:dyDescent="0.25">
      <c r="A1048" s="263">
        <v>20028249</v>
      </c>
      <c r="B1048" s="252" t="s">
        <v>1232</v>
      </c>
    </row>
    <row r="1049" spans="1:2" x14ac:dyDescent="0.25">
      <c r="A1049" s="183">
        <v>20028083</v>
      </c>
      <c r="B1049" t="s">
        <v>3926</v>
      </c>
    </row>
    <row r="1050" spans="1:2" x14ac:dyDescent="0.25">
      <c r="A1050" s="183">
        <v>20028086</v>
      </c>
      <c r="B1050" t="s">
        <v>3927</v>
      </c>
    </row>
    <row r="1051" spans="1:2" x14ac:dyDescent="0.25">
      <c r="A1051" s="183">
        <v>20028253</v>
      </c>
      <c r="B1051" t="s">
        <v>3928</v>
      </c>
    </row>
    <row r="1052" spans="1:2" x14ac:dyDescent="0.25">
      <c r="A1052" s="183">
        <v>20028084</v>
      </c>
      <c r="B1052" t="s">
        <v>3921</v>
      </c>
    </row>
    <row r="1053" spans="1:2" x14ac:dyDescent="0.25">
      <c r="A1053" s="183">
        <v>20028085</v>
      </c>
      <c r="B1053" t="s">
        <v>3922</v>
      </c>
    </row>
    <row r="1054" spans="1:2" x14ac:dyDescent="0.25">
      <c r="A1054" s="263">
        <v>20028252</v>
      </c>
      <c r="B1054" s="252" t="s">
        <v>1238</v>
      </c>
    </row>
    <row r="1055" spans="1:2" x14ac:dyDescent="0.25">
      <c r="A1055" s="263">
        <v>20028250</v>
      </c>
      <c r="B1055" s="252" t="s">
        <v>1230</v>
      </c>
    </row>
    <row r="1056" spans="1:2" x14ac:dyDescent="0.25">
      <c r="A1056" s="263">
        <v>20028251</v>
      </c>
      <c r="B1056" s="252" t="s">
        <v>1234</v>
      </c>
    </row>
    <row r="1057" spans="1:2" x14ac:dyDescent="0.25">
      <c r="A1057" s="183">
        <v>20028248</v>
      </c>
      <c r="B1057" t="s">
        <v>1236</v>
      </c>
    </row>
    <row r="1058" spans="1:2" x14ac:dyDescent="0.25">
      <c r="A1058" s="183">
        <v>10123487</v>
      </c>
      <c r="B1058" t="s">
        <v>4061</v>
      </c>
    </row>
    <row r="1059" spans="1:2" x14ac:dyDescent="0.25">
      <c r="A1059" s="183">
        <v>10123485</v>
      </c>
      <c r="B1059" s="252" t="s">
        <v>4060</v>
      </c>
    </row>
    <row r="1060" spans="1:2" x14ac:dyDescent="0.25">
      <c r="A1060" s="183">
        <v>20028334</v>
      </c>
      <c r="B1060" t="s">
        <v>1026</v>
      </c>
    </row>
    <row r="1061" spans="1:2" x14ac:dyDescent="0.25">
      <c r="A1061" s="183">
        <v>10011920</v>
      </c>
      <c r="B1061" t="s">
        <v>1354</v>
      </c>
    </row>
    <row r="1062" spans="1:2" x14ac:dyDescent="0.25">
      <c r="A1062" s="183">
        <v>10011923</v>
      </c>
      <c r="B1062" t="s">
        <v>1356</v>
      </c>
    </row>
    <row r="1063" spans="1:2" x14ac:dyDescent="0.25">
      <c r="A1063" s="183">
        <v>10074478</v>
      </c>
      <c r="B1063" t="s">
        <v>1564</v>
      </c>
    </row>
    <row r="1064" spans="1:2" x14ac:dyDescent="0.25">
      <c r="A1064" s="183">
        <v>10117353</v>
      </c>
      <c r="B1064" t="s">
        <v>3661</v>
      </c>
    </row>
    <row r="1065" spans="1:2" x14ac:dyDescent="0.25">
      <c r="A1065" s="183">
        <v>10014792</v>
      </c>
      <c r="B1065" t="s">
        <v>388</v>
      </c>
    </row>
    <row r="1066" spans="1:2" x14ac:dyDescent="0.25">
      <c r="A1066" s="183">
        <v>10003040</v>
      </c>
      <c r="B1066" t="s">
        <v>2472</v>
      </c>
    </row>
    <row r="1067" spans="1:2" x14ac:dyDescent="0.25">
      <c r="A1067" s="183">
        <v>10003024</v>
      </c>
      <c r="B1067" t="s">
        <v>374</v>
      </c>
    </row>
    <row r="1068" spans="1:2" x14ac:dyDescent="0.25">
      <c r="A1068" s="183">
        <v>10088249</v>
      </c>
      <c r="B1068" t="s">
        <v>380</v>
      </c>
    </row>
    <row r="1069" spans="1:2" x14ac:dyDescent="0.25">
      <c r="A1069" s="183">
        <v>10003038</v>
      </c>
      <c r="B1069" t="s">
        <v>384</v>
      </c>
    </row>
    <row r="1070" spans="1:2" x14ac:dyDescent="0.25">
      <c r="A1070" s="263">
        <v>10003025</v>
      </c>
      <c r="B1070" s="252" t="s">
        <v>378</v>
      </c>
    </row>
    <row r="1071" spans="1:2" x14ac:dyDescent="0.25">
      <c r="A1071" s="263">
        <v>10003037</v>
      </c>
      <c r="B1071" s="252" t="s">
        <v>382</v>
      </c>
    </row>
    <row r="1072" spans="1:2" x14ac:dyDescent="0.25">
      <c r="A1072" s="183">
        <v>10031907</v>
      </c>
      <c r="B1072" t="s">
        <v>386</v>
      </c>
    </row>
    <row r="1073" spans="1:2" x14ac:dyDescent="0.25">
      <c r="A1073" s="183">
        <v>10003039</v>
      </c>
      <c r="B1073" t="s">
        <v>2470</v>
      </c>
    </row>
    <row r="1074" spans="1:2" x14ac:dyDescent="0.25">
      <c r="A1074" s="183">
        <v>10109406</v>
      </c>
      <c r="B1074" t="s">
        <v>3293</v>
      </c>
    </row>
    <row r="1075" spans="1:2" x14ac:dyDescent="0.25">
      <c r="A1075" s="183">
        <v>10003023</v>
      </c>
      <c r="B1075" t="s">
        <v>372</v>
      </c>
    </row>
    <row r="1076" spans="1:2" x14ac:dyDescent="0.25">
      <c r="A1076" s="183">
        <v>10003041</v>
      </c>
      <c r="B1076" t="s">
        <v>376</v>
      </c>
    </row>
    <row r="1077" spans="1:2" x14ac:dyDescent="0.25">
      <c r="A1077" s="183">
        <v>20028332</v>
      </c>
      <c r="B1077" t="s">
        <v>4082</v>
      </c>
    </row>
    <row r="1078" spans="1:2" x14ac:dyDescent="0.25">
      <c r="A1078" s="183">
        <v>20028333</v>
      </c>
      <c r="B1078" t="s">
        <v>1020</v>
      </c>
    </row>
    <row r="1079" spans="1:2" x14ac:dyDescent="0.25">
      <c r="A1079" s="183">
        <v>20026451</v>
      </c>
      <c r="B1079" t="s">
        <v>3279</v>
      </c>
    </row>
    <row r="1080" spans="1:2" x14ac:dyDescent="0.25">
      <c r="A1080" s="183">
        <v>20026453</v>
      </c>
      <c r="B1080" t="s">
        <v>3280</v>
      </c>
    </row>
    <row r="1081" spans="1:2" x14ac:dyDescent="0.25">
      <c r="A1081" s="183">
        <v>20000500</v>
      </c>
      <c r="B1081" t="s">
        <v>3786</v>
      </c>
    </row>
    <row r="1082" spans="1:2" x14ac:dyDescent="0.25">
      <c r="A1082" s="183">
        <v>20000505</v>
      </c>
      <c r="B1082" t="s">
        <v>2555</v>
      </c>
    </row>
    <row r="1083" spans="1:2" x14ac:dyDescent="0.25">
      <c r="A1083" s="183">
        <v>20000503</v>
      </c>
      <c r="B1083" t="s">
        <v>2553</v>
      </c>
    </row>
    <row r="1084" spans="1:2" x14ac:dyDescent="0.25">
      <c r="A1084" s="183">
        <v>20000522</v>
      </c>
      <c r="B1084" t="s">
        <v>2557</v>
      </c>
    </row>
    <row r="1085" spans="1:2" x14ac:dyDescent="0.25">
      <c r="A1085" s="183">
        <v>20000509</v>
      </c>
      <c r="B1085" t="s">
        <v>2559</v>
      </c>
    </row>
    <row r="1086" spans="1:2" x14ac:dyDescent="0.25">
      <c r="A1086" s="183">
        <v>20000516</v>
      </c>
      <c r="B1086" t="s">
        <v>2569</v>
      </c>
    </row>
    <row r="1087" spans="1:2" x14ac:dyDescent="0.25">
      <c r="A1087" s="183">
        <v>20000498</v>
      </c>
      <c r="B1087" t="s">
        <v>2567</v>
      </c>
    </row>
    <row r="1088" spans="1:2" x14ac:dyDescent="0.25">
      <c r="A1088" s="183">
        <v>20000499</v>
      </c>
      <c r="B1088" t="s">
        <v>2561</v>
      </c>
    </row>
    <row r="1089" spans="1:2" x14ac:dyDescent="0.25">
      <c r="A1089" s="183">
        <v>20000508</v>
      </c>
      <c r="B1089" t="s">
        <v>2565</v>
      </c>
    </row>
    <row r="1090" spans="1:2" x14ac:dyDescent="0.25">
      <c r="A1090" s="183">
        <v>20000515</v>
      </c>
      <c r="B1090" t="s">
        <v>2563</v>
      </c>
    </row>
    <row r="1091" spans="1:2" x14ac:dyDescent="0.25">
      <c r="A1091" s="183">
        <v>10001695</v>
      </c>
      <c r="B1091" t="s">
        <v>531</v>
      </c>
    </row>
    <row r="1092" spans="1:2" x14ac:dyDescent="0.25">
      <c r="A1092" s="263">
        <v>20028331</v>
      </c>
      <c r="B1092" s="252" t="s">
        <v>4078</v>
      </c>
    </row>
    <row r="1093" spans="1:2" x14ac:dyDescent="0.25">
      <c r="A1093" s="183">
        <v>20028337</v>
      </c>
      <c r="B1093" t="s">
        <v>4083</v>
      </c>
    </row>
    <row r="1094" spans="1:2" x14ac:dyDescent="0.25">
      <c r="A1094" s="183">
        <v>10000701</v>
      </c>
      <c r="B1094" t="s">
        <v>2516</v>
      </c>
    </row>
    <row r="1095" spans="1:2" x14ac:dyDescent="0.25">
      <c r="A1095" s="183">
        <v>10000714</v>
      </c>
      <c r="B1095" t="s">
        <v>2532</v>
      </c>
    </row>
    <row r="1096" spans="1:2" x14ac:dyDescent="0.25">
      <c r="A1096" s="183">
        <v>10000703</v>
      </c>
      <c r="B1096" t="s">
        <v>2511</v>
      </c>
    </row>
    <row r="1097" spans="1:2" x14ac:dyDescent="0.25">
      <c r="A1097" s="183">
        <v>10010404</v>
      </c>
      <c r="B1097" t="s">
        <v>4127</v>
      </c>
    </row>
    <row r="1098" spans="1:2" x14ac:dyDescent="0.25">
      <c r="A1098" s="183">
        <v>10000319</v>
      </c>
      <c r="B1098" t="s">
        <v>2513</v>
      </c>
    </row>
    <row r="1099" spans="1:2" x14ac:dyDescent="0.25">
      <c r="A1099" s="183">
        <v>10000704</v>
      </c>
      <c r="B1099" t="s">
        <v>2514</v>
      </c>
    </row>
    <row r="1100" spans="1:2" x14ac:dyDescent="0.25">
      <c r="A1100" s="183">
        <v>10000299</v>
      </c>
      <c r="B1100" t="s">
        <v>2534</v>
      </c>
    </row>
    <row r="1101" spans="1:2" x14ac:dyDescent="0.25">
      <c r="A1101" s="263">
        <v>10000306</v>
      </c>
      <c r="B1101" s="252" t="s">
        <v>2530</v>
      </c>
    </row>
    <row r="1102" spans="1:2" x14ac:dyDescent="0.25">
      <c r="A1102" s="183">
        <v>10088185</v>
      </c>
      <c r="B1102" t="s">
        <v>2528</v>
      </c>
    </row>
    <row r="1103" spans="1:2" x14ac:dyDescent="0.25">
      <c r="A1103" s="183">
        <v>10000304</v>
      </c>
      <c r="B1103" t="s">
        <v>2518</v>
      </c>
    </row>
    <row r="1104" spans="1:2" x14ac:dyDescent="0.25">
      <c r="A1104" s="183">
        <v>20000468</v>
      </c>
      <c r="B1104" t="s">
        <v>2540</v>
      </c>
    </row>
    <row r="1105" spans="1:2" x14ac:dyDescent="0.25">
      <c r="A1105" s="183">
        <v>20000467</v>
      </c>
      <c r="B1105" t="s">
        <v>2542</v>
      </c>
    </row>
    <row r="1106" spans="1:2" x14ac:dyDescent="0.25">
      <c r="A1106" s="183">
        <v>10000705</v>
      </c>
      <c r="B1106" t="s">
        <v>2536</v>
      </c>
    </row>
    <row r="1107" spans="1:2" x14ac:dyDescent="0.25">
      <c r="A1107" s="183">
        <v>10000315</v>
      </c>
      <c r="B1107" t="s">
        <v>2520</v>
      </c>
    </row>
    <row r="1108" spans="1:2" x14ac:dyDescent="0.25">
      <c r="A1108" s="263">
        <v>10000708</v>
      </c>
      <c r="B1108" s="252" t="s">
        <v>2526</v>
      </c>
    </row>
    <row r="1109" spans="1:2" x14ac:dyDescent="0.25">
      <c r="A1109" s="183">
        <v>20000046</v>
      </c>
      <c r="B1109" t="s">
        <v>2538</v>
      </c>
    </row>
    <row r="1110" spans="1:2" x14ac:dyDescent="0.25">
      <c r="A1110" s="183">
        <v>10000715</v>
      </c>
      <c r="B1110" t="s">
        <v>2522</v>
      </c>
    </row>
    <row r="1111" spans="1:2" x14ac:dyDescent="0.25">
      <c r="A1111" s="183">
        <v>10000706</v>
      </c>
      <c r="B1111" t="s">
        <v>2524</v>
      </c>
    </row>
    <row r="1112" spans="1:2" x14ac:dyDescent="0.25">
      <c r="A1112" s="183">
        <v>20020466</v>
      </c>
      <c r="B1112" t="s">
        <v>592</v>
      </c>
    </row>
    <row r="1113" spans="1:2" x14ac:dyDescent="0.25">
      <c r="A1113" s="183">
        <v>20020469</v>
      </c>
      <c r="B1113" s="252" t="s">
        <v>1373</v>
      </c>
    </row>
    <row r="1114" spans="1:2" x14ac:dyDescent="0.25">
      <c r="A1114" s="263">
        <v>20020669</v>
      </c>
      <c r="B1114" s="252" t="s">
        <v>1552</v>
      </c>
    </row>
    <row r="1115" spans="1:2" x14ac:dyDescent="0.25">
      <c r="A1115" s="183">
        <v>20020468</v>
      </c>
      <c r="B1115" t="s">
        <v>590</v>
      </c>
    </row>
    <row r="1116" spans="1:2" x14ac:dyDescent="0.25">
      <c r="A1116" s="183">
        <v>20020668</v>
      </c>
      <c r="B1116" t="s">
        <v>1375</v>
      </c>
    </row>
    <row r="1117" spans="1:2" x14ac:dyDescent="0.25">
      <c r="A1117" s="183">
        <v>20020470</v>
      </c>
      <c r="B1117" t="s">
        <v>591</v>
      </c>
    </row>
    <row r="1118" spans="1:2" x14ac:dyDescent="0.25">
      <c r="A1118" s="183">
        <v>20020467</v>
      </c>
      <c r="B1118" t="s">
        <v>1371</v>
      </c>
    </row>
    <row r="1119" spans="1:2" x14ac:dyDescent="0.25">
      <c r="A1119" s="183">
        <v>20026469</v>
      </c>
      <c r="B1119" t="s">
        <v>1148</v>
      </c>
    </row>
    <row r="1120" spans="1:2" x14ac:dyDescent="0.25">
      <c r="A1120" s="183">
        <v>20026470</v>
      </c>
      <c r="B1120" t="s">
        <v>1150</v>
      </c>
    </row>
    <row r="1121" spans="1:2" x14ac:dyDescent="0.25">
      <c r="A1121" s="183">
        <v>10078679</v>
      </c>
      <c r="B1121" t="s">
        <v>1362</v>
      </c>
    </row>
    <row r="1122" spans="1:2" x14ac:dyDescent="0.25">
      <c r="A1122" s="183">
        <v>10011921</v>
      </c>
      <c r="B1122" t="s">
        <v>1358</v>
      </c>
    </row>
    <row r="1123" spans="1:2" x14ac:dyDescent="0.25">
      <c r="A1123" s="183">
        <v>10011922</v>
      </c>
      <c r="B1123" t="s">
        <v>1360</v>
      </c>
    </row>
    <row r="1124" spans="1:2" x14ac:dyDescent="0.25">
      <c r="A1124" s="183">
        <v>10014793</v>
      </c>
      <c r="B1124" t="s">
        <v>434</v>
      </c>
    </row>
    <row r="1125" spans="1:2" x14ac:dyDescent="0.25">
      <c r="A1125" s="183">
        <v>10002908</v>
      </c>
      <c r="B1125" t="s">
        <v>1330</v>
      </c>
    </row>
    <row r="1126" spans="1:2" x14ac:dyDescent="0.25">
      <c r="A1126" s="263">
        <v>10002905</v>
      </c>
      <c r="B1126" s="252" t="s">
        <v>422</v>
      </c>
    </row>
    <row r="1127" spans="1:2" x14ac:dyDescent="0.25">
      <c r="A1127" s="183">
        <v>10002698</v>
      </c>
      <c r="B1127" t="s">
        <v>3039</v>
      </c>
    </row>
    <row r="1128" spans="1:2" x14ac:dyDescent="0.25">
      <c r="A1128" s="183">
        <v>10002752</v>
      </c>
      <c r="B1128" t="s">
        <v>3036</v>
      </c>
    </row>
    <row r="1129" spans="1:2" x14ac:dyDescent="0.25">
      <c r="A1129" s="183">
        <v>10002731</v>
      </c>
      <c r="B1129" t="s">
        <v>3038</v>
      </c>
    </row>
    <row r="1130" spans="1:2" x14ac:dyDescent="0.25">
      <c r="A1130" s="183">
        <v>10002760</v>
      </c>
      <c r="B1130" t="s">
        <v>3041</v>
      </c>
    </row>
    <row r="1131" spans="1:2" x14ac:dyDescent="0.25">
      <c r="A1131" s="183">
        <v>10088248</v>
      </c>
      <c r="B1131" t="s">
        <v>1114</v>
      </c>
    </row>
    <row r="1132" spans="1:2" x14ac:dyDescent="0.25">
      <c r="A1132" s="183">
        <v>10064436</v>
      </c>
      <c r="B1132" t="s">
        <v>430</v>
      </c>
    </row>
    <row r="1133" spans="1:2" x14ac:dyDescent="0.25">
      <c r="A1133" s="263">
        <v>10002906</v>
      </c>
      <c r="B1133" s="252" t="s">
        <v>426</v>
      </c>
    </row>
    <row r="1134" spans="1:2" x14ac:dyDescent="0.25">
      <c r="A1134" s="263">
        <v>10119612</v>
      </c>
      <c r="B1134" s="252" t="s">
        <v>3599</v>
      </c>
    </row>
    <row r="1135" spans="1:2" x14ac:dyDescent="0.25">
      <c r="A1135" s="263">
        <v>10028682</v>
      </c>
      <c r="B1135" s="252" t="s">
        <v>428</v>
      </c>
    </row>
    <row r="1136" spans="1:2" x14ac:dyDescent="0.25">
      <c r="A1136" s="183">
        <v>10064435</v>
      </c>
      <c r="B1136" t="s">
        <v>1332</v>
      </c>
    </row>
    <row r="1137" spans="1:2" x14ac:dyDescent="0.25">
      <c r="A1137" s="263">
        <v>10031908</v>
      </c>
      <c r="B1137" s="252" t="s">
        <v>432</v>
      </c>
    </row>
    <row r="1138" spans="1:2" x14ac:dyDescent="0.25">
      <c r="A1138" s="183">
        <v>10002907</v>
      </c>
      <c r="B1138" t="s">
        <v>1328</v>
      </c>
    </row>
    <row r="1139" spans="1:2" x14ac:dyDescent="0.25">
      <c r="A1139" s="183">
        <v>10109405</v>
      </c>
      <c r="B1139" t="s">
        <v>3292</v>
      </c>
    </row>
    <row r="1140" spans="1:2" x14ac:dyDescent="0.25">
      <c r="A1140" s="183">
        <v>10002904</v>
      </c>
      <c r="B1140" t="s">
        <v>420</v>
      </c>
    </row>
    <row r="1141" spans="1:2" x14ac:dyDescent="0.25">
      <c r="A1141" s="263">
        <v>10064437</v>
      </c>
      <c r="B1141" s="252" t="s">
        <v>424</v>
      </c>
    </row>
    <row r="1142" spans="1:2" x14ac:dyDescent="0.25">
      <c r="A1142" s="183">
        <v>10121083</v>
      </c>
      <c r="B1142" t="s">
        <v>1110</v>
      </c>
    </row>
    <row r="1143" spans="1:2" x14ac:dyDescent="0.25">
      <c r="A1143" s="263">
        <v>10121082</v>
      </c>
      <c r="B1143" s="252" t="s">
        <v>1108</v>
      </c>
    </row>
    <row r="1144" spans="1:2" x14ac:dyDescent="0.25">
      <c r="A1144" s="183">
        <v>10121081</v>
      </c>
      <c r="B1144" t="s">
        <v>1109</v>
      </c>
    </row>
    <row r="1145" spans="1:2" x14ac:dyDescent="0.25">
      <c r="A1145" s="183">
        <v>10128315</v>
      </c>
      <c r="B1145" t="s">
        <v>3739</v>
      </c>
    </row>
    <row r="1146" spans="1:2" x14ac:dyDescent="0.25">
      <c r="A1146" s="183">
        <v>10085412</v>
      </c>
      <c r="B1146" t="s">
        <v>132</v>
      </c>
    </row>
    <row r="1147" spans="1:2" x14ac:dyDescent="0.25">
      <c r="A1147" s="183">
        <v>10130141</v>
      </c>
      <c r="B1147" t="s">
        <v>3743</v>
      </c>
    </row>
    <row r="1148" spans="1:2" x14ac:dyDescent="0.25">
      <c r="A1148" s="183">
        <v>10085415</v>
      </c>
      <c r="B1148" t="s">
        <v>130</v>
      </c>
    </row>
    <row r="1149" spans="1:2" x14ac:dyDescent="0.25">
      <c r="A1149" s="183">
        <v>10130139</v>
      </c>
      <c r="B1149" t="s">
        <v>3754</v>
      </c>
    </row>
    <row r="1150" spans="1:2" x14ac:dyDescent="0.25">
      <c r="A1150" s="183">
        <v>10085703</v>
      </c>
      <c r="B1150" t="s">
        <v>1419</v>
      </c>
    </row>
    <row r="1151" spans="1:2" x14ac:dyDescent="0.25">
      <c r="A1151" s="183">
        <v>10126464</v>
      </c>
      <c r="B1151" t="s">
        <v>3956</v>
      </c>
    </row>
    <row r="1152" spans="1:2" x14ac:dyDescent="0.25">
      <c r="A1152" s="183">
        <v>10128316</v>
      </c>
      <c r="B1152" t="s">
        <v>3747</v>
      </c>
    </row>
    <row r="1153" spans="1:2" x14ac:dyDescent="0.25">
      <c r="A1153" s="183">
        <v>10085417</v>
      </c>
      <c r="B1153" t="s">
        <v>128</v>
      </c>
    </row>
    <row r="1154" spans="1:2" x14ac:dyDescent="0.25">
      <c r="A1154" s="183">
        <v>10128313</v>
      </c>
      <c r="B1154" t="s">
        <v>3737</v>
      </c>
    </row>
    <row r="1155" spans="1:2" x14ac:dyDescent="0.25">
      <c r="A1155" s="183">
        <v>10085419</v>
      </c>
      <c r="B1155" t="s">
        <v>125</v>
      </c>
    </row>
    <row r="1156" spans="1:2" x14ac:dyDescent="0.25">
      <c r="A1156" s="183">
        <v>10130138</v>
      </c>
      <c r="B1156" t="s">
        <v>3741</v>
      </c>
    </row>
    <row r="1157" spans="1:2" x14ac:dyDescent="0.25">
      <c r="A1157" s="183">
        <v>10085413</v>
      </c>
      <c r="B1157" t="s">
        <v>123</v>
      </c>
    </row>
    <row r="1158" spans="1:2" x14ac:dyDescent="0.25">
      <c r="A1158" s="183">
        <v>10085416</v>
      </c>
      <c r="B1158" t="s">
        <v>1568</v>
      </c>
    </row>
    <row r="1159" spans="1:2" x14ac:dyDescent="0.25">
      <c r="A1159" s="183">
        <v>10130140</v>
      </c>
      <c r="B1159" t="s">
        <v>3748</v>
      </c>
    </row>
    <row r="1160" spans="1:2" x14ac:dyDescent="0.25">
      <c r="A1160" s="183">
        <v>10086588</v>
      </c>
      <c r="B1160" t="s">
        <v>121</v>
      </c>
    </row>
    <row r="1161" spans="1:2" x14ac:dyDescent="0.25">
      <c r="A1161" s="183">
        <v>10130158</v>
      </c>
      <c r="B1161" t="s">
        <v>4063</v>
      </c>
    </row>
    <row r="1162" spans="1:2" x14ac:dyDescent="0.25">
      <c r="A1162" s="183">
        <v>10085420</v>
      </c>
      <c r="B1162" t="s">
        <v>119</v>
      </c>
    </row>
    <row r="1163" spans="1:2" x14ac:dyDescent="0.25">
      <c r="A1163" s="183">
        <v>10085422</v>
      </c>
      <c r="B1163" t="s">
        <v>4779</v>
      </c>
    </row>
    <row r="1164" spans="1:2" x14ac:dyDescent="0.25">
      <c r="A1164" s="183">
        <v>10130143</v>
      </c>
      <c r="B1164" t="s">
        <v>3756</v>
      </c>
    </row>
    <row r="1165" spans="1:2" x14ac:dyDescent="0.25">
      <c r="A1165" s="183">
        <v>10085414</v>
      </c>
      <c r="B1165" t="s">
        <v>1286</v>
      </c>
    </row>
    <row r="1166" spans="1:2" x14ac:dyDescent="0.25">
      <c r="A1166" s="183">
        <v>10130144</v>
      </c>
      <c r="B1166" s="252" t="s">
        <v>3752</v>
      </c>
    </row>
    <row r="1167" spans="1:2" x14ac:dyDescent="0.25">
      <c r="A1167" s="183">
        <v>10085424</v>
      </c>
      <c r="B1167" t="s">
        <v>118</v>
      </c>
    </row>
    <row r="1168" spans="1:2" x14ac:dyDescent="0.25">
      <c r="A1168" s="183">
        <v>10130142</v>
      </c>
      <c r="B1168" t="s">
        <v>3745</v>
      </c>
    </row>
    <row r="1169" spans="1:2" x14ac:dyDescent="0.25">
      <c r="A1169" s="183">
        <v>10085423</v>
      </c>
      <c r="B1169" t="s">
        <v>116</v>
      </c>
    </row>
    <row r="1170" spans="1:2" x14ac:dyDescent="0.25">
      <c r="A1170" s="183">
        <v>10130137</v>
      </c>
      <c r="B1170" t="s">
        <v>3750</v>
      </c>
    </row>
    <row r="1171" spans="1:2" x14ac:dyDescent="0.25">
      <c r="A1171" s="183">
        <v>10085421</v>
      </c>
      <c r="B1171" t="s">
        <v>2707</v>
      </c>
    </row>
    <row r="1172" spans="1:2" x14ac:dyDescent="0.25">
      <c r="A1172" s="183">
        <v>20030589</v>
      </c>
      <c r="B1172" t="s">
        <v>3839</v>
      </c>
    </row>
    <row r="1173" spans="1:2" x14ac:dyDescent="0.25">
      <c r="A1173" s="183">
        <v>20028336</v>
      </c>
      <c r="B1173" t="s">
        <v>1180</v>
      </c>
    </row>
    <row r="1174" spans="1:2" x14ac:dyDescent="0.25">
      <c r="A1174" s="183">
        <v>20001316</v>
      </c>
      <c r="B1174" t="s">
        <v>3058</v>
      </c>
    </row>
    <row r="1175" spans="1:2" x14ac:dyDescent="0.25">
      <c r="A1175" s="183">
        <v>20001317</v>
      </c>
      <c r="B1175" t="s">
        <v>3060</v>
      </c>
    </row>
    <row r="1176" spans="1:2" x14ac:dyDescent="0.25">
      <c r="A1176" s="183">
        <v>20001318</v>
      </c>
      <c r="B1176" t="s">
        <v>3062</v>
      </c>
    </row>
    <row r="1177" spans="1:2" x14ac:dyDescent="0.25">
      <c r="A1177" s="263">
        <v>20009279</v>
      </c>
      <c r="B1177" s="252" t="s">
        <v>2882</v>
      </c>
    </row>
    <row r="1178" spans="1:2" x14ac:dyDescent="0.25">
      <c r="A1178" s="216">
        <v>20009281</v>
      </c>
      <c r="B1178" s="217" t="s">
        <v>2886</v>
      </c>
    </row>
    <row r="1179" spans="1:2" x14ac:dyDescent="0.25">
      <c r="A1179" s="263">
        <v>20009280</v>
      </c>
      <c r="B1179" s="252" t="s">
        <v>2884</v>
      </c>
    </row>
    <row r="1180" spans="1:2" x14ac:dyDescent="0.25">
      <c r="A1180" s="183">
        <v>10030587</v>
      </c>
      <c r="B1180" t="s">
        <v>3021</v>
      </c>
    </row>
    <row r="1181" spans="1:2" x14ac:dyDescent="0.25">
      <c r="A1181" s="183">
        <v>20023309</v>
      </c>
      <c r="B1181" t="s">
        <v>527</v>
      </c>
    </row>
    <row r="1182" spans="1:2" x14ac:dyDescent="0.25">
      <c r="A1182" s="183">
        <v>20023321</v>
      </c>
      <c r="B1182" t="s">
        <v>521</v>
      </c>
    </row>
    <row r="1183" spans="1:2" x14ac:dyDescent="0.25">
      <c r="A1183" s="183">
        <v>20028238</v>
      </c>
      <c r="B1183" t="s">
        <v>3857</v>
      </c>
    </row>
    <row r="1184" spans="1:2" x14ac:dyDescent="0.25">
      <c r="A1184" s="183">
        <v>20025475</v>
      </c>
      <c r="B1184" t="s">
        <v>523</v>
      </c>
    </row>
    <row r="1185" spans="1:2" x14ac:dyDescent="0.25">
      <c r="A1185" s="183">
        <v>20023308</v>
      </c>
      <c r="B1185" t="s">
        <v>525</v>
      </c>
    </row>
    <row r="1186" spans="1:2" x14ac:dyDescent="0.25">
      <c r="A1186" s="183">
        <v>20023318</v>
      </c>
      <c r="B1186" t="s">
        <v>513</v>
      </c>
    </row>
    <row r="1187" spans="1:2" x14ac:dyDescent="0.25">
      <c r="A1187" s="183">
        <v>20023317</v>
      </c>
      <c r="B1187" t="s">
        <v>519</v>
      </c>
    </row>
    <row r="1188" spans="1:2" x14ac:dyDescent="0.25">
      <c r="A1188" s="183">
        <v>20023307</v>
      </c>
      <c r="B1188" t="s">
        <v>526</v>
      </c>
    </row>
    <row r="1189" spans="1:2" x14ac:dyDescent="0.25">
      <c r="A1189" s="183">
        <v>20023319</v>
      </c>
      <c r="B1189" t="s">
        <v>515</v>
      </c>
    </row>
    <row r="1190" spans="1:2" x14ac:dyDescent="0.25">
      <c r="A1190" s="263">
        <v>20023320</v>
      </c>
      <c r="B1190" s="252" t="s">
        <v>517</v>
      </c>
    </row>
    <row r="1191" spans="1:2" x14ac:dyDescent="0.25">
      <c r="A1191" s="183">
        <v>20028089</v>
      </c>
      <c r="B1191" t="s">
        <v>1044</v>
      </c>
    </row>
    <row r="1192" spans="1:2" x14ac:dyDescent="0.25">
      <c r="A1192" s="183">
        <v>20028087</v>
      </c>
      <c r="B1192" t="s">
        <v>1035</v>
      </c>
    </row>
    <row r="1193" spans="1:2" x14ac:dyDescent="0.25">
      <c r="A1193" s="183">
        <v>20028088</v>
      </c>
      <c r="B1193" t="s">
        <v>1046</v>
      </c>
    </row>
    <row r="1194" spans="1:2" x14ac:dyDescent="0.25">
      <c r="A1194" s="183">
        <v>20028090</v>
      </c>
      <c r="B1194" t="s">
        <v>1045</v>
      </c>
    </row>
    <row r="1195" spans="1:2" x14ac:dyDescent="0.25">
      <c r="A1195" s="183">
        <v>10002577</v>
      </c>
      <c r="B1195" t="s">
        <v>2508</v>
      </c>
    </row>
    <row r="1196" spans="1:2" x14ac:dyDescent="0.25">
      <c r="A1196" s="183">
        <v>10002695</v>
      </c>
      <c r="B1196" t="s">
        <v>2506</v>
      </c>
    </row>
    <row r="1197" spans="1:2" x14ac:dyDescent="0.25">
      <c r="A1197" s="263">
        <v>10002588</v>
      </c>
      <c r="B1197" s="252" t="s">
        <v>2504</v>
      </c>
    </row>
    <row r="1198" spans="1:2" x14ac:dyDescent="0.25">
      <c r="A1198" s="263">
        <v>10137273</v>
      </c>
      <c r="B1198" s="252" t="s">
        <v>4776</v>
      </c>
    </row>
    <row r="1199" spans="1:2" x14ac:dyDescent="0.25">
      <c r="A1199" s="183">
        <v>10137583</v>
      </c>
      <c r="B1199" t="s">
        <v>4777</v>
      </c>
    </row>
    <row r="1207" spans="1:2" x14ac:dyDescent="0.25">
      <c r="A1207" s="183" t="s">
        <v>4524</v>
      </c>
      <c r="B1207" t="s">
        <v>4525</v>
      </c>
    </row>
    <row r="1208" spans="1:2" x14ac:dyDescent="0.25">
      <c r="A1208" s="183" t="s">
        <v>4524</v>
      </c>
      <c r="B1208" t="s">
        <v>4526</v>
      </c>
    </row>
    <row r="1209" spans="1:2" x14ac:dyDescent="0.25">
      <c r="A1209" s="183" t="s">
        <v>4524</v>
      </c>
      <c r="B1209" t="s">
        <v>4527</v>
      </c>
    </row>
    <row r="1225" spans="1:2" x14ac:dyDescent="0.25">
      <c r="A1225" s="263"/>
      <c r="B1225" s="252"/>
    </row>
    <row r="1228" spans="1:2" x14ac:dyDescent="0.25">
      <c r="A1228" s="263"/>
      <c r="B1228" s="252"/>
    </row>
    <row r="1231" spans="1:2" x14ac:dyDescent="0.25">
      <c r="A1231" s="216"/>
      <c r="B1231" s="217"/>
    </row>
    <row r="1232" spans="1:2" x14ac:dyDescent="0.25">
      <c r="A1232" s="263"/>
      <c r="B1232" s="252"/>
    </row>
    <row r="1240" spans="1:2" x14ac:dyDescent="0.25">
      <c r="A1240" s="216"/>
    </row>
    <row r="1241" spans="1:2" x14ac:dyDescent="0.25">
      <c r="A1241" s="216"/>
    </row>
    <row r="1242" spans="1:2" x14ac:dyDescent="0.25">
      <c r="A1242" s="216"/>
    </row>
    <row r="1243" spans="1:2" x14ac:dyDescent="0.25">
      <c r="B1243" s="252"/>
    </row>
    <row r="1245" spans="1:2" x14ac:dyDescent="0.25">
      <c r="B1245" s="252"/>
    </row>
    <row r="1247" spans="1:2" x14ac:dyDescent="0.25">
      <c r="B1247" s="252"/>
    </row>
    <row r="1249" spans="2:2" x14ac:dyDescent="0.25">
      <c r="B1249" s="252"/>
    </row>
    <row r="1251" spans="2:2" x14ac:dyDescent="0.25">
      <c r="B1251" s="252"/>
    </row>
    <row r="1253" spans="2:2" x14ac:dyDescent="0.25">
      <c r="B1253" s="252"/>
    </row>
    <row r="1256" spans="2:2" x14ac:dyDescent="0.25">
      <c r="B1256" s="252"/>
    </row>
    <row r="1258" spans="2:2" x14ac:dyDescent="0.25">
      <c r="B1258" s="252"/>
    </row>
    <row r="1261" spans="2:2" x14ac:dyDescent="0.25">
      <c r="B1261" s="252"/>
    </row>
    <row r="1263" spans="2:2" x14ac:dyDescent="0.25">
      <c r="B1263" s="252"/>
    </row>
    <row r="1265" spans="1:2" x14ac:dyDescent="0.25">
      <c r="B1265" s="252"/>
    </row>
    <row r="1267" spans="1:2" x14ac:dyDescent="0.25">
      <c r="B1267" s="252"/>
    </row>
    <row r="1269" spans="1:2" x14ac:dyDescent="0.25">
      <c r="A1269" s="263"/>
      <c r="B1269" s="252"/>
    </row>
    <row r="1280" spans="1:2" x14ac:dyDescent="0.25">
      <c r="A1280" s="263"/>
      <c r="B1280" s="252"/>
    </row>
    <row r="1289" spans="1:2" x14ac:dyDescent="0.25">
      <c r="A1289" s="263"/>
      <c r="B1289" s="252"/>
    </row>
    <row r="1291" spans="1:2" x14ac:dyDescent="0.25">
      <c r="A1291" s="263"/>
      <c r="B1291" s="252"/>
    </row>
    <row r="1292" spans="1:2" x14ac:dyDescent="0.25">
      <c r="A1292" s="216"/>
    </row>
    <row r="1294" spans="1:2" x14ac:dyDescent="0.25">
      <c r="A1294" s="263"/>
      <c r="B1294" s="252"/>
    </row>
    <row r="1295" spans="1:2" x14ac:dyDescent="0.25">
      <c r="A1295" s="216"/>
    </row>
    <row r="1297" spans="1:2" x14ac:dyDescent="0.25">
      <c r="A1297" s="263"/>
      <c r="B1297" s="252"/>
    </row>
  </sheetData>
  <sortState ref="A1:D1311">
    <sortCondition ref="B1:B1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Instructions</vt:lpstr>
      <vt:lpstr>Overview</vt:lpstr>
      <vt:lpstr>UPCs</vt:lpstr>
      <vt:lpstr>UPCs - Alpha</vt:lpstr>
      <vt:lpstr>Facility Data</vt:lpstr>
      <vt:lpstr>Account Data</vt:lpstr>
      <vt:lpstr>New Items</vt:lpstr>
      <vt:lpstr>Discontinued</vt:lpstr>
      <vt:lpstr>Item Data</vt:lpstr>
      <vt:lpstr>Pricing Plans</vt:lpstr>
      <vt:lpstr>Sheet1</vt:lpstr>
      <vt:lpstr>Facility_Names</vt:lpstr>
      <vt:lpstr>UPCs!Print_Area</vt:lpstr>
      <vt:lpstr>'UPCs - Alpha'!Print_Area</vt:lpstr>
      <vt:lpstr>Promo_Plans</vt:lpstr>
    </vt:vector>
  </TitlesOfParts>
  <Company>Keurig Dr Pepper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KDP Pricing Worksheet</dc:title>
  <dc:creator>Jonathan.Grimm@kdrp.com</dc:creator>
  <cp:lastModifiedBy>Kirkland</cp:lastModifiedBy>
  <cp:lastPrinted>2020-07-03T17:43:10Z</cp:lastPrinted>
  <dcterms:created xsi:type="dcterms:W3CDTF">2017-01-28T13:01:44Z</dcterms:created>
  <dcterms:modified xsi:type="dcterms:W3CDTF">2021-07-31T09:13:45Z</dcterms:modified>
</cp:coreProperties>
</file>